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a Pinto\Desktop\"/>
    </mc:Choice>
  </mc:AlternateContent>
  <bookViews>
    <workbookView xWindow="0" yWindow="0" windowWidth="19200" windowHeight="7050" tabRatio="853" activeTab="5"/>
  </bookViews>
  <sheets>
    <sheet name="Mapa Depreciações" sheetId="7" r:id="rId1"/>
    <sheet name="Diferimentos" sheetId="8" r:id="rId2"/>
    <sheet name="Acréscimos" sheetId="9" r:id="rId3"/>
    <sheet name="CMVMC" sheetId="10" r:id="rId4"/>
    <sheet name="IRC Estimado" sheetId="6" r:id="rId5"/>
    <sheet name="Balancete Ajustado" sheetId="4" r:id="rId6"/>
    <sheet name="Folha1" sheetId="11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8" l="1"/>
  <c r="D17" i="6" l="1"/>
  <c r="B13" i="11"/>
  <c r="B11" i="11"/>
  <c r="H90" i="4"/>
  <c r="B6" i="11"/>
  <c r="B5" i="11"/>
  <c r="E108" i="4" l="1"/>
  <c r="E107" i="4"/>
  <c r="E94" i="4"/>
  <c r="E102" i="4"/>
  <c r="F27" i="9" l="1"/>
  <c r="F25" i="9"/>
  <c r="F23" i="9"/>
  <c r="D26" i="9"/>
  <c r="D25" i="9"/>
  <c r="F63" i="4" l="1"/>
  <c r="F65" i="4"/>
  <c r="E116" i="4"/>
  <c r="E117" i="4"/>
  <c r="E44" i="4" l="1"/>
  <c r="E43" i="4"/>
  <c r="E42" i="4"/>
  <c r="E41" i="4"/>
  <c r="F108" i="4"/>
  <c r="F107" i="4"/>
  <c r="E105" i="4"/>
  <c r="H105" i="4" s="1"/>
  <c r="E104" i="4"/>
  <c r="H104" i="4" s="1"/>
  <c r="E103" i="4"/>
  <c r="H103" i="4" s="1"/>
  <c r="F101" i="4"/>
  <c r="I101" i="4" s="1"/>
  <c r="I98" i="4" s="1"/>
  <c r="E97" i="4"/>
  <c r="H97" i="4" s="1"/>
  <c r="E96" i="4"/>
  <c r="H96" i="4" s="1"/>
  <c r="E95" i="4"/>
  <c r="H95" i="4" s="1"/>
  <c r="H94" i="4"/>
  <c r="F93" i="4"/>
  <c r="I93" i="4" s="1"/>
  <c r="I91" i="4" s="1"/>
  <c r="H91" i="4" l="1"/>
  <c r="E53" i="4" l="1"/>
  <c r="C12" i="10" l="1"/>
  <c r="I130" i="4" l="1"/>
  <c r="B28" i="6"/>
  <c r="D33" i="9"/>
  <c r="D32" i="9"/>
  <c r="D62" i="9"/>
  <c r="F62" i="9" s="1"/>
  <c r="D61" i="9"/>
  <c r="F61" i="9" s="1"/>
  <c r="F60" i="9"/>
  <c r="F59" i="9"/>
  <c r="F63" i="9" l="1"/>
  <c r="F24" i="9" l="1"/>
  <c r="H102" i="4" s="1"/>
  <c r="H98" i="4" s="1"/>
  <c r="D53" i="9"/>
  <c r="D52" i="9"/>
  <c r="F26" i="9"/>
  <c r="D44" i="9"/>
  <c r="D43" i="9"/>
  <c r="D35" i="9"/>
  <c r="D34" i="9"/>
  <c r="F136" i="4"/>
  <c r="F53" i="9" l="1"/>
  <c r="F52" i="9"/>
  <c r="F51" i="9"/>
  <c r="F50" i="9"/>
  <c r="F44" i="9"/>
  <c r="F43" i="9"/>
  <c r="F42" i="9"/>
  <c r="F41" i="9"/>
  <c r="F35" i="9"/>
  <c r="F34" i="9"/>
  <c r="F33" i="9"/>
  <c r="F32" i="9"/>
  <c r="F54" i="9" l="1"/>
  <c r="F45" i="9"/>
  <c r="F36" i="9"/>
  <c r="F64" i="9" l="1"/>
  <c r="F39" i="4" s="1"/>
  <c r="I133" i="4" l="1"/>
  <c r="D21" i="6" l="1"/>
  <c r="D12" i="6" l="1"/>
  <c r="H75" i="4" l="1"/>
  <c r="H111" i="4" l="1"/>
  <c r="H112" i="4"/>
  <c r="H113" i="4"/>
  <c r="H110" i="4"/>
  <c r="H87" i="4"/>
  <c r="H86" i="4"/>
  <c r="I37" i="4"/>
  <c r="I32" i="4"/>
  <c r="C125" i="4" l="1"/>
  <c r="D47" i="4"/>
  <c r="C47" i="4"/>
  <c r="I19" i="4" l="1"/>
  <c r="F9" i="9" l="1"/>
  <c r="H16" i="8" l="1"/>
  <c r="H9" i="8"/>
  <c r="F114" i="4" s="1"/>
  <c r="H10" i="8"/>
  <c r="H11" i="8"/>
  <c r="H12" i="8"/>
  <c r="H13" i="8"/>
  <c r="H8" i="8"/>
  <c r="F86" i="4" l="1"/>
  <c r="I86" i="4" s="1"/>
  <c r="B7" i="11" s="1"/>
  <c r="F109" i="4"/>
  <c r="H15" i="8"/>
  <c r="H18" i="8" s="1"/>
  <c r="E45" i="4" s="1"/>
  <c r="E47" i="4" s="1"/>
  <c r="F121" i="4"/>
  <c r="F15" i="8"/>
  <c r="F18" i="8" s="1"/>
  <c r="D22" i="7"/>
  <c r="E22" i="7"/>
  <c r="J22" i="7" s="1"/>
  <c r="E32" i="7"/>
  <c r="J32" i="7" s="1"/>
  <c r="F125" i="4" l="1"/>
  <c r="D32" i="7"/>
  <c r="E16" i="7" l="1"/>
  <c r="J16" i="7" s="1"/>
  <c r="C34" i="7"/>
  <c r="C11" i="7"/>
  <c r="C17" i="7"/>
  <c r="C27" i="7"/>
  <c r="C21" i="7"/>
  <c r="C20" i="7"/>
  <c r="E21" i="7" l="1"/>
  <c r="D21" i="7" s="1"/>
  <c r="C23" i="7"/>
  <c r="J21" i="7" l="1"/>
  <c r="H121" i="4" l="1"/>
  <c r="H114" i="4"/>
  <c r="H109" i="4"/>
  <c r="I51" i="4"/>
  <c r="H52" i="4"/>
  <c r="I52" i="4"/>
  <c r="I16" i="4"/>
  <c r="H16" i="4"/>
  <c r="I50" i="4" l="1"/>
  <c r="I54" i="4" s="1"/>
  <c r="D128" i="4"/>
  <c r="D136" i="4" s="1"/>
  <c r="D70" i="4"/>
  <c r="H38" i="4"/>
  <c r="C66" i="4"/>
  <c r="C12" i="4"/>
  <c r="D142" i="4" l="1"/>
  <c r="I129" i="4"/>
  <c r="I131" i="4"/>
  <c r="I132" i="4"/>
  <c r="I128" i="4"/>
  <c r="H119" i="4"/>
  <c r="H124" i="4"/>
  <c r="H120" i="4"/>
  <c r="H88" i="4"/>
  <c r="H89" i="4"/>
  <c r="H82" i="4"/>
  <c r="H84" i="4"/>
  <c r="H80" i="4"/>
  <c r="H76" i="4"/>
  <c r="H77" i="4"/>
  <c r="I69" i="4"/>
  <c r="H64" i="4"/>
  <c r="H59" i="4"/>
  <c r="H60" i="4"/>
  <c r="H61" i="4"/>
  <c r="H62" i="4"/>
  <c r="H57" i="4"/>
  <c r="H53" i="4"/>
  <c r="I36" i="4"/>
  <c r="I25" i="4"/>
  <c r="I26" i="4"/>
  <c r="I27" i="4"/>
  <c r="I28" i="4"/>
  <c r="I29" i="4"/>
  <c r="I30" i="4"/>
  <c r="I31" i="4"/>
  <c r="I34" i="4"/>
  <c r="I35" i="4"/>
  <c r="I20" i="4"/>
  <c r="I21" i="4"/>
  <c r="H17" i="4"/>
  <c r="H11" i="4"/>
  <c r="H10" i="4"/>
  <c r="H12" i="4" l="1"/>
  <c r="I136" i="4"/>
  <c r="H15" i="4"/>
  <c r="H58" i="4"/>
  <c r="I70" i="4"/>
  <c r="H118" i="4"/>
  <c r="I33" i="4"/>
  <c r="I24" i="4"/>
  <c r="F54" i="4"/>
  <c r="H66" i="4" l="1"/>
  <c r="D18" i="6"/>
  <c r="D19" i="6"/>
  <c r="C54" i="4"/>
  <c r="C142" i="4" s="1"/>
  <c r="H51" i="4"/>
  <c r="H50" i="4" s="1"/>
  <c r="H54" i="4" s="1"/>
  <c r="D37" i="6" l="1"/>
  <c r="B37" i="6" s="1"/>
  <c r="I121" i="4" l="1"/>
  <c r="B9" i="11" s="1"/>
  <c r="I109" i="4"/>
  <c r="B8" i="11" s="1"/>
  <c r="B10" i="11" s="1"/>
  <c r="B12" i="11" s="1"/>
  <c r="B14" i="11" s="1"/>
  <c r="B8" i="6" s="1"/>
  <c r="E54" i="4"/>
  <c r="I114" i="4" l="1"/>
  <c r="B35" i="6"/>
  <c r="D22" i="6"/>
  <c r="B20" i="6" s="1"/>
  <c r="B15" i="6"/>
  <c r="B16" i="6" l="1"/>
  <c r="D13" i="6"/>
  <c r="D14" i="6" s="1"/>
  <c r="B11" i="6" s="1"/>
  <c r="C13" i="10"/>
  <c r="E73" i="4" s="1"/>
  <c r="H73" i="4" s="1"/>
  <c r="F17" i="9"/>
  <c r="E79" i="4" s="1"/>
  <c r="H79" i="4" s="1"/>
  <c r="F16" i="9"/>
  <c r="E85" i="4" s="1"/>
  <c r="H85" i="4" s="1"/>
  <c r="F15" i="9"/>
  <c r="F10" i="9"/>
  <c r="E123" i="4" s="1"/>
  <c r="E11" i="7"/>
  <c r="E12" i="7"/>
  <c r="C13" i="7"/>
  <c r="C28" i="7" s="1"/>
  <c r="D16" i="7"/>
  <c r="E20" i="7"/>
  <c r="E26" i="7"/>
  <c r="D26" i="7" s="1"/>
  <c r="E33" i="7"/>
  <c r="D33" i="7" s="1"/>
  <c r="D34" i="7" s="1"/>
  <c r="H123" i="4" l="1"/>
  <c r="J20" i="7"/>
  <c r="J23" i="7" s="1"/>
  <c r="E23" i="7"/>
  <c r="F18" i="9"/>
  <c r="E81" i="4"/>
  <c r="H81" i="4" s="1"/>
  <c r="H108" i="4"/>
  <c r="H107" i="4"/>
  <c r="H83" i="4"/>
  <c r="H122" i="4"/>
  <c r="D12" i="7"/>
  <c r="J12" i="7"/>
  <c r="D11" i="7"/>
  <c r="E13" i="7"/>
  <c r="E17" i="7"/>
  <c r="D27" i="7"/>
  <c r="D20" i="7"/>
  <c r="D23" i="7" s="1"/>
  <c r="J26" i="7"/>
  <c r="J27" i="7" s="1"/>
  <c r="E34" i="7"/>
  <c r="D17" i="7"/>
  <c r="J33" i="7"/>
  <c r="J34" i="7" s="1"/>
  <c r="E27" i="7"/>
  <c r="C35" i="7"/>
  <c r="J11" i="7"/>
  <c r="E125" i="4" l="1"/>
  <c r="H78" i="4"/>
  <c r="H74" i="4" s="1"/>
  <c r="D13" i="7"/>
  <c r="D28" i="7" s="1"/>
  <c r="D35" i="7" s="1"/>
  <c r="H106" i="4"/>
  <c r="I39" i="4"/>
  <c r="I38" i="4" s="1"/>
  <c r="J13" i="7"/>
  <c r="J17" i="7"/>
  <c r="E28" i="7"/>
  <c r="E35" i="7" s="1"/>
  <c r="H117" i="4"/>
  <c r="I65" i="4"/>
  <c r="J28" i="7" l="1"/>
  <c r="J35" i="7" l="1"/>
  <c r="I108" i="4"/>
  <c r="I107" i="4" l="1"/>
  <c r="I63" i="4"/>
  <c r="I58" i="4" s="1"/>
  <c r="I66" i="4" s="1"/>
  <c r="F66" i="4"/>
  <c r="H116" i="4"/>
  <c r="H115" i="4" s="1"/>
  <c r="I125" i="4" l="1"/>
  <c r="H45" i="4"/>
  <c r="H47" i="4" s="1"/>
  <c r="H125" i="4"/>
  <c r="B21" i="6" l="1"/>
  <c r="B23" i="6" s="1"/>
  <c r="B27" i="6" s="1"/>
  <c r="B36" i="6" l="1"/>
  <c r="B38" i="6" s="1"/>
  <c r="B15" i="11" s="1"/>
  <c r="B16" i="11" s="1"/>
  <c r="F23" i="4" l="1"/>
  <c r="F47" i="4" s="1"/>
  <c r="E139" i="4"/>
  <c r="E140" i="4" s="1"/>
  <c r="E142" i="4" s="1"/>
  <c r="F142" i="4" l="1"/>
  <c r="E143" i="4" s="1"/>
  <c r="I23" i="4"/>
  <c r="I22" i="4" s="1"/>
  <c r="I47" i="4" s="1"/>
  <c r="I142" i="4" s="1"/>
  <c r="H139" i="4"/>
  <c r="H140" i="4" s="1"/>
  <c r="H142" i="4" s="1"/>
  <c r="H143" i="4" l="1"/>
</calcChain>
</file>

<file path=xl/sharedStrings.xml><?xml version="1.0" encoding="utf-8"?>
<sst xmlns="http://schemas.openxmlformats.org/spreadsheetml/2006/main" count="413" uniqueCount="263">
  <si>
    <t>Clientes</t>
  </si>
  <si>
    <t>1º Semestre</t>
  </si>
  <si>
    <t>Fornecedores</t>
  </si>
  <si>
    <t>CMVMC</t>
  </si>
  <si>
    <t>FSE</t>
  </si>
  <si>
    <t xml:space="preserve"> </t>
  </si>
  <si>
    <t>Financiamentos obtidos</t>
  </si>
  <si>
    <t>Valor</t>
  </si>
  <si>
    <t>+</t>
  </si>
  <si>
    <t>-</t>
  </si>
  <si>
    <t>Gastos com o pessoal</t>
  </si>
  <si>
    <t>Retenção imposto s/ rendimento</t>
  </si>
  <si>
    <t>Letras</t>
  </si>
  <si>
    <t>Balencete entre Meses Periodo e Acumulado</t>
  </si>
  <si>
    <t>Data Emissão 26/04/2016</t>
  </si>
  <si>
    <t>Exercício 2015</t>
  </si>
  <si>
    <t>Conta</t>
  </si>
  <si>
    <t>Descrição</t>
  </si>
  <si>
    <t>Período</t>
  </si>
  <si>
    <t>Ajustamentos extra-digráficos</t>
  </si>
  <si>
    <t>Notas</t>
  </si>
  <si>
    <t>Saldo ajustados</t>
  </si>
  <si>
    <t>Débito</t>
  </si>
  <si>
    <t>Crédito</t>
  </si>
  <si>
    <t>MEIOS FINANCEIROS LÍQUIDOS</t>
  </si>
  <si>
    <t>Depósitos à ordem</t>
  </si>
  <si>
    <t>Banco On-Line</t>
  </si>
  <si>
    <t>Total Classe</t>
  </si>
  <si>
    <t>CONTAS A RECEBER E A PAGAR</t>
  </si>
  <si>
    <t>Clientes c/c</t>
  </si>
  <si>
    <t>Fornecedores-conta corrente</t>
  </si>
  <si>
    <t>Pessoal</t>
  </si>
  <si>
    <t>Estado e outros entes públicos</t>
  </si>
  <si>
    <t>Trabalho dependente</t>
  </si>
  <si>
    <t>Sobretaxa IRS</t>
  </si>
  <si>
    <t>IVA-imposto sobre o valor acrescentado</t>
  </si>
  <si>
    <t>Outros impostos</t>
  </si>
  <si>
    <t>Contribuições segurança social</t>
  </si>
  <si>
    <t>Instituições crédito e soc. financeiras</t>
  </si>
  <si>
    <t>Emprestimos bancários</t>
  </si>
  <si>
    <t>Locações financeiras</t>
  </si>
  <si>
    <t>Outras contas a receber e a pagar</t>
  </si>
  <si>
    <t>Devedores e credores por acréscimos</t>
  </si>
  <si>
    <t>Credores  por acréscimos  de gastos</t>
  </si>
  <si>
    <t>INVENTÁRIOS E ATIVOS BIOLOGICOS</t>
  </si>
  <si>
    <t>Compras</t>
  </si>
  <si>
    <t>Mercadorias</t>
  </si>
  <si>
    <t>Matérias-primas, subsid. e de consumo</t>
  </si>
  <si>
    <t>INVESTIMENTOS</t>
  </si>
  <si>
    <t>Investimentos financeiros</t>
  </si>
  <si>
    <t>Outros</t>
  </si>
  <si>
    <t>Ativos fixos tangíveis</t>
  </si>
  <si>
    <t>Equipamento básico</t>
  </si>
  <si>
    <t>Equipamento de transporte</t>
  </si>
  <si>
    <t>Equipamento administrativo</t>
  </si>
  <si>
    <t>Outros ativos fixos tangíveis</t>
  </si>
  <si>
    <t>Ativos intangíveis</t>
  </si>
  <si>
    <t>Amortizações acumuladas</t>
  </si>
  <si>
    <t>CAPITAL, RESERVAS E RESULTADOS TRANSITADOS</t>
  </si>
  <si>
    <t>Capital</t>
  </si>
  <si>
    <t>GASTOS</t>
  </si>
  <si>
    <t>Fornecimentos e serviços externos</t>
  </si>
  <si>
    <t>Serviços especializados</t>
  </si>
  <si>
    <t>Materiais</t>
  </si>
  <si>
    <t>Energia e fluídos</t>
  </si>
  <si>
    <t>Electricidade</t>
  </si>
  <si>
    <t>Combustíveis</t>
  </si>
  <si>
    <t>Água</t>
  </si>
  <si>
    <t>Deslocaçoes,estadias e transportes</t>
  </si>
  <si>
    <t>Serviços diversos</t>
  </si>
  <si>
    <t>Rendas e alugueres</t>
  </si>
  <si>
    <t>Comunicações</t>
  </si>
  <si>
    <t>Seguros</t>
  </si>
  <si>
    <t>Contencioso e notariado</t>
  </si>
  <si>
    <t>Despesas de representação</t>
  </si>
  <si>
    <t>Limpeza,higiene e conforto</t>
  </si>
  <si>
    <t>Remunerações dos corpos sociais</t>
  </si>
  <si>
    <t>Remunerações principais</t>
  </si>
  <si>
    <t>Subsidio de Férias</t>
  </si>
  <si>
    <t>Remunerações do pessoal</t>
  </si>
  <si>
    <t>Pessoal de produção</t>
  </si>
  <si>
    <t>Encargos sobre remunerações</t>
  </si>
  <si>
    <t>Orgãos sociais</t>
  </si>
  <si>
    <t>Seguros de acidentes trabalho doenças p.</t>
  </si>
  <si>
    <t>Outros gastos com o pessoal</t>
  </si>
  <si>
    <t>seguro de vida</t>
  </si>
  <si>
    <t>Outros gastos e perdas</t>
  </si>
  <si>
    <t>Impostos</t>
  </si>
  <si>
    <t>Quotizações</t>
  </si>
  <si>
    <t>Gastos e perdas de financiamento</t>
  </si>
  <si>
    <t>Juros suportados</t>
  </si>
  <si>
    <t>Outras gastos e perdas de financiamento</t>
  </si>
  <si>
    <t>RENDIMENTOS</t>
  </si>
  <si>
    <t>Vendas</t>
  </si>
  <si>
    <t>Prestações de serviços</t>
  </si>
  <si>
    <t>Diferimentos</t>
  </si>
  <si>
    <t>Gastos a Reconhecer</t>
  </si>
  <si>
    <t>IRC do período findo a 30 de junho de 2015</t>
  </si>
  <si>
    <t>Justificação legal</t>
  </si>
  <si>
    <t>RAI</t>
  </si>
  <si>
    <t>Correções fiscais</t>
  </si>
  <si>
    <t xml:space="preserve">   Depreciações não aceites</t>
  </si>
  <si>
    <t>34.º, n.º 1, al. e) alterada pela Lei n.º 82-D/2014, de 31.12</t>
  </si>
  <si>
    <t xml:space="preserve">   Seguro de vida n.º 16104</t>
  </si>
  <si>
    <t>Não cumprimento da al. a), n.º 4, art.º 43.º</t>
  </si>
  <si>
    <t xml:space="preserve">   Quotizações a favor da associação empresarial ACISE </t>
  </si>
  <si>
    <t>Art.º 44.º, n.º 1 e n.º 2</t>
  </si>
  <si>
    <t>Art.º 19.º EBF</t>
  </si>
  <si>
    <t>Lucro tributável</t>
  </si>
  <si>
    <t>art.º 17.º</t>
  </si>
  <si>
    <t>Prejuízos fiscais</t>
  </si>
  <si>
    <t>Art.º 52.º</t>
  </si>
  <si>
    <t>Benefícios fiscais</t>
  </si>
  <si>
    <t>anexo D</t>
  </si>
  <si>
    <t>Matéria coletável</t>
  </si>
  <si>
    <t>Art.º 15.º</t>
  </si>
  <si>
    <t>Coleta</t>
  </si>
  <si>
    <t>Art.º 87.º</t>
  </si>
  <si>
    <t>Deduções à coleta</t>
  </si>
  <si>
    <t>IRC liquidado</t>
  </si>
  <si>
    <t>n.º 9 art.º 90.º</t>
  </si>
  <si>
    <t>Retenções na fonte</t>
  </si>
  <si>
    <t>al. c) n.º 2 art.º 90.º</t>
  </si>
  <si>
    <t>Pagamentos por conta de IRC</t>
  </si>
  <si>
    <t>Art.º 104.º, 105.º e 107.º</t>
  </si>
  <si>
    <t>IRC a pagar</t>
  </si>
  <si>
    <t>Derrama municipal (1,5% - Aveiro)</t>
  </si>
  <si>
    <t>LFL n.º 18 e Ofício Circulado n.º 20186/2016</t>
  </si>
  <si>
    <t>Tributações autónomas</t>
  </si>
  <si>
    <t>TOTAL GERAL OU A TRANSPORTAR</t>
  </si>
  <si>
    <t>Total de Ativos Intangíveis</t>
  </si>
  <si>
    <t>Anual</t>
  </si>
  <si>
    <t>Duodécimos</t>
  </si>
  <si>
    <t>44 - Ativos Intangíveis</t>
  </si>
  <si>
    <t>Total dos Ativos Fixos Tangíveis</t>
  </si>
  <si>
    <t>Total de Outros AFT</t>
  </si>
  <si>
    <t>437 - Outros AFT</t>
  </si>
  <si>
    <t>Total do Eq. Administrativo</t>
  </si>
  <si>
    <t>435 - Eq.Administrativo</t>
  </si>
  <si>
    <t>Total do Eq. Transporte</t>
  </si>
  <si>
    <t>434 - Eq. Transporte</t>
  </si>
  <si>
    <t>Total do Eq. Básico</t>
  </si>
  <si>
    <t>433 - Eq. Básico</t>
  </si>
  <si>
    <t>43 - Ativos Fixos Tangíveis</t>
  </si>
  <si>
    <t>Regime</t>
  </si>
  <si>
    <t>Método</t>
  </si>
  <si>
    <t>Quantia Escriturada</t>
  </si>
  <si>
    <t>Depreciações Amortizações</t>
  </si>
  <si>
    <t>Vida útil (anos)</t>
  </si>
  <si>
    <t>Taxa</t>
  </si>
  <si>
    <t>Depreciações Amortizações Anuais 2015</t>
  </si>
  <si>
    <t>DepreciaçõesAmortizações Semestre</t>
  </si>
  <si>
    <t>Custo de Aquisição</t>
  </si>
  <si>
    <t>Quantidade</t>
  </si>
  <si>
    <t>Mapa de Ativos Fixos</t>
  </si>
  <si>
    <t>Data</t>
  </si>
  <si>
    <t>Descritivo</t>
  </si>
  <si>
    <t>Dias</t>
  </si>
  <si>
    <t>Valor Total</t>
  </si>
  <si>
    <t>Quotas ACISE</t>
  </si>
  <si>
    <t>01-01-2015 a 31-12-2015</t>
  </si>
  <si>
    <t>Orgãos Sociais</t>
  </si>
  <si>
    <t>Acréscimos</t>
  </si>
  <si>
    <t xml:space="preserve">Total do gasto </t>
  </si>
  <si>
    <t>Gasto do período a acrescer</t>
  </si>
  <si>
    <t>Locação Financeira</t>
  </si>
  <si>
    <t>01-04-2015 a 01-07-2015</t>
  </si>
  <si>
    <t>Eletricidade</t>
  </si>
  <si>
    <t>Encargos Orgãos Sociais</t>
  </si>
  <si>
    <t>Encargos Pessoal</t>
  </si>
  <si>
    <t>Total do gasto</t>
  </si>
  <si>
    <t>Estimativa de Férias</t>
  </si>
  <si>
    <t>Existências Iniciais</t>
  </si>
  <si>
    <t>Matérias Primas</t>
  </si>
  <si>
    <t>±</t>
  </si>
  <si>
    <t>Regularizações</t>
  </si>
  <si>
    <t>Existencias Finais</t>
  </si>
  <si>
    <t>=</t>
  </si>
  <si>
    <t>Sinal</t>
  </si>
  <si>
    <t xml:space="preserve">Calculos Auxiliares: </t>
  </si>
  <si>
    <t>Calculos Auxiliares: Limite</t>
  </si>
  <si>
    <t>Majoração</t>
  </si>
  <si>
    <t>Base Fiscal</t>
  </si>
  <si>
    <t xml:space="preserve">   Desempregados de Longa Duração</t>
  </si>
  <si>
    <t>Calculos auxiliares:</t>
  </si>
  <si>
    <t xml:space="preserve">Total a pagar </t>
  </si>
  <si>
    <t>Valores balancete 30-06-15</t>
  </si>
  <si>
    <t>Depreciações Acumuladas</t>
  </si>
  <si>
    <t>Custo das Mercadorias Vendidas e Matérias Consumidas</t>
  </si>
  <si>
    <t>Férias</t>
  </si>
  <si>
    <t>Subsidio de Natal</t>
  </si>
  <si>
    <t>Estimativa Subsidio de Férias</t>
  </si>
  <si>
    <t>Saldo Credor</t>
  </si>
  <si>
    <t>Resultados</t>
  </si>
  <si>
    <t>Imposto sobre o Rendimento do periodo</t>
  </si>
  <si>
    <t>Total da classe</t>
  </si>
  <si>
    <t>Art.º 88.º nº 3-c) e nº 5</t>
  </si>
  <si>
    <t>Saldo Devedor</t>
  </si>
  <si>
    <t>Com Iva Dedutivel</t>
  </si>
  <si>
    <t>Com Iva não dedutivel</t>
  </si>
  <si>
    <t>Estimativa do Imposto sobre o Rendimento</t>
  </si>
  <si>
    <t>Gastos de depreciação e amortização</t>
  </si>
  <si>
    <t>Total do Balancete</t>
  </si>
  <si>
    <t>Outros rendimentos e ganhos</t>
  </si>
  <si>
    <t>Computador Pro</t>
  </si>
  <si>
    <t>Impressora multifunções</t>
  </si>
  <si>
    <t>mercedez-benz-A 160 CDI - leasing</t>
  </si>
  <si>
    <t>Cadeira para serviço administrativo</t>
  </si>
  <si>
    <t>Secretária para serviço administrativo</t>
  </si>
  <si>
    <t>Mesa para sala de reuniões</t>
  </si>
  <si>
    <t>Máquina de café</t>
  </si>
  <si>
    <t>Software Construção Civil</t>
  </si>
  <si>
    <t>Software antivirus</t>
  </si>
  <si>
    <t>33.33%</t>
  </si>
  <si>
    <t>Seguro acidentes de trabalho</t>
  </si>
  <si>
    <t>Seguro de vida</t>
  </si>
  <si>
    <t>Contrato leasing</t>
  </si>
  <si>
    <t>Seguro : SE-03-70 *</t>
  </si>
  <si>
    <t>Garantia bancária obra 04</t>
  </si>
  <si>
    <t>Garantia bancária obra 06</t>
  </si>
  <si>
    <t>% faturação &gt; % acabamento</t>
  </si>
  <si>
    <t>Nº de dias</t>
  </si>
  <si>
    <t>a diferir</t>
  </si>
  <si>
    <t>total a</t>
  </si>
  <si>
    <t>diferir</t>
  </si>
  <si>
    <t>Data Inicio</t>
  </si>
  <si>
    <t>Data fim</t>
  </si>
  <si>
    <t>Juros Leasing (n.º 34129)</t>
  </si>
  <si>
    <t>30/04/2015 a 30/10/2015</t>
  </si>
  <si>
    <t>Clientes-letras descontas</t>
  </si>
  <si>
    <t>Clientes adiantamentos</t>
  </si>
  <si>
    <t>IRS</t>
  </si>
  <si>
    <t>IVA-a recuperar</t>
  </si>
  <si>
    <t>Cartão de crédito</t>
  </si>
  <si>
    <t>Subcontratos</t>
  </si>
  <si>
    <t>Operações  isentas sem direito á dedução</t>
  </si>
  <si>
    <t>outros</t>
  </si>
  <si>
    <t>Outros não especificados</t>
  </si>
  <si>
    <t>TOTAL</t>
  </si>
  <si>
    <t>Gastos com Subsidio de Natal</t>
  </si>
  <si>
    <t>Estimativa do Subsidio de Férias</t>
  </si>
  <si>
    <t>Gastos com Férias</t>
  </si>
  <si>
    <t>Remuneração de ferias</t>
  </si>
  <si>
    <t>Subsidio de férias</t>
  </si>
  <si>
    <t>Encargos com a SS</t>
  </si>
  <si>
    <t>Sub. De natal</t>
  </si>
  <si>
    <t>Enargos Orgãos Sociais</t>
  </si>
  <si>
    <t>RUBRICAS</t>
  </si>
  <si>
    <t>PERÍODOS</t>
  </si>
  <si>
    <t>NOTAS</t>
  </si>
  <si>
    <t>2º Semestre</t>
  </si>
  <si>
    <t>RENDIMENTOS E GASTOS</t>
  </si>
  <si>
    <t>Vendas e serviços prestados</t>
  </si>
  <si>
    <t>Custo das mercadorias vendidas e das matérias consumidas</t>
  </si>
  <si>
    <t>Outros gastos e perdas.</t>
  </si>
  <si>
    <t>Resultados antes de depreciações, gastos de financiamento e impostos</t>
  </si>
  <si>
    <t>Gastos/reversões de depreciação e de amortização</t>
  </si>
  <si>
    <t>Resultado operacional (antes de gastos de financiamento e impostos)</t>
  </si>
  <si>
    <t>Juros e gastos similares suportados</t>
  </si>
  <si>
    <t>Resultado antes de impostos</t>
  </si>
  <si>
    <t>Imposto sobre o rendimento</t>
  </si>
  <si>
    <t>Resultado líquido do período</t>
  </si>
  <si>
    <t>Férias pagas a 15/07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</si>
</sst>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#.00;\-#,###.00;\ "/>
    <numFmt numFmtId="165" formatCode="#,##0.00_ ;\-#,##0.00\ "/>
    <numFmt numFmtId="166" formatCode="#,###.00;\(#,###.00\);"/>
  </numFmts>
  <fonts count="3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Times New Roman"/>
      <family val="1"/>
    </font>
    <font>
      <sz val="12"/>
      <color theme="0"/>
      <name val="Times New Roman"/>
      <family val="1"/>
    </font>
    <font>
      <sz val="12"/>
      <color theme="1"/>
      <name val="Times New Roman"/>
      <family val="1"/>
    </font>
    <font>
      <b/>
      <sz val="8"/>
      <color theme="0"/>
      <name val="Arial"/>
      <family val="2"/>
    </font>
    <font>
      <sz val="11"/>
      <color theme="1"/>
      <name val="Times New Roman"/>
      <family val="1"/>
    </font>
    <font>
      <sz val="11"/>
      <color theme="0"/>
      <name val="Times New Roman"/>
      <family val="1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b/>
      <sz val="12"/>
      <color theme="0"/>
      <name val="Times New Roman"/>
      <family val="1"/>
    </font>
    <font>
      <b/>
      <sz val="11"/>
      <color theme="0" tint="-4.9989318521683403E-2"/>
      <name val="Segoe UI"/>
      <family val="2"/>
    </font>
    <font>
      <sz val="11"/>
      <color theme="0" tint="-4.9989318521683403E-2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1"/>
      <color theme="1"/>
      <name val="Times New Roman"/>
      <family val="1"/>
    </font>
    <font>
      <sz val="8"/>
      <color theme="1"/>
      <name val="Arial"/>
      <family val="2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name val="Times New Roman"/>
      <family val="1"/>
    </font>
    <font>
      <b/>
      <sz val="8.8000000000000007"/>
      <color rgb="FF555555"/>
      <name val="Arial"/>
      <family val="2"/>
    </font>
    <font>
      <b/>
      <sz val="10"/>
      <color theme="0"/>
      <name val="Times New Roman"/>
      <family val="1"/>
    </font>
    <font>
      <sz val="10"/>
      <color theme="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3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3F3F3F"/>
      </left>
      <right/>
      <top style="double">
        <color rgb="FF3F3F3F"/>
      </top>
      <bottom/>
      <diagonal/>
    </border>
    <border>
      <left/>
      <right/>
      <top style="double">
        <color rgb="FF3F3F3F"/>
      </top>
      <bottom/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 style="double">
        <color rgb="FF3F3F3F"/>
      </left>
      <right/>
      <top/>
      <bottom style="double">
        <color rgb="FF3F3F3F"/>
      </bottom>
      <diagonal/>
    </border>
    <border>
      <left/>
      <right/>
      <top/>
      <bottom style="double">
        <color rgb="FF3F3F3F"/>
      </bottom>
      <diagonal/>
    </border>
    <border>
      <left/>
      <right style="double">
        <color rgb="FF3F3F3F"/>
      </right>
      <top/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double">
        <color rgb="FF3F3F3F"/>
      </left>
      <right style="double">
        <color rgb="FF3F3F3F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0" fontId="1" fillId="2" borderId="1" applyNumberFormat="0" applyAlignment="0" applyProtection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252">
    <xf numFmtId="0" fontId="0" fillId="0" borderId="0" xfId="0"/>
    <xf numFmtId="44" fontId="0" fillId="0" borderId="0" xfId="0" applyNumberFormat="1"/>
    <xf numFmtId="0" fontId="0" fillId="0" borderId="12" xfId="0" applyBorder="1"/>
    <xf numFmtId="0" fontId="2" fillId="7" borderId="0" xfId="0" applyFont="1" applyFill="1"/>
    <xf numFmtId="0" fontId="2" fillId="6" borderId="0" xfId="0" applyFont="1" applyFill="1"/>
    <xf numFmtId="0" fontId="0" fillId="0" borderId="0" xfId="0"/>
    <xf numFmtId="0" fontId="0" fillId="0" borderId="0" xfId="0" applyAlignment="1">
      <alignment horizontal="center"/>
    </xf>
    <xf numFmtId="0" fontId="6" fillId="0" borderId="0" xfId="0" applyFont="1"/>
    <xf numFmtId="0" fontId="0" fillId="0" borderId="0" xfId="0"/>
    <xf numFmtId="0" fontId="0" fillId="0" borderId="0" xfId="0"/>
    <xf numFmtId="8" fontId="2" fillId="8" borderId="0" xfId="0" applyNumberFormat="1" applyFont="1" applyFill="1" applyAlignment="1">
      <alignment horizontal="left" vertical="center"/>
    </xf>
    <xf numFmtId="0" fontId="0" fillId="8" borderId="0" xfId="0" applyFill="1" applyAlignment="1">
      <alignment horizontal="left" vertical="center"/>
    </xf>
    <xf numFmtId="8" fontId="2" fillId="8" borderId="0" xfId="0" applyNumberFormat="1" applyFont="1" applyFill="1" applyAlignment="1">
      <alignment horizontal="right" vertical="center"/>
    </xf>
    <xf numFmtId="0" fontId="7" fillId="8" borderId="2" xfId="0" applyFont="1" applyFill="1" applyBorder="1" applyAlignment="1">
      <alignment horizontal="left" vertical="center"/>
    </xf>
    <xf numFmtId="8" fontId="8" fillId="6" borderId="2" xfId="0" applyNumberFormat="1" applyFont="1" applyFill="1" applyBorder="1" applyAlignment="1">
      <alignment vertical="center"/>
    </xf>
    <xf numFmtId="0" fontId="9" fillId="6" borderId="2" xfId="0" applyFont="1" applyFill="1" applyBorder="1" applyAlignment="1">
      <alignment vertical="center"/>
    </xf>
    <xf numFmtId="2" fontId="8" fillId="6" borderId="2" xfId="0" applyNumberFormat="1" applyFont="1" applyFill="1" applyBorder="1" applyAlignment="1">
      <alignment vertical="center"/>
    </xf>
    <xf numFmtId="0" fontId="8" fillId="6" borderId="2" xfId="0" applyFont="1" applyFill="1" applyBorder="1" applyAlignment="1">
      <alignment vertical="center"/>
    </xf>
    <xf numFmtId="8" fontId="9" fillId="0" borderId="2" xfId="0" applyNumberFormat="1" applyFont="1" applyBorder="1" applyAlignment="1">
      <alignment vertical="center"/>
    </xf>
    <xf numFmtId="0" fontId="9" fillId="0" borderId="2" xfId="0" applyFont="1" applyBorder="1" applyAlignment="1">
      <alignment vertical="center"/>
    </xf>
    <xf numFmtId="10" fontId="9" fillId="0" borderId="2" xfId="0" applyNumberFormat="1" applyFont="1" applyBorder="1" applyAlignment="1">
      <alignment vertical="center"/>
    </xf>
    <xf numFmtId="2" fontId="9" fillId="0" borderId="2" xfId="0" applyNumberFormat="1" applyFont="1" applyBorder="1" applyAlignment="1">
      <alignment vertical="center"/>
    </xf>
    <xf numFmtId="8" fontId="9" fillId="0" borderId="2" xfId="0" applyNumberFormat="1" applyFont="1" applyBorder="1" applyAlignment="1">
      <alignment horizontal="right" vertical="center"/>
    </xf>
    <xf numFmtId="0" fontId="9" fillId="3" borderId="2" xfId="0" applyFont="1" applyFill="1" applyBorder="1" applyAlignment="1">
      <alignment vertical="center"/>
    </xf>
    <xf numFmtId="8" fontId="8" fillId="8" borderId="2" xfId="0" applyNumberFormat="1" applyFont="1" applyFill="1" applyBorder="1" applyAlignment="1">
      <alignment vertical="center"/>
    </xf>
    <xf numFmtId="0" fontId="9" fillId="8" borderId="2" xfId="0" applyFont="1" applyFill="1" applyBorder="1" applyAlignment="1">
      <alignment vertical="center"/>
    </xf>
    <xf numFmtId="0" fontId="8" fillId="8" borderId="2" xfId="0" applyFont="1" applyFill="1" applyBorder="1" applyAlignment="1">
      <alignment vertical="center"/>
    </xf>
    <xf numFmtId="44" fontId="9" fillId="0" borderId="2" xfId="0" applyNumberFormat="1" applyFont="1" applyBorder="1" applyAlignment="1">
      <alignment vertical="center"/>
    </xf>
    <xf numFmtId="10" fontId="9" fillId="0" borderId="2" xfId="4" applyNumberFormat="1" applyFont="1" applyBorder="1" applyAlignment="1">
      <alignment vertical="center"/>
    </xf>
    <xf numFmtId="44" fontId="8" fillId="6" borderId="2" xfId="0" applyNumberFormat="1" applyFont="1" applyFill="1" applyBorder="1" applyAlignment="1">
      <alignment vertical="center"/>
    </xf>
    <xf numFmtId="0" fontId="8" fillId="9" borderId="2" xfId="0" applyFont="1" applyFill="1" applyBorder="1" applyAlignment="1">
      <alignment vertical="center"/>
    </xf>
    <xf numFmtId="44" fontId="8" fillId="10" borderId="2" xfId="0" applyNumberFormat="1" applyFont="1" applyFill="1" applyBorder="1" applyAlignment="1">
      <alignment vertical="center"/>
    </xf>
    <xf numFmtId="0" fontId="9" fillId="10" borderId="2" xfId="0" applyFont="1" applyFill="1" applyBorder="1" applyAlignment="1">
      <alignment vertical="center"/>
    </xf>
    <xf numFmtId="2" fontId="8" fillId="10" borderId="2" xfId="0" applyNumberFormat="1" applyFont="1" applyFill="1" applyBorder="1" applyAlignment="1">
      <alignment vertical="center"/>
    </xf>
    <xf numFmtId="0" fontId="8" fillId="10" borderId="2" xfId="0" applyFont="1" applyFill="1" applyBorder="1" applyAlignment="1">
      <alignment vertical="center"/>
    </xf>
    <xf numFmtId="10" fontId="9" fillId="0" borderId="2" xfId="0" applyNumberFormat="1" applyFont="1" applyBorder="1" applyAlignment="1">
      <alignment horizontal="right" vertical="center"/>
    </xf>
    <xf numFmtId="0" fontId="9" fillId="9" borderId="2" xfId="0" applyFont="1" applyFill="1" applyBorder="1" applyAlignment="1">
      <alignment vertical="center"/>
    </xf>
    <xf numFmtId="44" fontId="9" fillId="0" borderId="2" xfId="0" applyNumberFormat="1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10" fillId="11" borderId="2" xfId="0" applyFont="1" applyFill="1" applyBorder="1" applyAlignment="1">
      <alignment horizontal="center" vertical="center"/>
    </xf>
    <xf numFmtId="0" fontId="10" fillId="11" borderId="2" xfId="0" applyFont="1" applyFill="1" applyBorder="1" applyAlignment="1">
      <alignment horizontal="center" vertical="center" wrapText="1"/>
    </xf>
    <xf numFmtId="0" fontId="10" fillId="11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2" fontId="0" fillId="0" borderId="2" xfId="0" applyNumberFormat="1" applyBorder="1"/>
    <xf numFmtId="0" fontId="2" fillId="10" borderId="2" xfId="0" applyFont="1" applyFill="1" applyBorder="1"/>
    <xf numFmtId="0" fontId="2" fillId="10" borderId="2" xfId="0" applyFont="1" applyFill="1" applyBorder="1" applyAlignment="1">
      <alignment horizontal="center"/>
    </xf>
    <xf numFmtId="2" fontId="2" fillId="10" borderId="2" xfId="0" applyNumberFormat="1" applyFont="1" applyFill="1" applyBorder="1"/>
    <xf numFmtId="14" fontId="0" fillId="0" borderId="0" xfId="0" applyNumberFormat="1"/>
    <xf numFmtId="0" fontId="0" fillId="0" borderId="23" xfId="0" applyFill="1" applyBorder="1"/>
    <xf numFmtId="0" fontId="0" fillId="0" borderId="0" xfId="0" applyFill="1" applyBorder="1" applyAlignment="1">
      <alignment horizontal="center"/>
    </xf>
    <xf numFmtId="2" fontId="0" fillId="0" borderId="0" xfId="0" applyNumberFormat="1" applyFill="1" applyBorder="1"/>
    <xf numFmtId="2" fontId="0" fillId="0" borderId="0" xfId="0" applyNumberFormat="1"/>
    <xf numFmtId="0" fontId="2" fillId="6" borderId="0" xfId="0" applyFont="1" applyFill="1" applyAlignment="1">
      <alignment horizontal="center"/>
    </xf>
    <xf numFmtId="2" fontId="2" fillId="6" borderId="0" xfId="0" applyNumberFormat="1" applyFont="1" applyFill="1"/>
    <xf numFmtId="0" fontId="0" fillId="0" borderId="0" xfId="0" applyFill="1" applyBorder="1"/>
    <xf numFmtId="0" fontId="9" fillId="0" borderId="0" xfId="0" applyFont="1" applyAlignment="1">
      <alignment vertical="center"/>
    </xf>
    <xf numFmtId="0" fontId="7" fillId="12" borderId="20" xfId="0" applyFont="1" applyFill="1" applyBorder="1" applyAlignment="1">
      <alignment horizontal="center" vertical="center" wrapText="1"/>
    </xf>
    <xf numFmtId="0" fontId="7" fillId="12" borderId="25" xfId="0" applyFont="1" applyFill="1" applyBorder="1" applyAlignment="1">
      <alignment horizontal="center" vertical="center" wrapText="1"/>
    </xf>
    <xf numFmtId="0" fontId="7" fillId="12" borderId="26" xfId="0" applyFont="1" applyFill="1" applyBorder="1" applyAlignment="1">
      <alignment horizontal="center" vertical="center" wrapText="1"/>
    </xf>
    <xf numFmtId="0" fontId="7" fillId="12" borderId="28" xfId="0" applyFont="1" applyFill="1" applyBorder="1" applyAlignment="1">
      <alignment horizontal="center" vertical="center" wrapText="1"/>
    </xf>
    <xf numFmtId="0" fontId="7" fillId="12" borderId="18" xfId="0" applyFont="1" applyFill="1" applyBorder="1" applyAlignment="1">
      <alignment horizontal="center" vertical="center" wrapText="1"/>
    </xf>
    <xf numFmtId="0" fontId="7" fillId="12" borderId="18" xfId="0" applyFont="1" applyFill="1" applyBorder="1" applyAlignment="1">
      <alignment horizontal="center"/>
    </xf>
    <xf numFmtId="0" fontId="11" fillId="0" borderId="0" xfId="0" applyFont="1"/>
    <xf numFmtId="14" fontId="11" fillId="0" borderId="0" xfId="0" applyNumberFormat="1" applyFont="1"/>
    <xf numFmtId="2" fontId="11" fillId="0" borderId="0" xfId="0" applyNumberFormat="1" applyFont="1"/>
    <xf numFmtId="0" fontId="12" fillId="13" borderId="0" xfId="0" applyFont="1" applyFill="1"/>
    <xf numFmtId="2" fontId="12" fillId="13" borderId="0" xfId="0" applyNumberFormat="1" applyFont="1" applyFill="1"/>
    <xf numFmtId="0" fontId="9" fillId="0" borderId="0" xfId="0" applyFont="1" applyAlignment="1">
      <alignment horizontal="center" vertical="center"/>
    </xf>
    <xf numFmtId="0" fontId="15" fillId="14" borderId="12" xfId="0" applyFont="1" applyFill="1" applyBorder="1" applyAlignment="1">
      <alignment horizontal="center" vertical="center"/>
    </xf>
    <xf numFmtId="0" fontId="13" fillId="0" borderId="12" xfId="0" applyFont="1" applyBorder="1"/>
    <xf numFmtId="0" fontId="14" fillId="13" borderId="12" xfId="0" applyFont="1" applyFill="1" applyBorder="1"/>
    <xf numFmtId="0" fontId="1" fillId="13" borderId="12" xfId="0" applyFont="1" applyFill="1" applyBorder="1"/>
    <xf numFmtId="0" fontId="0" fillId="13" borderId="12" xfId="0" applyFill="1" applyBorder="1"/>
    <xf numFmtId="0" fontId="0" fillId="0" borderId="0" xfId="0"/>
    <xf numFmtId="0" fontId="0" fillId="0" borderId="0" xfId="0"/>
    <xf numFmtId="0" fontId="16" fillId="13" borderId="20" xfId="0" applyFont="1" applyFill="1" applyBorder="1" applyAlignment="1"/>
    <xf numFmtId="0" fontId="17" fillId="13" borderId="0" xfId="0" applyFont="1" applyFill="1"/>
    <xf numFmtId="8" fontId="0" fillId="0" borderId="0" xfId="0" applyNumberFormat="1"/>
    <xf numFmtId="0" fontId="0" fillId="0" borderId="0" xfId="0"/>
    <xf numFmtId="0" fontId="0" fillId="9" borderId="0" xfId="0" applyFill="1"/>
    <xf numFmtId="0" fontId="1" fillId="13" borderId="12" xfId="0" applyNumberFormat="1" applyFont="1" applyFill="1" applyBorder="1" applyAlignment="1">
      <alignment horizontal="center" vertical="center"/>
    </xf>
    <xf numFmtId="164" fontId="1" fillId="13" borderId="12" xfId="0" applyNumberFormat="1" applyFont="1" applyFill="1" applyBorder="1" applyAlignment="1">
      <alignment horizontal="center"/>
    </xf>
    <xf numFmtId="0" fontId="18" fillId="0" borderId="0" xfId="0" applyFont="1"/>
    <xf numFmtId="0" fontId="18" fillId="9" borderId="0" xfId="0" applyFont="1" applyFill="1"/>
    <xf numFmtId="0" fontId="2" fillId="0" borderId="0" xfId="0" applyFont="1"/>
    <xf numFmtId="0" fontId="19" fillId="0" borderId="0" xfId="0" applyFont="1"/>
    <xf numFmtId="0" fontId="0" fillId="0" borderId="0" xfId="0" applyFont="1"/>
    <xf numFmtId="0" fontId="19" fillId="9" borderId="0" xfId="0" applyFont="1" applyFill="1"/>
    <xf numFmtId="0" fontId="6" fillId="5" borderId="0" xfId="0" applyFont="1" applyFill="1"/>
    <xf numFmtId="165" fontId="6" fillId="0" borderId="0" xfId="0" applyNumberFormat="1" applyFont="1"/>
    <xf numFmtId="44" fontId="6" fillId="0" borderId="0" xfId="0" applyNumberFormat="1" applyFont="1"/>
    <xf numFmtId="0" fontId="11" fillId="12" borderId="12" xfId="0" applyNumberFormat="1" applyFont="1" applyFill="1" applyBorder="1" applyAlignment="1">
      <alignment horizontal="left"/>
    </xf>
    <xf numFmtId="0" fontId="11" fillId="12" borderId="12" xfId="0" applyNumberFormat="1" applyFont="1" applyFill="1" applyBorder="1"/>
    <xf numFmtId="0" fontId="11" fillId="0" borderId="12" xfId="0" applyNumberFormat="1" applyFont="1" applyBorder="1" applyAlignment="1">
      <alignment horizontal="left"/>
    </xf>
    <xf numFmtId="0" fontId="11" fillId="0" borderId="12" xfId="0" applyNumberFormat="1" applyFont="1" applyBorder="1"/>
    <xf numFmtId="0" fontId="11" fillId="0" borderId="12" xfId="0" applyNumberFormat="1" applyFont="1" applyBorder="1" applyAlignment="1">
      <alignment horizontal="center"/>
    </xf>
    <xf numFmtId="0" fontId="21" fillId="0" borderId="12" xfId="0" applyNumberFormat="1" applyFont="1" applyBorder="1" applyAlignment="1">
      <alignment horizontal="center"/>
    </xf>
    <xf numFmtId="0" fontId="11" fillId="0" borderId="12" xfId="0" applyNumberFormat="1" applyFont="1" applyBorder="1" applyAlignment="1">
      <alignment horizontal="right"/>
    </xf>
    <xf numFmtId="0" fontId="22" fillId="9" borderId="12" xfId="0" applyNumberFormat="1" applyFont="1" applyFill="1" applyBorder="1" applyAlignment="1">
      <alignment horizontal="left"/>
    </xf>
    <xf numFmtId="0" fontId="22" fillId="9" borderId="12" xfId="0" applyNumberFormat="1" applyFont="1" applyFill="1" applyBorder="1"/>
    <xf numFmtId="44" fontId="12" fillId="8" borderId="12" xfId="0" applyNumberFormat="1" applyFont="1" applyFill="1" applyBorder="1"/>
    <xf numFmtId="0" fontId="11" fillId="9" borderId="12" xfId="0" applyNumberFormat="1" applyFont="1" applyFill="1" applyBorder="1" applyAlignment="1">
      <alignment horizontal="left"/>
    </xf>
    <xf numFmtId="0" fontId="11" fillId="9" borderId="12" xfId="0" applyNumberFormat="1" applyFont="1" applyFill="1" applyBorder="1"/>
    <xf numFmtId="0" fontId="21" fillId="9" borderId="12" xfId="0" applyNumberFormat="1" applyFont="1" applyFill="1" applyBorder="1" applyAlignment="1">
      <alignment horizontal="left"/>
    </xf>
    <xf numFmtId="0" fontId="21" fillId="9" borderId="12" xfId="0" applyNumberFormat="1" applyFont="1" applyFill="1" applyBorder="1"/>
    <xf numFmtId="0" fontId="22" fillId="0" borderId="12" xfId="0" applyNumberFormat="1" applyFont="1" applyBorder="1"/>
    <xf numFmtId="44" fontId="21" fillId="12" borderId="12" xfId="0" applyNumberFormat="1" applyFont="1" applyFill="1" applyBorder="1"/>
    <xf numFmtId="0" fontId="12" fillId="8" borderId="12" xfId="0" applyNumberFormat="1" applyFont="1" applyFill="1" applyBorder="1"/>
    <xf numFmtId="44" fontId="12" fillId="13" borderId="12" xfId="0" applyNumberFormat="1" applyFont="1" applyFill="1" applyBorder="1"/>
    <xf numFmtId="44" fontId="21" fillId="4" borderId="12" xfId="0" applyNumberFormat="1" applyFont="1" applyFill="1" applyBorder="1"/>
    <xf numFmtId="44" fontId="11" fillId="12" borderId="12" xfId="0" applyNumberFormat="1" applyFont="1" applyFill="1" applyBorder="1"/>
    <xf numFmtId="44" fontId="20" fillId="12" borderId="12" xfId="0" applyNumberFormat="1" applyFont="1" applyFill="1" applyBorder="1"/>
    <xf numFmtId="44" fontId="20" fillId="6" borderId="12" xfId="0" applyNumberFormat="1" applyFont="1" applyFill="1" applyBorder="1"/>
    <xf numFmtId="44" fontId="11" fillId="0" borderId="12" xfId="0" applyNumberFormat="1" applyFont="1" applyBorder="1"/>
    <xf numFmtId="44" fontId="11" fillId="6" borderId="12" xfId="0" applyNumberFormat="1" applyFont="1" applyFill="1" applyBorder="1"/>
    <xf numFmtId="44" fontId="21" fillId="8" borderId="12" xfId="0" applyNumberFormat="1" applyFont="1" applyFill="1" applyBorder="1"/>
    <xf numFmtId="44" fontId="12" fillId="6" borderId="12" xfId="0" applyNumberFormat="1" applyFont="1" applyFill="1" applyBorder="1"/>
    <xf numFmtId="44" fontId="21" fillId="0" borderId="12" xfId="0" applyNumberFormat="1" applyFont="1" applyBorder="1"/>
    <xf numFmtId="44" fontId="22" fillId="0" borderId="12" xfId="0" applyNumberFormat="1" applyFont="1" applyBorder="1"/>
    <xf numFmtId="44" fontId="23" fillId="0" borderId="12" xfId="0" applyNumberFormat="1" applyFont="1" applyBorder="1"/>
    <xf numFmtId="44" fontId="22" fillId="9" borderId="12" xfId="0" applyNumberFormat="1" applyFont="1" applyFill="1" applyBorder="1"/>
    <xf numFmtId="44" fontId="11" fillId="9" borderId="12" xfId="0" applyNumberFormat="1" applyFont="1" applyFill="1" applyBorder="1"/>
    <xf numFmtId="44" fontId="21" fillId="9" borderId="12" xfId="0" applyNumberFormat="1" applyFont="1" applyFill="1" applyBorder="1"/>
    <xf numFmtId="44" fontId="21" fillId="6" borderId="12" xfId="0" applyNumberFormat="1" applyFont="1" applyFill="1" applyBorder="1"/>
    <xf numFmtId="44" fontId="21" fillId="13" borderId="12" xfId="0" applyNumberFormat="1" applyFont="1" applyFill="1" applyBorder="1"/>
    <xf numFmtId="44" fontId="11" fillId="4" borderId="12" xfId="0" applyNumberFormat="1" applyFont="1" applyFill="1" applyBorder="1"/>
    <xf numFmtId="0" fontId="23" fillId="0" borderId="12" xfId="0" applyNumberFormat="1" applyFont="1" applyBorder="1"/>
    <xf numFmtId="0" fontId="0" fillId="0" borderId="0" xfId="0" applyNumberFormat="1"/>
    <xf numFmtId="44" fontId="18" fillId="9" borderId="0" xfId="0" applyNumberFormat="1" applyFont="1" applyFill="1"/>
    <xf numFmtId="0" fontId="16" fillId="13" borderId="20" xfId="0" applyFont="1" applyFill="1" applyBorder="1" applyAlignment="1">
      <alignment horizontal="center"/>
    </xf>
    <xf numFmtId="44" fontId="16" fillId="13" borderId="30" xfId="3" applyNumberFormat="1" applyFont="1" applyFill="1" applyBorder="1" applyAlignment="1">
      <alignment horizontal="center"/>
    </xf>
    <xf numFmtId="0" fontId="16" fillId="13" borderId="26" xfId="0" applyFont="1" applyFill="1" applyBorder="1" applyAlignment="1">
      <alignment horizontal="center"/>
    </xf>
    <xf numFmtId="0" fontId="24" fillId="0" borderId="12" xfId="0" applyFont="1" applyBorder="1" applyAlignment="1">
      <alignment horizontal="right"/>
    </xf>
    <xf numFmtId="44" fontId="11" fillId="0" borderId="12" xfId="3" applyNumberFormat="1" applyFont="1" applyBorder="1"/>
    <xf numFmtId="0" fontId="11" fillId="0" borderId="12" xfId="0" applyFont="1" applyBorder="1" applyAlignment="1">
      <alignment horizontal="center"/>
    </xf>
    <xf numFmtId="0" fontId="11" fillId="0" borderId="12" xfId="0" applyFont="1" applyBorder="1"/>
    <xf numFmtId="8" fontId="11" fillId="0" borderId="12" xfId="3" quotePrefix="1" applyNumberFormat="1" applyFont="1" applyBorder="1" applyAlignment="1">
      <alignment horizontal="right"/>
    </xf>
    <xf numFmtId="44" fontId="11" fillId="0" borderId="12" xfId="3" applyNumberFormat="1" applyFont="1" applyBorder="1" applyAlignment="1">
      <alignment horizontal="right"/>
    </xf>
    <xf numFmtId="0" fontId="0" fillId="0" borderId="0" xfId="0"/>
    <xf numFmtId="164" fontId="25" fillId="0" borderId="0" xfId="0" applyNumberFormat="1" applyFont="1"/>
    <xf numFmtId="0" fontId="27" fillId="0" borderId="22" xfId="0" applyFont="1" applyBorder="1"/>
    <xf numFmtId="44" fontId="27" fillId="0" borderId="22" xfId="0" applyNumberFormat="1" applyFont="1" applyBorder="1"/>
    <xf numFmtId="14" fontId="26" fillId="0" borderId="17" xfId="0" applyNumberFormat="1" applyFont="1" applyBorder="1" applyAlignment="1">
      <alignment horizontal="center" vertical="center"/>
    </xf>
    <xf numFmtId="0" fontId="27" fillId="0" borderId="31" xfId="0" applyFont="1" applyBorder="1" applyAlignment="1">
      <alignment horizontal="center"/>
    </xf>
    <xf numFmtId="14" fontId="26" fillId="0" borderId="32" xfId="0" applyNumberFormat="1" applyFont="1" applyBorder="1" applyAlignment="1">
      <alignment horizontal="center" vertical="center"/>
    </xf>
    <xf numFmtId="0" fontId="26" fillId="0" borderId="23" xfId="0" applyFont="1" applyBorder="1" applyAlignment="1">
      <alignment horizontal="center"/>
    </xf>
    <xf numFmtId="0" fontId="27" fillId="0" borderId="23" xfId="0" applyFont="1" applyBorder="1"/>
    <xf numFmtId="44" fontId="27" fillId="0" borderId="23" xfId="0" applyNumberFormat="1" applyFont="1" applyBorder="1"/>
    <xf numFmtId="0" fontId="27" fillId="0" borderId="32" xfId="0" applyFont="1" applyBorder="1" applyAlignment="1">
      <alignment horizontal="center"/>
    </xf>
    <xf numFmtId="0" fontId="27" fillId="0" borderId="21" xfId="0" applyFont="1" applyBorder="1"/>
    <xf numFmtId="44" fontId="27" fillId="0" borderId="21" xfId="0" applyNumberFormat="1" applyFont="1" applyBorder="1"/>
    <xf numFmtId="0" fontId="27" fillId="0" borderId="3" xfId="0" applyFont="1" applyBorder="1" applyAlignment="1">
      <alignment horizontal="center"/>
    </xf>
    <xf numFmtId="0" fontId="27" fillId="0" borderId="2" xfId="0" applyFont="1" applyBorder="1"/>
    <xf numFmtId="44" fontId="27" fillId="0" borderId="0" xfId="0" applyNumberFormat="1" applyFont="1"/>
    <xf numFmtId="0" fontId="26" fillId="0" borderId="22" xfId="0" applyFont="1" applyBorder="1"/>
    <xf numFmtId="44" fontId="26" fillId="0" borderId="22" xfId="5" applyFont="1" applyBorder="1"/>
    <xf numFmtId="0" fontId="26" fillId="0" borderId="31" xfId="0" applyNumberFormat="1" applyFont="1" applyBorder="1" applyAlignment="1">
      <alignment horizontal="center" vertical="center"/>
    </xf>
    <xf numFmtId="44" fontId="26" fillId="0" borderId="23" xfId="5" applyFont="1" applyBorder="1"/>
    <xf numFmtId="8" fontId="28" fillId="0" borderId="2" xfId="0" applyNumberFormat="1" applyFont="1" applyFill="1" applyBorder="1" applyAlignment="1">
      <alignment vertical="center"/>
    </xf>
    <xf numFmtId="0" fontId="21" fillId="9" borderId="12" xfId="0" applyNumberFormat="1" applyFont="1" applyFill="1" applyBorder="1" applyAlignment="1">
      <alignment horizontal="center"/>
    </xf>
    <xf numFmtId="0" fontId="25" fillId="0" borderId="0" xfId="0" applyNumberFormat="1" applyFont="1"/>
    <xf numFmtId="44" fontId="11" fillId="0" borderId="12" xfId="0" applyNumberFormat="1" applyFont="1" applyBorder="1" applyAlignment="1">
      <alignment horizontal="center"/>
    </xf>
    <xf numFmtId="0" fontId="0" fillId="0" borderId="0" xfId="0"/>
    <xf numFmtId="0" fontId="0" fillId="0" borderId="0" xfId="0"/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/>
    </xf>
    <xf numFmtId="0" fontId="2" fillId="0" borderId="0" xfId="0" applyFont="1" applyFill="1" applyBorder="1"/>
    <xf numFmtId="2" fontId="2" fillId="0" borderId="0" xfId="0" applyNumberFormat="1" applyFont="1" applyFill="1" applyBorder="1"/>
    <xf numFmtId="0" fontId="2" fillId="7" borderId="0" xfId="0" applyFont="1" applyFill="1" applyAlignment="1">
      <alignment horizontal="center"/>
    </xf>
    <xf numFmtId="2" fontId="2" fillId="7" borderId="0" xfId="0" applyNumberFormat="1" applyFont="1" applyFill="1"/>
    <xf numFmtId="0" fontId="2" fillId="0" borderId="17" xfId="0" applyFont="1" applyFill="1" applyBorder="1" applyAlignment="1">
      <alignment vertical="center"/>
    </xf>
    <xf numFmtId="0" fontId="0" fillId="0" borderId="0" xfId="0"/>
    <xf numFmtId="44" fontId="19" fillId="9" borderId="0" xfId="0" applyNumberFormat="1" applyFont="1" applyFill="1"/>
    <xf numFmtId="0" fontId="0" fillId="0" borderId="0" xfId="0"/>
    <xf numFmtId="0" fontId="0" fillId="0" borderId="0" xfId="0"/>
    <xf numFmtId="8" fontId="11" fillId="0" borderId="12" xfId="0" applyNumberFormat="1" applyFont="1" applyBorder="1"/>
    <xf numFmtId="0" fontId="0" fillId="0" borderId="0" xfId="0"/>
    <xf numFmtId="44" fontId="11" fillId="0" borderId="0" xfId="0" applyNumberFormat="1" applyFont="1" applyBorder="1"/>
    <xf numFmtId="0" fontId="21" fillId="0" borderId="12" xfId="0" applyNumberFormat="1" applyFont="1" applyBorder="1"/>
    <xf numFmtId="0" fontId="11" fillId="0" borderId="0" xfId="0" applyNumberFormat="1" applyFont="1" applyBorder="1"/>
    <xf numFmtId="0" fontId="21" fillId="0" borderId="0" xfId="0" applyNumberFormat="1" applyFont="1" applyBorder="1"/>
    <xf numFmtId="44" fontId="21" fillId="0" borderId="0" xfId="0" applyNumberFormat="1" applyFont="1" applyBorder="1"/>
    <xf numFmtId="0" fontId="29" fillId="0" borderId="0" xfId="0" applyFont="1"/>
    <xf numFmtId="14" fontId="30" fillId="3" borderId="12" xfId="0" applyNumberFormat="1" applyFont="1" applyFill="1" applyBorder="1" applyAlignment="1" applyProtection="1">
      <alignment horizontal="center"/>
    </xf>
    <xf numFmtId="0" fontId="32" fillId="9" borderId="12" xfId="0" applyFont="1" applyFill="1" applyBorder="1" applyAlignment="1" applyProtection="1">
      <alignment horizontal="center"/>
    </xf>
    <xf numFmtId="166" fontId="33" fillId="9" borderId="12" xfId="0" applyNumberFormat="1" applyFont="1" applyFill="1" applyBorder="1" applyAlignment="1" applyProtection="1">
      <alignment horizontal="right"/>
    </xf>
    <xf numFmtId="0" fontId="33" fillId="9" borderId="12" xfId="0" applyFont="1" applyFill="1" applyBorder="1" applyAlignment="1" applyProtection="1">
      <alignment horizontal="center"/>
    </xf>
    <xf numFmtId="0" fontId="33" fillId="9" borderId="12" xfId="0" applyFont="1" applyFill="1" applyBorder="1" applyProtection="1"/>
    <xf numFmtId="44" fontId="33" fillId="9" borderId="12" xfId="0" applyNumberFormat="1" applyFont="1" applyFill="1" applyBorder="1" applyAlignment="1" applyProtection="1">
      <alignment horizontal="right"/>
    </xf>
    <xf numFmtId="166" fontId="33" fillId="9" borderId="12" xfId="0" applyNumberFormat="1" applyFont="1" applyFill="1" applyBorder="1" applyAlignment="1" applyProtection="1">
      <alignment horizontal="right"/>
      <protection locked="0"/>
    </xf>
    <xf numFmtId="0" fontId="30" fillId="3" borderId="12" xfId="0" applyFont="1" applyFill="1" applyBorder="1" applyAlignment="1" applyProtection="1">
      <alignment horizontal="right"/>
    </xf>
    <xf numFmtId="44" fontId="30" fillId="3" borderId="12" xfId="0" applyNumberFormat="1" applyFont="1" applyFill="1" applyBorder="1" applyAlignment="1" applyProtection="1">
      <alignment horizontal="right"/>
    </xf>
    <xf numFmtId="166" fontId="30" fillId="3" borderId="12" xfId="0" applyNumberFormat="1" applyFont="1" applyFill="1" applyBorder="1" applyAlignment="1" applyProtection="1">
      <alignment horizontal="right"/>
    </xf>
    <xf numFmtId="0" fontId="30" fillId="3" borderId="12" xfId="0" applyFont="1" applyFill="1" applyBorder="1" applyAlignment="1" applyProtection="1">
      <alignment horizontal="center"/>
    </xf>
    <xf numFmtId="44" fontId="0" fillId="0" borderId="12" xfId="0" applyNumberFormat="1" applyBorder="1"/>
    <xf numFmtId="0" fontId="30" fillId="3" borderId="16" xfId="0" applyFont="1" applyFill="1" applyBorder="1" applyAlignment="1" applyProtection="1">
      <alignment horizontal="right"/>
    </xf>
    <xf numFmtId="44" fontId="30" fillId="3" borderId="16" xfId="0" applyNumberFormat="1" applyFont="1" applyFill="1" applyBorder="1" applyAlignment="1" applyProtection="1">
      <alignment horizontal="right"/>
    </xf>
    <xf numFmtId="166" fontId="30" fillId="3" borderId="16" xfId="0" applyNumberFormat="1" applyFont="1" applyFill="1" applyBorder="1" applyAlignment="1" applyProtection="1">
      <alignment horizontal="right"/>
    </xf>
    <xf numFmtId="0" fontId="30" fillId="3" borderId="16" xfId="0" applyFont="1" applyFill="1" applyBorder="1" applyAlignment="1" applyProtection="1">
      <alignment horizontal="center"/>
    </xf>
    <xf numFmtId="0" fontId="33" fillId="9" borderId="12" xfId="0" applyFont="1" applyFill="1" applyBorder="1" applyAlignment="1" applyProtection="1">
      <alignment horizontal="left"/>
    </xf>
    <xf numFmtId="0" fontId="2" fillId="3" borderId="12" xfId="0" applyFont="1" applyFill="1" applyBorder="1"/>
    <xf numFmtId="44" fontId="2" fillId="3" borderId="12" xfId="0" applyNumberFormat="1" applyFont="1" applyFill="1" applyBorder="1"/>
    <xf numFmtId="0" fontId="9" fillId="3" borderId="2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2" fillId="11" borderId="17" xfId="0" applyFont="1" applyFill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12" borderId="27" xfId="0" applyFont="1" applyFill="1" applyBorder="1" applyAlignment="1">
      <alignment horizontal="center" vertical="center"/>
    </xf>
    <xf numFmtId="0" fontId="7" fillId="12" borderId="19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2" fillId="14" borderId="29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44" fontId="12" fillId="13" borderId="12" xfId="0" applyNumberFormat="1" applyFont="1" applyFill="1" applyBorder="1" applyAlignment="1">
      <alignment horizontal="center"/>
    </xf>
    <xf numFmtId="44" fontId="11" fillId="4" borderId="12" xfId="0" applyNumberFormat="1" applyFont="1" applyFill="1" applyBorder="1" applyAlignment="1">
      <alignment horizontal="center"/>
    </xf>
    <xf numFmtId="0" fontId="1" fillId="13" borderId="13" xfId="0" applyNumberFormat="1" applyFont="1" applyFill="1" applyBorder="1" applyAlignment="1">
      <alignment horizontal="center"/>
    </xf>
    <xf numFmtId="0" fontId="1" fillId="13" borderId="14" xfId="0" applyNumberFormat="1" applyFont="1" applyFill="1" applyBorder="1" applyAlignment="1">
      <alignment horizontal="center"/>
    </xf>
    <xf numFmtId="44" fontId="12" fillId="8" borderId="12" xfId="0" applyNumberFormat="1" applyFont="1" applyFill="1" applyBorder="1" applyAlignment="1">
      <alignment horizontal="center"/>
    </xf>
    <xf numFmtId="0" fontId="1" fillId="13" borderId="13" xfId="0" applyFont="1" applyFill="1" applyBorder="1" applyAlignment="1">
      <alignment horizontal="center" vertical="center"/>
    </xf>
    <xf numFmtId="0" fontId="1" fillId="13" borderId="14" xfId="0" applyFont="1" applyFill="1" applyBorder="1" applyAlignment="1">
      <alignment horizontal="center" vertical="center"/>
    </xf>
    <xf numFmtId="164" fontId="3" fillId="9" borderId="4" xfId="1" applyNumberFormat="1" applyFont="1" applyFill="1" applyBorder="1" applyAlignment="1">
      <alignment horizontal="center" vertical="center" wrapText="1"/>
    </xf>
    <xf numFmtId="164" fontId="3" fillId="9" borderId="5" xfId="1" applyNumberFormat="1" applyFont="1" applyFill="1" applyBorder="1" applyAlignment="1">
      <alignment horizontal="center" vertical="center" wrapText="1"/>
    </xf>
    <xf numFmtId="164" fontId="3" fillId="9" borderId="6" xfId="1" applyNumberFormat="1" applyFont="1" applyFill="1" applyBorder="1" applyAlignment="1">
      <alignment horizontal="center" vertical="center" wrapText="1"/>
    </xf>
    <xf numFmtId="164" fontId="3" fillId="9" borderId="7" xfId="1" applyNumberFormat="1" applyFont="1" applyFill="1" applyBorder="1" applyAlignment="1">
      <alignment horizontal="center" vertical="center" wrapText="1"/>
    </xf>
    <xf numFmtId="164" fontId="3" fillId="9" borderId="8" xfId="1" applyNumberFormat="1" applyFont="1" applyFill="1" applyBorder="1" applyAlignment="1">
      <alignment horizontal="center" vertical="center" wrapText="1"/>
    </xf>
    <xf numFmtId="164" fontId="3" fillId="9" borderId="9" xfId="1" applyNumberFormat="1" applyFont="1" applyFill="1" applyBorder="1" applyAlignment="1">
      <alignment horizontal="center" vertical="center" wrapText="1"/>
    </xf>
    <xf numFmtId="0" fontId="3" fillId="9" borderId="10" xfId="1" applyFont="1" applyFill="1" applyBorder="1" applyAlignment="1">
      <alignment horizontal="left" vertical="center"/>
    </xf>
    <xf numFmtId="0" fontId="3" fillId="9" borderId="11" xfId="1" applyFont="1" applyFill="1" applyBorder="1" applyAlignment="1">
      <alignment horizontal="left" vertical="center"/>
    </xf>
    <xf numFmtId="0" fontId="3" fillId="9" borderId="11" xfId="1" applyNumberFormat="1" applyFont="1" applyFill="1" applyBorder="1" applyAlignment="1">
      <alignment horizontal="right" vertical="center"/>
    </xf>
    <xf numFmtId="0" fontId="3" fillId="9" borderId="11" xfId="1" applyNumberFormat="1" applyFont="1" applyFill="1" applyBorder="1" applyAlignment="1">
      <alignment horizontal="center" vertical="center"/>
    </xf>
    <xf numFmtId="164" fontId="1" fillId="13" borderId="13" xfId="0" applyNumberFormat="1" applyFont="1" applyFill="1" applyBorder="1" applyAlignment="1">
      <alignment horizontal="center" vertical="center"/>
    </xf>
    <xf numFmtId="164" fontId="1" fillId="13" borderId="14" xfId="0" applyNumberFormat="1" applyFont="1" applyFill="1" applyBorder="1" applyAlignment="1">
      <alignment horizontal="center" vertical="center"/>
    </xf>
    <xf numFmtId="0" fontId="1" fillId="13" borderId="13" xfId="0" applyFont="1" applyFill="1" applyBorder="1" applyAlignment="1">
      <alignment horizontal="center" vertical="center" wrapText="1"/>
    </xf>
    <xf numFmtId="0" fontId="1" fillId="13" borderId="14" xfId="0" applyFont="1" applyFill="1" applyBorder="1" applyAlignment="1">
      <alignment horizontal="center" vertical="center" wrapText="1"/>
    </xf>
    <xf numFmtId="0" fontId="1" fillId="13" borderId="15" xfId="0" applyFont="1" applyFill="1" applyBorder="1" applyAlignment="1">
      <alignment horizontal="center" vertical="center"/>
    </xf>
    <xf numFmtId="0" fontId="1" fillId="13" borderId="16" xfId="0" applyFont="1" applyFill="1" applyBorder="1" applyAlignment="1">
      <alignment horizontal="center" vertical="center"/>
    </xf>
    <xf numFmtId="0" fontId="30" fillId="3" borderId="12" xfId="0" applyFont="1" applyFill="1" applyBorder="1" applyAlignment="1" applyProtection="1">
      <alignment horizontal="center" vertical="center"/>
    </xf>
    <xf numFmtId="0" fontId="31" fillId="3" borderId="12" xfId="0" applyFont="1" applyFill="1" applyBorder="1" applyAlignment="1" applyProtection="1">
      <alignment vertical="center"/>
    </xf>
    <xf numFmtId="0" fontId="30" fillId="3" borderId="12" xfId="0" applyFont="1" applyFill="1" applyBorder="1" applyAlignment="1" applyProtection="1">
      <alignment horizontal="center"/>
    </xf>
    <xf numFmtId="0" fontId="10" fillId="11" borderId="22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Alignment="1">
      <alignment horizontal="center"/>
    </xf>
    <xf numFmtId="2" fontId="0" fillId="0" borderId="0" xfId="0" applyNumberFormat="1" applyFill="1"/>
    <xf numFmtId="0" fontId="2" fillId="0" borderId="0" xfId="0" applyFont="1" applyFill="1"/>
    <xf numFmtId="0" fontId="2" fillId="0" borderId="0" xfId="0" applyFont="1" applyFill="1" applyAlignment="1">
      <alignment horizontal="center"/>
    </xf>
    <xf numFmtId="2" fontId="2" fillId="0" borderId="0" xfId="0" applyNumberFormat="1" applyFont="1" applyFill="1"/>
  </cellXfs>
  <cellStyles count="6">
    <cellStyle name="Moeda" xfId="5" builtinId="4"/>
    <cellStyle name="Moeda 2" xfId="3"/>
    <cellStyle name="Normal" xfId="0" builtinId="0"/>
    <cellStyle name="Normal 3" xfId="2"/>
    <cellStyle name="Percentagem" xfId="4" builtinId="5"/>
    <cellStyle name="Verificar Célula" xfId="1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K35"/>
  <sheetViews>
    <sheetView topLeftCell="A16" workbookViewId="0">
      <selection activeCell="A18" sqref="A18"/>
    </sheetView>
  </sheetViews>
  <sheetFormatPr defaultRowHeight="14.5" x14ac:dyDescent="0.35"/>
  <cols>
    <col min="1" max="1" width="40.7265625" bestFit="1" customWidth="1"/>
    <col min="2" max="2" width="12.54296875" customWidth="1"/>
    <col min="3" max="3" width="13.7265625" bestFit="1" customWidth="1"/>
    <col min="4" max="4" width="12.453125" bestFit="1" customWidth="1"/>
    <col min="5" max="5" width="13.7265625" bestFit="1" customWidth="1"/>
    <col min="8" max="8" width="11.81640625" bestFit="1" customWidth="1"/>
    <col min="10" max="10" width="13.7265625" bestFit="1" customWidth="1"/>
    <col min="11" max="11" width="12.453125" bestFit="1" customWidth="1"/>
  </cols>
  <sheetData>
    <row r="1" spans="1:11" x14ac:dyDescent="0.35">
      <c r="A1" s="203" t="s">
        <v>154</v>
      </c>
      <c r="B1" s="203"/>
      <c r="C1" s="203"/>
      <c r="D1" s="203"/>
      <c r="E1" s="203"/>
      <c r="F1" s="203"/>
      <c r="G1" s="203"/>
      <c r="H1" s="203"/>
      <c r="I1" s="203"/>
      <c r="J1" s="203"/>
    </row>
    <row r="2" spans="1:11" x14ac:dyDescent="0.35">
      <c r="A2" s="203"/>
      <c r="B2" s="203"/>
      <c r="C2" s="203"/>
      <c r="D2" s="203"/>
      <c r="E2" s="203"/>
      <c r="F2" s="203"/>
      <c r="G2" s="203"/>
      <c r="H2" s="203"/>
      <c r="I2" s="203"/>
      <c r="J2" s="203"/>
    </row>
    <row r="3" spans="1:11" x14ac:dyDescent="0.35">
      <c r="A3" s="203"/>
      <c r="B3" s="203"/>
      <c r="C3" s="203"/>
      <c r="D3" s="203"/>
      <c r="E3" s="203"/>
      <c r="F3" s="203"/>
      <c r="G3" s="203"/>
      <c r="H3" s="203"/>
      <c r="I3" s="203"/>
      <c r="J3" s="203"/>
    </row>
    <row r="4" spans="1:11" x14ac:dyDescent="0.35">
      <c r="A4" s="203"/>
      <c r="B4" s="203"/>
      <c r="C4" s="203"/>
      <c r="D4" s="203"/>
      <c r="E4" s="203"/>
      <c r="F4" s="203"/>
      <c r="G4" s="203"/>
      <c r="H4" s="203"/>
      <c r="I4" s="203"/>
      <c r="J4" s="203"/>
    </row>
    <row r="5" spans="1:11" x14ac:dyDescent="0.35">
      <c r="A5" s="203"/>
      <c r="B5" s="203"/>
      <c r="C5" s="203"/>
      <c r="D5" s="203"/>
      <c r="E5" s="203"/>
      <c r="F5" s="203"/>
      <c r="G5" s="203"/>
      <c r="H5" s="203"/>
      <c r="I5" s="203"/>
      <c r="J5" s="203"/>
    </row>
    <row r="6" spans="1:11" ht="14.5" customHeight="1" x14ac:dyDescent="0.35">
      <c r="A6" s="204" t="s">
        <v>17</v>
      </c>
      <c r="B6" s="205" t="s">
        <v>153</v>
      </c>
      <c r="C6" s="205" t="s">
        <v>152</v>
      </c>
      <c r="D6" s="205" t="s">
        <v>151</v>
      </c>
      <c r="E6" s="205" t="s">
        <v>150</v>
      </c>
      <c r="F6" s="204" t="s">
        <v>149</v>
      </c>
      <c r="G6" s="205" t="s">
        <v>148</v>
      </c>
      <c r="H6" s="205" t="s">
        <v>147</v>
      </c>
      <c r="I6" s="205"/>
      <c r="J6" s="205" t="s">
        <v>146</v>
      </c>
    </row>
    <row r="7" spans="1:11" ht="14.5" customHeight="1" x14ac:dyDescent="0.35">
      <c r="A7" s="204"/>
      <c r="B7" s="205"/>
      <c r="C7" s="205"/>
      <c r="D7" s="205"/>
      <c r="E7" s="205"/>
      <c r="F7" s="204"/>
      <c r="G7" s="205"/>
      <c r="H7" s="205"/>
      <c r="I7" s="205"/>
      <c r="J7" s="205"/>
    </row>
    <row r="8" spans="1:11" ht="15.5" x14ac:dyDescent="0.35">
      <c r="A8" s="204"/>
      <c r="B8" s="205"/>
      <c r="C8" s="205"/>
      <c r="D8" s="205"/>
      <c r="E8" s="205"/>
      <c r="F8" s="204"/>
      <c r="G8" s="205"/>
      <c r="H8" s="17" t="s">
        <v>145</v>
      </c>
      <c r="I8" s="17" t="s">
        <v>144</v>
      </c>
      <c r="J8" s="205"/>
    </row>
    <row r="9" spans="1:11" ht="15.5" x14ac:dyDescent="0.35">
      <c r="A9" s="202" t="s">
        <v>143</v>
      </c>
      <c r="B9" s="202"/>
      <c r="C9" s="202"/>
      <c r="D9" s="202"/>
      <c r="E9" s="202"/>
      <c r="F9" s="202"/>
      <c r="G9" s="202"/>
      <c r="H9" s="202"/>
      <c r="I9" s="202"/>
      <c r="J9" s="202"/>
    </row>
    <row r="10" spans="1:11" ht="15.5" x14ac:dyDescent="0.35">
      <c r="A10" s="23" t="s">
        <v>142</v>
      </c>
      <c r="B10" s="19"/>
      <c r="C10" s="19"/>
      <c r="D10" s="19"/>
      <c r="E10" s="19"/>
      <c r="F10" s="20"/>
      <c r="G10" s="19"/>
      <c r="H10" s="19"/>
      <c r="I10" s="19"/>
      <c r="J10" s="19"/>
    </row>
    <row r="11" spans="1:11" ht="15.5" x14ac:dyDescent="0.35">
      <c r="A11" s="38" t="s">
        <v>204</v>
      </c>
      <c r="B11" s="19">
        <v>2</v>
      </c>
      <c r="C11" s="37">
        <f>2*937.5</f>
        <v>1875</v>
      </c>
      <c r="D11" s="21">
        <f t="shared" ref="D11:D12" si="0">(E11/12)*6</f>
        <v>312.5</v>
      </c>
      <c r="E11" s="27">
        <f t="shared" ref="E11:E12" si="1">C11/G11</f>
        <v>625</v>
      </c>
      <c r="F11" s="35" t="s">
        <v>213</v>
      </c>
      <c r="G11" s="19">
        <v>3</v>
      </c>
      <c r="H11" s="19" t="s">
        <v>132</v>
      </c>
      <c r="I11" s="19" t="s">
        <v>131</v>
      </c>
      <c r="J11" s="27">
        <f t="shared" ref="J11" si="2">C11-E11</f>
        <v>1250</v>
      </c>
      <c r="K11" s="1"/>
    </row>
    <row r="12" spans="1:11" ht="15.5" x14ac:dyDescent="0.35">
      <c r="A12" s="38" t="s">
        <v>205</v>
      </c>
      <c r="B12" s="19">
        <v>1</v>
      </c>
      <c r="C12" s="37">
        <v>163.63</v>
      </c>
      <c r="D12" s="21">
        <f t="shared" si="0"/>
        <v>27.271666666666668</v>
      </c>
      <c r="E12" s="27">
        <f t="shared" si="1"/>
        <v>54.543333333333329</v>
      </c>
      <c r="F12" s="35">
        <v>0.33329999999999999</v>
      </c>
      <c r="G12" s="19">
        <v>3</v>
      </c>
      <c r="H12" s="19" t="s">
        <v>132</v>
      </c>
      <c r="I12" s="19" t="s">
        <v>131</v>
      </c>
      <c r="J12" s="27">
        <f>C12-E12</f>
        <v>109.08666666666667</v>
      </c>
    </row>
    <row r="13" spans="1:11" ht="15.5" x14ac:dyDescent="0.35">
      <c r="A13" s="34" t="s">
        <v>141</v>
      </c>
      <c r="B13" s="32"/>
      <c r="C13" s="31">
        <f>SUM(C11:C12)</f>
        <v>2038.63</v>
      </c>
      <c r="D13" s="31">
        <f>SUM(D11:D12)</f>
        <v>339.77166666666665</v>
      </c>
      <c r="E13" s="33">
        <f>SUM(E11+E12)</f>
        <v>679.54333333333329</v>
      </c>
      <c r="F13" s="32"/>
      <c r="G13" s="32"/>
      <c r="H13" s="32"/>
      <c r="I13" s="32"/>
      <c r="J13" s="31">
        <f>SUM(J11:J12)</f>
        <v>1359.0866666666666</v>
      </c>
    </row>
    <row r="14" spans="1:11" ht="15.5" x14ac:dyDescent="0.35">
      <c r="A14" s="30"/>
      <c r="B14" s="30"/>
      <c r="C14" s="30"/>
      <c r="D14" s="30"/>
      <c r="E14" s="30"/>
      <c r="F14" s="30"/>
      <c r="G14" s="30"/>
      <c r="H14" s="30"/>
      <c r="I14" s="30"/>
      <c r="J14" s="30"/>
    </row>
    <row r="15" spans="1:11" ht="15.5" x14ac:dyDescent="0.35">
      <c r="A15" s="23" t="s">
        <v>140</v>
      </c>
      <c r="B15" s="19"/>
      <c r="D15" s="19"/>
      <c r="E15" s="19"/>
      <c r="F15" s="19"/>
      <c r="G15" s="19"/>
      <c r="H15" s="19"/>
      <c r="I15" s="19"/>
      <c r="J15" s="19"/>
    </row>
    <row r="16" spans="1:11" ht="15.5" x14ac:dyDescent="0.35">
      <c r="A16" s="19" t="s">
        <v>206</v>
      </c>
      <c r="B16" s="19">
        <v>1</v>
      </c>
      <c r="C16" s="37">
        <v>34751.64</v>
      </c>
      <c r="D16" s="18">
        <f>(E16/12)*6</f>
        <v>4343.9549999999999</v>
      </c>
      <c r="E16" s="27">
        <f>C16/G16</f>
        <v>8687.91</v>
      </c>
      <c r="F16" s="20">
        <v>0.25</v>
      </c>
      <c r="G16" s="19">
        <v>4</v>
      </c>
      <c r="H16" s="19" t="s">
        <v>132</v>
      </c>
      <c r="I16" s="19" t="s">
        <v>131</v>
      </c>
      <c r="J16" s="27">
        <f>C16-E16</f>
        <v>26063.73</v>
      </c>
    </row>
    <row r="17" spans="1:10" ht="15.5" x14ac:dyDescent="0.35">
      <c r="A17" s="17" t="s">
        <v>139</v>
      </c>
      <c r="B17" s="15"/>
      <c r="C17" s="29">
        <f>SUM(C16)</f>
        <v>34751.64</v>
      </c>
      <c r="D17" s="14">
        <f>SUM(D16:D16)</f>
        <v>4343.9549999999999</v>
      </c>
      <c r="E17" s="29">
        <f>SUM(E16:E16)</f>
        <v>8687.91</v>
      </c>
      <c r="F17" s="15"/>
      <c r="G17" s="15"/>
      <c r="H17" s="15"/>
      <c r="I17" s="15"/>
      <c r="J17" s="14">
        <f>SUM(J16:J16)</f>
        <v>26063.73</v>
      </c>
    </row>
    <row r="18" spans="1:10" ht="15.5" x14ac:dyDescent="0.35">
      <c r="A18" s="19"/>
      <c r="B18" s="19"/>
      <c r="C18" s="19"/>
      <c r="D18" s="19"/>
      <c r="E18" s="19"/>
      <c r="F18" s="19"/>
      <c r="G18" s="19"/>
      <c r="H18" s="19"/>
      <c r="I18" s="19"/>
      <c r="J18" s="19"/>
    </row>
    <row r="19" spans="1:10" ht="15.5" x14ac:dyDescent="0.35">
      <c r="A19" s="23" t="s">
        <v>138</v>
      </c>
      <c r="B19" s="19"/>
      <c r="C19" s="19"/>
      <c r="D19" s="19"/>
      <c r="E19" s="19"/>
      <c r="F19" s="19"/>
      <c r="G19" s="19"/>
      <c r="H19" s="19"/>
      <c r="I19" s="19"/>
      <c r="J19" s="19"/>
    </row>
    <row r="20" spans="1:10" ht="15.5" x14ac:dyDescent="0.35">
      <c r="A20" s="19" t="s">
        <v>207</v>
      </c>
      <c r="B20" s="19">
        <v>5</v>
      </c>
      <c r="C20" s="22">
        <f>84.56*B20</f>
        <v>422.8</v>
      </c>
      <c r="D20" s="21">
        <f>(E20/12)*5</f>
        <v>22.020833333333336</v>
      </c>
      <c r="E20" s="18">
        <f>C20/G20</f>
        <v>52.85</v>
      </c>
      <c r="F20" s="28">
        <v>0.125</v>
      </c>
      <c r="G20" s="19">
        <v>8</v>
      </c>
      <c r="H20" s="19" t="s">
        <v>132</v>
      </c>
      <c r="I20" s="19" t="s">
        <v>131</v>
      </c>
      <c r="J20" s="18">
        <f>C20-E20</f>
        <v>369.95</v>
      </c>
    </row>
    <row r="21" spans="1:10" s="138" customFormat="1" ht="15.5" x14ac:dyDescent="0.35">
      <c r="A21" s="19" t="s">
        <v>208</v>
      </c>
      <c r="B21" s="19">
        <v>2</v>
      </c>
      <c r="C21" s="22">
        <f>B21*384.38</f>
        <v>768.76</v>
      </c>
      <c r="D21" s="21">
        <f>(E21/12)*5</f>
        <v>40.039583333333333</v>
      </c>
      <c r="E21" s="18">
        <f>C21/G21</f>
        <v>96.094999999999999</v>
      </c>
      <c r="F21" s="28">
        <v>0.125</v>
      </c>
      <c r="G21" s="19">
        <v>8</v>
      </c>
      <c r="H21" s="19" t="s">
        <v>132</v>
      </c>
      <c r="I21" s="19" t="s">
        <v>131</v>
      </c>
      <c r="J21" s="18">
        <f>C21-E21</f>
        <v>672.66499999999996</v>
      </c>
    </row>
    <row r="22" spans="1:10" s="138" customFormat="1" ht="15.5" x14ac:dyDescent="0.35">
      <c r="A22" s="19" t="s">
        <v>209</v>
      </c>
      <c r="B22" s="19">
        <v>1</v>
      </c>
      <c r="C22" s="22">
        <v>238.31</v>
      </c>
      <c r="D22" s="21">
        <f>(E22/12)*5</f>
        <v>12.411979166666667</v>
      </c>
      <c r="E22" s="18">
        <f>C22/G22</f>
        <v>29.78875</v>
      </c>
      <c r="F22" s="28">
        <v>0.125</v>
      </c>
      <c r="G22" s="19">
        <v>8</v>
      </c>
      <c r="H22" s="19" t="s">
        <v>132</v>
      </c>
      <c r="I22" s="19" t="s">
        <v>131</v>
      </c>
      <c r="J22" s="18">
        <f>C22-E22</f>
        <v>208.52125000000001</v>
      </c>
    </row>
    <row r="23" spans="1:10" ht="15.5" x14ac:dyDescent="0.35">
      <c r="A23" s="17" t="s">
        <v>137</v>
      </c>
      <c r="B23" s="15"/>
      <c r="C23" s="14">
        <f>SUM(C20:C22)</f>
        <v>1429.87</v>
      </c>
      <c r="D23" s="16">
        <f>D20+D21+D22</f>
        <v>74.472395833333337</v>
      </c>
      <c r="E23" s="14">
        <f>E20+E21+E22</f>
        <v>178.73374999999999</v>
      </c>
      <c r="F23" s="15"/>
      <c r="G23" s="15"/>
      <c r="H23" s="15"/>
      <c r="I23" s="15"/>
      <c r="J23" s="14">
        <f>J20+J21+J22</f>
        <v>1251.13625</v>
      </c>
    </row>
    <row r="24" spans="1:10" ht="15.5" x14ac:dyDescent="0.35">
      <c r="A24" s="19"/>
      <c r="B24" s="19"/>
      <c r="C24" s="19"/>
      <c r="D24" s="19"/>
      <c r="E24" s="19"/>
      <c r="F24" s="19"/>
      <c r="G24" s="19"/>
      <c r="H24" s="19"/>
      <c r="I24" s="19"/>
      <c r="J24" s="19"/>
    </row>
    <row r="25" spans="1:10" ht="15.5" x14ac:dyDescent="0.35">
      <c r="A25" s="23" t="s">
        <v>136</v>
      </c>
      <c r="B25" s="19"/>
      <c r="C25" s="19"/>
      <c r="D25" s="19"/>
      <c r="E25" s="19"/>
      <c r="F25" s="19"/>
      <c r="G25" s="19"/>
      <c r="H25" s="19"/>
      <c r="I25" s="19"/>
      <c r="J25" s="19"/>
    </row>
    <row r="26" spans="1:10" ht="15.5" x14ac:dyDescent="0.35">
      <c r="A26" s="19" t="s">
        <v>210</v>
      </c>
      <c r="B26" s="19">
        <v>1</v>
      </c>
      <c r="C26" s="22">
        <v>2601.92</v>
      </c>
      <c r="D26" s="19">
        <f>(E26/12)*2</f>
        <v>61.950476190476195</v>
      </c>
      <c r="E26" s="18">
        <f>C26/G26</f>
        <v>371.70285714285717</v>
      </c>
      <c r="F26" s="20">
        <v>0.14030000000000001</v>
      </c>
      <c r="G26" s="19">
        <v>7</v>
      </c>
      <c r="H26" s="19" t="s">
        <v>132</v>
      </c>
      <c r="I26" s="19" t="s">
        <v>131</v>
      </c>
      <c r="J26" s="18">
        <f>C26-E26</f>
        <v>2230.2171428571428</v>
      </c>
    </row>
    <row r="27" spans="1:10" ht="15.5" x14ac:dyDescent="0.35">
      <c r="A27" s="17" t="s">
        <v>135</v>
      </c>
      <c r="B27" s="15"/>
      <c r="C27" s="14">
        <f>SUM(C26)</f>
        <v>2601.92</v>
      </c>
      <c r="D27" s="16">
        <f>SUM(D26:D26)</f>
        <v>61.950476190476195</v>
      </c>
      <c r="E27" s="14">
        <f>SUM(E26:E26)</f>
        <v>371.70285714285717</v>
      </c>
      <c r="F27" s="15"/>
      <c r="G27" s="15"/>
      <c r="H27" s="15"/>
      <c r="I27" s="15"/>
      <c r="J27" s="14">
        <f>SUM(J26:J26)</f>
        <v>2230.2171428571428</v>
      </c>
    </row>
    <row r="28" spans="1:10" ht="15.5" x14ac:dyDescent="0.35">
      <c r="A28" s="26" t="s">
        <v>134</v>
      </c>
      <c r="B28" s="25"/>
      <c r="C28" s="24">
        <f>C27+C23+C17+C13</f>
        <v>40822.06</v>
      </c>
      <c r="D28" s="24">
        <f>D27+D23+D17+D13</f>
        <v>4820.1495386904762</v>
      </c>
      <c r="E28" s="24">
        <f>E27+E23+E17+E13</f>
        <v>9917.8899404761905</v>
      </c>
      <c r="F28" s="25"/>
      <c r="G28" s="25"/>
      <c r="H28" s="25"/>
      <c r="I28" s="25"/>
      <c r="J28" s="24">
        <f>J27+J23+J17+J13</f>
        <v>30904.170059523807</v>
      </c>
    </row>
    <row r="29" spans="1:10" ht="15.5" x14ac:dyDescent="0.35">
      <c r="A29" s="19"/>
      <c r="B29" s="19"/>
      <c r="C29" s="19"/>
      <c r="D29" s="19"/>
      <c r="E29" s="19"/>
      <c r="F29" s="19"/>
      <c r="G29" s="19"/>
      <c r="H29" s="19"/>
      <c r="I29" s="19"/>
      <c r="J29" s="19"/>
    </row>
    <row r="30" spans="1:10" ht="15.5" x14ac:dyDescent="0.35">
      <c r="A30" s="202" t="s">
        <v>133</v>
      </c>
      <c r="B30" s="202"/>
      <c r="C30" s="202"/>
      <c r="D30" s="202"/>
      <c r="E30" s="202"/>
      <c r="F30" s="202"/>
      <c r="G30" s="202"/>
      <c r="H30" s="202"/>
      <c r="I30" s="202"/>
      <c r="J30" s="202"/>
    </row>
    <row r="31" spans="1:10" ht="15.5" x14ac:dyDescent="0.35">
      <c r="A31" s="23" t="s">
        <v>133</v>
      </c>
      <c r="B31" s="19"/>
      <c r="C31" s="19"/>
      <c r="D31" s="19"/>
      <c r="E31" s="19"/>
      <c r="F31" s="19"/>
      <c r="G31" s="19"/>
      <c r="H31" s="19"/>
      <c r="I31" s="19"/>
      <c r="J31" s="19"/>
    </row>
    <row r="32" spans="1:10" s="138" customFormat="1" ht="15.5" x14ac:dyDescent="0.35">
      <c r="A32" s="36" t="s">
        <v>212</v>
      </c>
      <c r="B32" s="19">
        <v>1</v>
      </c>
      <c r="C32" s="22">
        <v>56.25</v>
      </c>
      <c r="D32" s="21">
        <f>(E32/12)*3</f>
        <v>4.6875</v>
      </c>
      <c r="E32" s="18">
        <f>C32/G32</f>
        <v>18.75</v>
      </c>
      <c r="F32" s="20">
        <v>0.33329999999999999</v>
      </c>
      <c r="G32" s="19">
        <v>3</v>
      </c>
      <c r="H32" s="19" t="s">
        <v>132</v>
      </c>
      <c r="I32" s="19" t="s">
        <v>131</v>
      </c>
      <c r="J32" s="18">
        <f>C32-E32</f>
        <v>37.5</v>
      </c>
    </row>
    <row r="33" spans="1:10" ht="15.5" x14ac:dyDescent="0.35">
      <c r="A33" s="19" t="s">
        <v>211</v>
      </c>
      <c r="B33" s="19">
        <v>1</v>
      </c>
      <c r="C33" s="22">
        <v>8750</v>
      </c>
      <c r="D33" s="21">
        <f>(E33/12)*3</f>
        <v>729.16666666666663</v>
      </c>
      <c r="E33" s="18">
        <f>C33/G33</f>
        <v>2916.6666666666665</v>
      </c>
      <c r="F33" s="20">
        <v>0.33329999999999999</v>
      </c>
      <c r="G33" s="19">
        <v>3</v>
      </c>
      <c r="H33" s="19" t="s">
        <v>132</v>
      </c>
      <c r="I33" s="19" t="s">
        <v>131</v>
      </c>
      <c r="J33" s="18">
        <f>C33-E33</f>
        <v>5833.3333333333339</v>
      </c>
    </row>
    <row r="34" spans="1:10" ht="15.5" x14ac:dyDescent="0.35">
      <c r="A34" s="17" t="s">
        <v>130</v>
      </c>
      <c r="B34" s="15"/>
      <c r="C34" s="14">
        <f>SUM(C32:C33)</f>
        <v>8806.25</v>
      </c>
      <c r="D34" s="16">
        <f>D33</f>
        <v>729.16666666666663</v>
      </c>
      <c r="E34" s="14">
        <f>E33</f>
        <v>2916.6666666666665</v>
      </c>
      <c r="F34" s="15"/>
      <c r="G34" s="15"/>
      <c r="H34" s="15"/>
      <c r="I34" s="15"/>
      <c r="J34" s="14">
        <f>J33</f>
        <v>5833.3333333333339</v>
      </c>
    </row>
    <row r="35" spans="1:10" x14ac:dyDescent="0.35">
      <c r="A35" s="13" t="s">
        <v>129</v>
      </c>
      <c r="B35" s="11"/>
      <c r="C35" s="10">
        <f>C34+C28</f>
        <v>49628.31</v>
      </c>
      <c r="D35" s="10">
        <f>D34+D28</f>
        <v>5549.3162053571432</v>
      </c>
      <c r="E35" s="12">
        <f>E34+E28</f>
        <v>12834.556607142857</v>
      </c>
      <c r="F35" s="11"/>
      <c r="G35" s="11"/>
      <c r="H35" s="11"/>
      <c r="I35" s="11"/>
      <c r="J35" s="10">
        <f>J34+J28</f>
        <v>36737.503392857143</v>
      </c>
    </row>
  </sheetData>
  <mergeCells count="12">
    <mergeCell ref="A9:J9"/>
    <mergeCell ref="A30:J30"/>
    <mergeCell ref="A1:J5"/>
    <mergeCell ref="A6:A8"/>
    <mergeCell ref="B6:B8"/>
    <mergeCell ref="C6:C8"/>
    <mergeCell ref="D6:D8"/>
    <mergeCell ref="E6:E8"/>
    <mergeCell ref="F6:F8"/>
    <mergeCell ref="G6:G8"/>
    <mergeCell ref="H6:I7"/>
    <mergeCell ref="J6:J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J64"/>
  <sheetViews>
    <sheetView topLeftCell="A9" workbookViewId="0">
      <selection activeCell="G29" sqref="G29"/>
    </sheetView>
  </sheetViews>
  <sheetFormatPr defaultRowHeight="14.5" x14ac:dyDescent="0.35"/>
  <cols>
    <col min="1" max="1" width="22.1796875" customWidth="1"/>
    <col min="2" max="2" width="11.26953125" style="138" customWidth="1"/>
    <col min="4" max="4" width="31.1796875" bestFit="1" customWidth="1"/>
    <col min="6" max="6" width="10.26953125" bestFit="1" customWidth="1"/>
    <col min="8" max="8" width="10.453125" bestFit="1" customWidth="1"/>
  </cols>
  <sheetData>
    <row r="1" spans="1:10" x14ac:dyDescent="0.35">
      <c r="A1" s="203" t="s">
        <v>95</v>
      </c>
      <c r="B1" s="203"/>
      <c r="C1" s="203"/>
      <c r="D1" s="203"/>
      <c r="E1" s="203"/>
      <c r="F1" s="203"/>
      <c r="G1" s="203"/>
      <c r="H1" s="203"/>
      <c r="I1" s="203"/>
    </row>
    <row r="2" spans="1:10" x14ac:dyDescent="0.35">
      <c r="A2" s="203"/>
      <c r="B2" s="203"/>
      <c r="C2" s="203"/>
      <c r="D2" s="203"/>
      <c r="E2" s="203"/>
      <c r="F2" s="203"/>
      <c r="G2" s="203"/>
      <c r="H2" s="203"/>
      <c r="I2" s="203"/>
    </row>
    <row r="3" spans="1:10" x14ac:dyDescent="0.35">
      <c r="A3" s="203"/>
      <c r="B3" s="203"/>
      <c r="C3" s="203"/>
      <c r="D3" s="203"/>
      <c r="E3" s="203"/>
      <c r="F3" s="203"/>
      <c r="G3" s="203"/>
      <c r="H3" s="203"/>
      <c r="I3" s="203"/>
    </row>
    <row r="4" spans="1:10" x14ac:dyDescent="0.35">
      <c r="A4" s="203"/>
      <c r="B4" s="203"/>
      <c r="C4" s="203"/>
      <c r="D4" s="203"/>
      <c r="E4" s="203"/>
      <c r="F4" s="203"/>
      <c r="G4" s="203"/>
      <c r="H4" s="203"/>
      <c r="I4" s="203"/>
    </row>
    <row r="5" spans="1:10" x14ac:dyDescent="0.35">
      <c r="A5" s="203"/>
      <c r="B5" s="203"/>
      <c r="C5" s="203"/>
      <c r="D5" s="203"/>
      <c r="E5" s="203"/>
      <c r="F5" s="203"/>
      <c r="G5" s="203"/>
      <c r="H5" s="203"/>
      <c r="I5" s="203"/>
    </row>
    <row r="6" spans="1:10" x14ac:dyDescent="0.35">
      <c r="A6" s="39" t="s">
        <v>225</v>
      </c>
      <c r="B6" s="39" t="s">
        <v>226</v>
      </c>
      <c r="C6" s="39" t="s">
        <v>16</v>
      </c>
      <c r="D6" s="39" t="s">
        <v>156</v>
      </c>
      <c r="E6" s="39" t="s">
        <v>157</v>
      </c>
      <c r="F6" s="39" t="s">
        <v>158</v>
      </c>
      <c r="G6" s="40" t="s">
        <v>221</v>
      </c>
      <c r="H6" s="41" t="s">
        <v>223</v>
      </c>
      <c r="I6" s="207" t="s">
        <v>20</v>
      </c>
    </row>
    <row r="7" spans="1:10" x14ac:dyDescent="0.35">
      <c r="A7" s="39"/>
      <c r="B7" s="39"/>
      <c r="C7" s="39"/>
      <c r="D7" s="39"/>
      <c r="E7" s="39"/>
      <c r="F7" s="39"/>
      <c r="G7" s="40" t="s">
        <v>222</v>
      </c>
      <c r="H7" s="41" t="s">
        <v>224</v>
      </c>
      <c r="I7" s="207"/>
    </row>
    <row r="8" spans="1:10" ht="14.5" customHeight="1" x14ac:dyDescent="0.35">
      <c r="A8" s="142">
        <v>42010</v>
      </c>
      <c r="B8" s="144">
        <v>42375</v>
      </c>
      <c r="C8" s="145">
        <v>626</v>
      </c>
      <c r="D8" s="140" t="s">
        <v>214</v>
      </c>
      <c r="E8" s="42">
        <v>365</v>
      </c>
      <c r="F8" s="141">
        <v>4148.1499999999996</v>
      </c>
      <c r="G8" s="143">
        <v>190</v>
      </c>
      <c r="H8" s="43">
        <f t="shared" ref="H8:H13" si="0">F8/E8*G8</f>
        <v>2159.3109589041096</v>
      </c>
      <c r="I8" s="208"/>
    </row>
    <row r="9" spans="1:10" x14ac:dyDescent="0.35">
      <c r="A9" s="142">
        <v>42099</v>
      </c>
      <c r="B9" s="144">
        <v>42465</v>
      </c>
      <c r="C9" s="145">
        <v>638</v>
      </c>
      <c r="D9" s="146" t="s">
        <v>215</v>
      </c>
      <c r="E9" s="42">
        <v>365</v>
      </c>
      <c r="F9" s="147">
        <v>865.74</v>
      </c>
      <c r="G9" s="148">
        <v>279</v>
      </c>
      <c r="H9" s="43">
        <f t="shared" si="0"/>
        <v>661.75742465753433</v>
      </c>
      <c r="I9" s="208"/>
    </row>
    <row r="10" spans="1:10" x14ac:dyDescent="0.35">
      <c r="A10" s="142">
        <v>42124</v>
      </c>
      <c r="B10" s="144">
        <v>42855</v>
      </c>
      <c r="C10" s="145">
        <v>626</v>
      </c>
      <c r="D10" s="146" t="s">
        <v>216</v>
      </c>
      <c r="E10" s="42">
        <v>365</v>
      </c>
      <c r="F10" s="147">
        <v>28253.37</v>
      </c>
      <c r="G10" s="148">
        <v>304</v>
      </c>
      <c r="H10" s="43">
        <f t="shared" si="0"/>
        <v>23531.573917808215</v>
      </c>
      <c r="I10" s="208"/>
    </row>
    <row r="11" spans="1:10" x14ac:dyDescent="0.35">
      <c r="A11" s="142">
        <v>42155</v>
      </c>
      <c r="B11" s="144">
        <v>42521</v>
      </c>
      <c r="C11" s="145">
        <v>626</v>
      </c>
      <c r="D11" s="146" t="s">
        <v>217</v>
      </c>
      <c r="E11" s="42">
        <v>365</v>
      </c>
      <c r="F11" s="147">
        <v>1023.93</v>
      </c>
      <c r="G11" s="148">
        <v>335</v>
      </c>
      <c r="H11" s="43">
        <f t="shared" si="0"/>
        <v>939.77136986301366</v>
      </c>
      <c r="I11" s="208"/>
    </row>
    <row r="12" spans="1:10" x14ac:dyDescent="0.35">
      <c r="A12" s="142">
        <v>42162</v>
      </c>
      <c r="B12" s="144">
        <v>42528</v>
      </c>
      <c r="C12" s="145"/>
      <c r="D12" s="146" t="s">
        <v>218</v>
      </c>
      <c r="E12" s="42">
        <v>365</v>
      </c>
      <c r="F12" s="147">
        <v>132.80000000000001</v>
      </c>
      <c r="G12" s="148">
        <v>342</v>
      </c>
      <c r="H12" s="43">
        <f t="shared" si="0"/>
        <v>124.43178082191783</v>
      </c>
      <c r="I12" s="208"/>
      <c r="J12" s="51"/>
    </row>
    <row r="13" spans="1:10" s="138" customFormat="1" x14ac:dyDescent="0.35">
      <c r="A13" s="142">
        <v>42162</v>
      </c>
      <c r="B13" s="144">
        <v>42528</v>
      </c>
      <c r="C13" s="145"/>
      <c r="D13" s="149" t="s">
        <v>219</v>
      </c>
      <c r="E13" s="42">
        <v>365</v>
      </c>
      <c r="F13" s="150">
        <v>125.3</v>
      </c>
      <c r="G13" s="151">
        <v>342</v>
      </c>
      <c r="H13" s="43">
        <f t="shared" si="0"/>
        <v>117.40438356164383</v>
      </c>
      <c r="I13" s="208"/>
    </row>
    <row r="14" spans="1:10" x14ac:dyDescent="0.35">
      <c r="D14" s="152" t="s">
        <v>220</v>
      </c>
      <c r="H14" s="153">
        <v>136766.53</v>
      </c>
      <c r="I14" s="208"/>
    </row>
    <row r="15" spans="1:10" x14ac:dyDescent="0.35">
      <c r="A15" s="44"/>
      <c r="B15" s="44"/>
      <c r="C15" s="44"/>
      <c r="D15" s="44"/>
      <c r="E15" s="45"/>
      <c r="F15" s="44">
        <f>SUM(F8:F13)</f>
        <v>34549.29</v>
      </c>
      <c r="G15" s="44"/>
      <c r="H15" s="46">
        <f>SUM(H8:H14)</f>
        <v>164300.77983561644</v>
      </c>
      <c r="I15" s="208"/>
    </row>
    <row r="16" spans="1:10" x14ac:dyDescent="0.35">
      <c r="A16" s="47">
        <v>42010</v>
      </c>
      <c r="B16" s="47">
        <v>42010</v>
      </c>
      <c r="C16" s="48">
        <v>6833</v>
      </c>
      <c r="D16" s="48" t="s">
        <v>159</v>
      </c>
      <c r="E16" s="49">
        <v>365</v>
      </c>
      <c r="F16" s="50">
        <v>2543.75</v>
      </c>
      <c r="G16" s="143">
        <v>190</v>
      </c>
      <c r="H16" s="43">
        <f>F16/E16*G16</f>
        <v>1324.1438356164383</v>
      </c>
      <c r="I16" s="209"/>
    </row>
    <row r="17" spans="1:10" x14ac:dyDescent="0.35">
      <c r="A17" s="242"/>
      <c r="B17" s="242"/>
      <c r="C17" s="4"/>
      <c r="D17" s="4"/>
      <c r="E17" s="52"/>
      <c r="F17" s="53"/>
      <c r="G17" s="4"/>
      <c r="H17" s="53">
        <f>H16</f>
        <v>1324.1438356164383</v>
      </c>
      <c r="I17" s="209"/>
    </row>
    <row r="18" spans="1:10" ht="14.5" customHeight="1" x14ac:dyDescent="0.35">
      <c r="A18" s="3" t="s">
        <v>238</v>
      </c>
      <c r="B18" s="3"/>
      <c r="C18" s="3"/>
      <c r="D18" s="168"/>
      <c r="E18" s="169"/>
      <c r="F18" s="169">
        <f>F25+F17+F15</f>
        <v>34549.29</v>
      </c>
      <c r="G18" s="169"/>
      <c r="H18" s="169">
        <f>H25+H17+H15</f>
        <v>165624.92367123289</v>
      </c>
      <c r="I18" s="3"/>
      <c r="J18" s="167"/>
    </row>
    <row r="19" spans="1:10" s="162" customFormat="1" ht="14.5" customHeight="1" x14ac:dyDescent="0.35">
      <c r="A19" s="54"/>
      <c r="B19" s="54"/>
      <c r="C19" s="54"/>
      <c r="D19" s="243"/>
      <c r="E19" s="243"/>
      <c r="F19" s="243"/>
      <c r="G19" s="244"/>
      <c r="H19" s="244"/>
      <c r="I19" s="54"/>
      <c r="J19" s="54"/>
    </row>
    <row r="20" spans="1:10" x14ac:dyDescent="0.35">
      <c r="A20" s="245"/>
      <c r="B20" s="245"/>
      <c r="C20" s="245"/>
      <c r="D20" s="54"/>
      <c r="E20" s="245"/>
      <c r="F20" s="245"/>
      <c r="G20" s="170"/>
      <c r="H20" s="170"/>
      <c r="J20" s="162"/>
    </row>
    <row r="21" spans="1:10" x14ac:dyDescent="0.35">
      <c r="A21" s="246"/>
      <c r="B21" s="245"/>
      <c r="C21" s="245"/>
      <c r="D21" s="54"/>
      <c r="E21" s="247"/>
      <c r="F21" s="245"/>
      <c r="G21" s="245"/>
      <c r="H21" s="245"/>
      <c r="J21" s="162"/>
    </row>
    <row r="22" spans="1:10" x14ac:dyDescent="0.35">
      <c r="A22" s="246"/>
      <c r="B22" s="245"/>
      <c r="C22" s="245"/>
      <c r="D22" s="54"/>
      <c r="E22" s="247"/>
      <c r="F22" s="248"/>
      <c r="G22" s="245"/>
      <c r="H22" s="245"/>
      <c r="J22" s="51"/>
    </row>
    <row r="23" spans="1:10" x14ac:dyDescent="0.35">
      <c r="A23" s="246"/>
      <c r="B23" s="245"/>
      <c r="C23" s="245"/>
      <c r="D23" s="54"/>
      <c r="E23" s="247"/>
      <c r="F23" s="248"/>
      <c r="G23" s="245"/>
      <c r="H23" s="245"/>
      <c r="J23" s="51"/>
    </row>
    <row r="24" spans="1:10" x14ac:dyDescent="0.35">
      <c r="A24" s="246"/>
      <c r="B24" s="245"/>
      <c r="C24" s="245"/>
      <c r="D24" s="54"/>
      <c r="E24" s="247"/>
      <c r="F24" s="248"/>
      <c r="G24" s="245"/>
      <c r="H24" s="245"/>
      <c r="J24" s="51"/>
    </row>
    <row r="25" spans="1:10" x14ac:dyDescent="0.35">
      <c r="A25" s="249"/>
      <c r="B25" s="249"/>
      <c r="C25" s="249"/>
      <c r="D25" s="250"/>
      <c r="E25" s="251"/>
      <c r="F25" s="251"/>
      <c r="G25" s="251"/>
      <c r="H25" s="251"/>
      <c r="J25" s="167"/>
    </row>
    <row r="26" spans="1:10" x14ac:dyDescent="0.35">
      <c r="A26" s="245"/>
      <c r="B26" s="245"/>
      <c r="C26" s="245"/>
      <c r="D26" s="245"/>
      <c r="E26" s="245"/>
      <c r="F26" s="245"/>
      <c r="G26" s="245"/>
      <c r="H26" s="245"/>
    </row>
    <row r="27" spans="1:10" x14ac:dyDescent="0.35">
      <c r="A27" s="54"/>
      <c r="B27" s="54"/>
      <c r="C27" s="54"/>
      <c r="D27" s="54"/>
      <c r="E27" s="54"/>
      <c r="F27" s="54"/>
      <c r="G27" s="245"/>
      <c r="H27" s="245"/>
    </row>
    <row r="28" spans="1:10" x14ac:dyDescent="0.35">
      <c r="A28" s="166"/>
      <c r="B28" s="166"/>
      <c r="C28" s="166"/>
      <c r="D28" s="166"/>
      <c r="E28" s="166"/>
      <c r="F28" s="166"/>
      <c r="G28" s="245"/>
      <c r="H28" s="245"/>
    </row>
    <row r="29" spans="1:10" x14ac:dyDescent="0.35">
      <c r="A29" s="54"/>
      <c r="B29" s="54"/>
      <c r="C29" s="54"/>
      <c r="D29" s="54"/>
      <c r="E29" s="54"/>
      <c r="F29" s="54"/>
      <c r="G29" s="54"/>
      <c r="H29" s="54"/>
      <c r="I29" s="54"/>
    </row>
    <row r="30" spans="1:10" x14ac:dyDescent="0.35">
      <c r="A30" s="164"/>
      <c r="B30" s="164"/>
      <c r="C30" s="164"/>
      <c r="D30" s="164"/>
      <c r="E30" s="206"/>
      <c r="F30" s="206"/>
      <c r="G30" s="54"/>
      <c r="H30" s="54"/>
      <c r="I30" s="54"/>
    </row>
    <row r="31" spans="1:10" x14ac:dyDescent="0.35">
      <c r="A31" s="164"/>
      <c r="B31" s="164"/>
      <c r="C31" s="164"/>
      <c r="D31" s="164"/>
      <c r="E31" s="165"/>
      <c r="F31" s="165"/>
      <c r="G31" s="54"/>
      <c r="H31" s="54"/>
      <c r="I31" s="54"/>
    </row>
    <row r="32" spans="1:10" x14ac:dyDescent="0.35">
      <c r="A32" s="54"/>
      <c r="B32" s="54"/>
      <c r="C32" s="54"/>
      <c r="D32" s="54"/>
      <c r="E32" s="54"/>
      <c r="F32" s="54"/>
      <c r="G32" s="54"/>
      <c r="H32" s="54"/>
      <c r="I32" s="54"/>
    </row>
    <row r="33" spans="1:9" x14ac:dyDescent="0.35">
      <c r="A33" s="54"/>
      <c r="B33" s="54"/>
      <c r="C33" s="54"/>
      <c r="D33" s="54"/>
      <c r="E33" s="54"/>
      <c r="F33" s="54"/>
      <c r="G33" s="54"/>
      <c r="H33" s="54"/>
      <c r="I33" s="54"/>
    </row>
    <row r="34" spans="1:9" x14ac:dyDescent="0.35">
      <c r="A34" s="54"/>
      <c r="B34" s="54"/>
      <c r="C34" s="54"/>
      <c r="D34" s="54"/>
      <c r="E34" s="54"/>
      <c r="F34" s="54"/>
      <c r="G34" s="54"/>
      <c r="H34" s="54"/>
      <c r="I34" s="54"/>
    </row>
    <row r="35" spans="1:9" x14ac:dyDescent="0.35">
      <c r="A35" s="54"/>
      <c r="B35" s="54"/>
      <c r="C35" s="54"/>
      <c r="D35" s="54"/>
      <c r="E35" s="54"/>
      <c r="F35" s="54"/>
      <c r="G35" s="54"/>
      <c r="H35" s="54"/>
      <c r="I35" s="54"/>
    </row>
    <row r="36" spans="1:9" x14ac:dyDescent="0.35">
      <c r="A36" s="54"/>
      <c r="B36" s="54"/>
      <c r="C36" s="54"/>
      <c r="D36" s="54"/>
      <c r="E36" s="54"/>
      <c r="F36" s="54"/>
      <c r="G36" s="54"/>
      <c r="H36" s="54"/>
      <c r="I36" s="54"/>
    </row>
    <row r="37" spans="1:9" x14ac:dyDescent="0.35">
      <c r="A37" s="166"/>
      <c r="B37" s="166"/>
      <c r="C37" s="166"/>
      <c r="D37" s="166"/>
      <c r="E37" s="166"/>
      <c r="F37" s="166"/>
      <c r="G37" s="54"/>
      <c r="H37" s="54"/>
      <c r="I37" s="54"/>
    </row>
    <row r="38" spans="1:9" x14ac:dyDescent="0.35">
      <c r="A38" s="54"/>
      <c r="B38" s="54"/>
      <c r="C38" s="54"/>
      <c r="D38" s="54"/>
      <c r="E38" s="54"/>
      <c r="F38" s="54"/>
      <c r="G38" s="54"/>
      <c r="H38" s="54"/>
      <c r="I38" s="54"/>
    </row>
    <row r="39" spans="1:9" x14ac:dyDescent="0.35">
      <c r="A39" s="164"/>
      <c r="B39" s="164"/>
      <c r="C39" s="164"/>
      <c r="D39" s="164"/>
      <c r="E39" s="206"/>
      <c r="F39" s="206"/>
      <c r="G39" s="54"/>
      <c r="H39" s="54"/>
      <c r="I39" s="54"/>
    </row>
    <row r="40" spans="1:9" x14ac:dyDescent="0.35">
      <c r="A40" s="164"/>
      <c r="B40" s="164"/>
      <c r="C40" s="164"/>
      <c r="D40" s="164"/>
      <c r="E40" s="165"/>
      <c r="F40" s="165"/>
      <c r="G40" s="54"/>
      <c r="H40" s="54"/>
      <c r="I40" s="54"/>
    </row>
    <row r="41" spans="1:9" x14ac:dyDescent="0.35">
      <c r="A41" s="54"/>
      <c r="B41" s="54"/>
      <c r="C41" s="54"/>
      <c r="D41" s="54"/>
      <c r="E41" s="54"/>
      <c r="F41" s="54"/>
      <c r="G41" s="54"/>
      <c r="H41" s="54"/>
      <c r="I41" s="54"/>
    </row>
    <row r="42" spans="1:9" x14ac:dyDescent="0.35">
      <c r="A42" s="54"/>
      <c r="B42" s="54"/>
      <c r="C42" s="54"/>
      <c r="D42" s="54"/>
      <c r="E42" s="54"/>
      <c r="F42" s="54"/>
      <c r="G42" s="54"/>
      <c r="H42" s="54"/>
      <c r="I42" s="54"/>
    </row>
    <row r="43" spans="1:9" x14ac:dyDescent="0.35">
      <c r="A43" s="54"/>
      <c r="B43" s="54"/>
      <c r="C43" s="54"/>
      <c r="D43" s="54"/>
      <c r="E43" s="54"/>
      <c r="F43" s="54"/>
      <c r="G43" s="54"/>
      <c r="H43" s="54"/>
      <c r="I43" s="54"/>
    </row>
    <row r="44" spans="1:9" x14ac:dyDescent="0.35">
      <c r="A44" s="54"/>
      <c r="B44" s="54"/>
      <c r="C44" s="54"/>
      <c r="D44" s="54"/>
      <c r="E44" s="54"/>
      <c r="F44" s="54"/>
      <c r="G44" s="54"/>
      <c r="H44" s="54"/>
      <c r="I44" s="54"/>
    </row>
    <row r="45" spans="1:9" x14ac:dyDescent="0.35">
      <c r="A45" s="54"/>
      <c r="B45" s="54"/>
      <c r="C45" s="54"/>
      <c r="D45" s="54"/>
      <c r="E45" s="54"/>
      <c r="F45" s="54"/>
      <c r="G45" s="54"/>
      <c r="H45" s="54"/>
      <c r="I45" s="54"/>
    </row>
    <row r="46" spans="1:9" x14ac:dyDescent="0.35">
      <c r="A46" s="166"/>
      <c r="B46" s="166"/>
      <c r="C46" s="166"/>
      <c r="D46" s="166"/>
      <c r="E46" s="166"/>
      <c r="F46" s="166"/>
      <c r="G46" s="54"/>
      <c r="H46" s="54"/>
      <c r="I46" s="54"/>
    </row>
    <row r="47" spans="1:9" x14ac:dyDescent="0.35">
      <c r="A47" s="54"/>
      <c r="B47" s="54"/>
      <c r="C47" s="54"/>
      <c r="D47" s="54"/>
      <c r="E47" s="54"/>
      <c r="F47" s="54"/>
      <c r="G47" s="54"/>
      <c r="H47" s="54"/>
      <c r="I47" s="54"/>
    </row>
    <row r="48" spans="1:9" x14ac:dyDescent="0.35">
      <c r="A48" s="164"/>
      <c r="B48" s="164"/>
      <c r="C48" s="164"/>
      <c r="D48" s="164"/>
      <c r="E48" s="206"/>
      <c r="F48" s="206"/>
      <c r="G48" s="54"/>
      <c r="H48" s="54"/>
      <c r="I48" s="54"/>
    </row>
    <row r="49" spans="1:9" x14ac:dyDescent="0.35">
      <c r="A49" s="164"/>
      <c r="B49" s="164"/>
      <c r="C49" s="164"/>
      <c r="D49" s="164"/>
      <c r="E49" s="165"/>
      <c r="F49" s="165"/>
      <c r="G49" s="54"/>
      <c r="H49" s="54"/>
      <c r="I49" s="54"/>
    </row>
    <row r="50" spans="1:9" x14ac:dyDescent="0.35">
      <c r="A50" s="54"/>
      <c r="B50" s="54"/>
      <c r="C50" s="54"/>
      <c r="D50" s="54"/>
      <c r="E50" s="54"/>
      <c r="F50" s="54"/>
      <c r="G50" s="54"/>
      <c r="H50" s="54"/>
      <c r="I50" s="54"/>
    </row>
    <row r="51" spans="1:9" x14ac:dyDescent="0.35">
      <c r="A51" s="54"/>
      <c r="B51" s="54"/>
      <c r="C51" s="54"/>
      <c r="D51" s="54"/>
      <c r="E51" s="54"/>
      <c r="F51" s="54"/>
      <c r="G51" s="54"/>
      <c r="H51" s="54"/>
      <c r="I51" s="54"/>
    </row>
    <row r="52" spans="1:9" x14ac:dyDescent="0.35">
      <c r="A52" s="54"/>
      <c r="B52" s="54"/>
      <c r="C52" s="54"/>
      <c r="D52" s="54"/>
      <c r="E52" s="54"/>
      <c r="F52" s="54"/>
      <c r="G52" s="54"/>
      <c r="H52" s="54"/>
      <c r="I52" s="54"/>
    </row>
    <row r="53" spans="1:9" x14ac:dyDescent="0.35">
      <c r="A53" s="54"/>
      <c r="B53" s="54"/>
      <c r="C53" s="54"/>
      <c r="D53" s="54"/>
      <c r="E53" s="54"/>
      <c r="F53" s="54"/>
      <c r="G53" s="54"/>
      <c r="H53" s="54"/>
      <c r="I53" s="54"/>
    </row>
    <row r="54" spans="1:9" x14ac:dyDescent="0.35">
      <c r="A54" s="54"/>
      <c r="B54" s="54"/>
      <c r="C54" s="54"/>
      <c r="D54" s="54"/>
      <c r="E54" s="54"/>
      <c r="F54" s="54"/>
      <c r="G54" s="54"/>
      <c r="H54" s="54"/>
      <c r="I54" s="54"/>
    </row>
    <row r="55" spans="1:9" x14ac:dyDescent="0.35">
      <c r="A55" s="166"/>
      <c r="B55" s="166"/>
      <c r="C55" s="166"/>
      <c r="D55" s="166"/>
      <c r="E55" s="166"/>
      <c r="F55" s="166"/>
      <c r="G55" s="54"/>
      <c r="H55" s="54"/>
      <c r="I55" s="54"/>
    </row>
    <row r="56" spans="1:9" x14ac:dyDescent="0.35">
      <c r="A56" s="54"/>
      <c r="B56" s="54"/>
      <c r="C56" s="54"/>
      <c r="D56" s="54"/>
      <c r="E56" s="54"/>
      <c r="F56" s="54"/>
      <c r="G56" s="54"/>
      <c r="H56" s="54"/>
      <c r="I56" s="54"/>
    </row>
    <row r="57" spans="1:9" x14ac:dyDescent="0.35">
      <c r="A57" s="166"/>
      <c r="B57" s="166"/>
      <c r="C57" s="166"/>
      <c r="D57" s="166"/>
      <c r="E57" s="166"/>
      <c r="F57" s="167"/>
      <c r="G57" s="54"/>
      <c r="H57" s="54"/>
      <c r="I57" s="54"/>
    </row>
    <row r="58" spans="1:9" x14ac:dyDescent="0.35">
      <c r="A58" s="54"/>
      <c r="B58" s="54"/>
      <c r="C58" s="54"/>
      <c r="D58" s="54"/>
      <c r="E58" s="54"/>
      <c r="F58" s="54"/>
      <c r="G58" s="54"/>
      <c r="H58" s="54"/>
      <c r="I58" s="54"/>
    </row>
    <row r="59" spans="1:9" x14ac:dyDescent="0.35">
      <c r="A59" s="54"/>
      <c r="B59" s="54"/>
      <c r="C59" s="54"/>
      <c r="D59" s="54"/>
      <c r="E59" s="54"/>
      <c r="F59" s="54"/>
      <c r="G59" s="54"/>
      <c r="H59" s="54"/>
      <c r="I59" s="54"/>
    </row>
    <row r="60" spans="1:9" x14ac:dyDescent="0.35">
      <c r="A60" s="54"/>
      <c r="B60" s="54"/>
      <c r="C60" s="54"/>
      <c r="D60" s="54"/>
      <c r="E60" s="54"/>
      <c r="F60" s="54"/>
      <c r="G60" s="54"/>
      <c r="H60" s="54"/>
      <c r="I60" s="54"/>
    </row>
    <row r="61" spans="1:9" x14ac:dyDescent="0.35">
      <c r="A61" s="54"/>
      <c r="B61" s="54"/>
      <c r="C61" s="54"/>
      <c r="D61" s="54"/>
      <c r="E61" s="54"/>
      <c r="F61" s="54"/>
      <c r="G61" s="54"/>
      <c r="H61" s="54"/>
      <c r="I61" s="54"/>
    </row>
    <row r="62" spans="1:9" x14ac:dyDescent="0.35">
      <c r="A62" s="54"/>
      <c r="B62" s="54"/>
      <c r="C62" s="54"/>
      <c r="D62" s="54"/>
      <c r="E62" s="54"/>
      <c r="F62" s="54"/>
      <c r="G62" s="54"/>
      <c r="H62" s="54"/>
      <c r="I62" s="54"/>
    </row>
    <row r="63" spans="1:9" x14ac:dyDescent="0.35">
      <c r="A63" s="54"/>
      <c r="B63" s="54"/>
      <c r="C63" s="54"/>
      <c r="D63" s="54"/>
      <c r="E63" s="54"/>
      <c r="F63" s="54"/>
      <c r="G63" s="54"/>
      <c r="H63" s="54"/>
      <c r="I63" s="54"/>
    </row>
    <row r="64" spans="1:9" x14ac:dyDescent="0.35">
      <c r="A64" s="54"/>
      <c r="B64" s="54"/>
      <c r="C64" s="54"/>
      <c r="D64" s="54"/>
      <c r="E64" s="54"/>
      <c r="F64" s="54"/>
      <c r="G64" s="54"/>
      <c r="H64" s="54"/>
      <c r="I64" s="54"/>
    </row>
  </sheetData>
  <mergeCells count="7">
    <mergeCell ref="E30:F30"/>
    <mergeCell ref="E39:F39"/>
    <mergeCell ref="E48:F48"/>
    <mergeCell ref="A1:I5"/>
    <mergeCell ref="I6:I7"/>
    <mergeCell ref="I8:I15"/>
    <mergeCell ref="I16:I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G64"/>
  <sheetViews>
    <sheetView topLeftCell="A21" workbookViewId="0">
      <selection activeCell="C40" sqref="C40"/>
    </sheetView>
  </sheetViews>
  <sheetFormatPr defaultRowHeight="14.5" x14ac:dyDescent="0.35"/>
  <cols>
    <col min="1" max="1" width="30" bestFit="1" customWidth="1"/>
    <col min="2" max="2" width="22.453125" bestFit="1" customWidth="1"/>
    <col min="3" max="3" width="6.26953125" bestFit="1" customWidth="1"/>
    <col min="4" max="4" width="11" bestFit="1" customWidth="1"/>
    <col min="5" max="5" width="12.26953125" bestFit="1" customWidth="1"/>
    <col min="6" max="6" width="16.81640625" customWidth="1"/>
  </cols>
  <sheetData>
    <row r="1" spans="1:7" ht="15.5" x14ac:dyDescent="0.35">
      <c r="A1" s="203" t="s">
        <v>162</v>
      </c>
      <c r="B1" s="203"/>
      <c r="C1" s="203"/>
      <c r="D1" s="203"/>
      <c r="E1" s="203"/>
      <c r="F1" s="203"/>
      <c r="G1" s="55"/>
    </row>
    <row r="2" spans="1:7" ht="15.5" x14ac:dyDescent="0.35">
      <c r="A2" s="203"/>
      <c r="B2" s="203"/>
      <c r="C2" s="203"/>
      <c r="D2" s="203"/>
      <c r="E2" s="203"/>
      <c r="F2" s="203"/>
      <c r="G2" s="55"/>
    </row>
    <row r="3" spans="1:7" ht="15.5" x14ac:dyDescent="0.35">
      <c r="A3" s="203"/>
      <c r="B3" s="203"/>
      <c r="C3" s="203"/>
      <c r="D3" s="203"/>
      <c r="E3" s="203"/>
      <c r="F3" s="203"/>
      <c r="G3" s="55"/>
    </row>
    <row r="4" spans="1:7" ht="15.5" x14ac:dyDescent="0.35">
      <c r="A4" s="203"/>
      <c r="B4" s="203"/>
      <c r="C4" s="203"/>
      <c r="D4" s="203"/>
      <c r="E4" s="203"/>
      <c r="F4" s="203"/>
      <c r="G4" s="55"/>
    </row>
    <row r="5" spans="1:7" ht="16" thickBot="1" x14ac:dyDescent="0.4">
      <c r="A5" s="212"/>
      <c r="B5" s="212"/>
      <c r="C5" s="212"/>
      <c r="D5" s="212"/>
      <c r="E5" s="212"/>
      <c r="F5" s="212"/>
      <c r="G5" s="55"/>
    </row>
    <row r="6" spans="1:7" ht="28.5" thickBot="1" x14ac:dyDescent="0.4">
      <c r="A6" s="56" t="s">
        <v>17</v>
      </c>
      <c r="B6" s="57" t="s">
        <v>18</v>
      </c>
      <c r="C6" s="58"/>
      <c r="D6" s="56" t="s">
        <v>163</v>
      </c>
      <c r="E6" s="210" t="s">
        <v>164</v>
      </c>
      <c r="F6" s="211"/>
      <c r="G6" s="213" t="s">
        <v>20</v>
      </c>
    </row>
    <row r="7" spans="1:7" ht="15" thickBot="1" x14ac:dyDescent="0.4">
      <c r="A7" s="59"/>
      <c r="B7" s="60" t="s">
        <v>155</v>
      </c>
      <c r="C7" s="60" t="s">
        <v>157</v>
      </c>
      <c r="D7" s="59"/>
      <c r="E7" s="61" t="s">
        <v>1</v>
      </c>
      <c r="F7" s="61" t="s">
        <v>7</v>
      </c>
      <c r="G7" s="213"/>
    </row>
    <row r="8" spans="1:7" x14ac:dyDescent="0.35">
      <c r="A8" s="62" t="s">
        <v>165</v>
      </c>
      <c r="B8" s="62"/>
      <c r="C8" s="62"/>
      <c r="D8" s="62"/>
      <c r="E8" s="62"/>
      <c r="F8" s="62"/>
      <c r="G8" s="8"/>
    </row>
    <row r="9" spans="1:7" x14ac:dyDescent="0.35">
      <c r="A9" s="154" t="s">
        <v>227</v>
      </c>
      <c r="B9" s="63" t="s">
        <v>228</v>
      </c>
      <c r="C9" s="62">
        <v>184</v>
      </c>
      <c r="D9" s="155">
        <v>536.80999999999995</v>
      </c>
      <c r="E9" s="156">
        <v>62</v>
      </c>
      <c r="F9" s="64">
        <f>(D9/C9)*E9</f>
        <v>180.88163043478261</v>
      </c>
      <c r="G9" s="209"/>
    </row>
    <row r="10" spans="1:7" x14ac:dyDescent="0.35">
      <c r="A10" s="65"/>
      <c r="B10" s="65"/>
      <c r="C10" s="65"/>
      <c r="D10" s="65"/>
      <c r="E10" s="65"/>
      <c r="F10" s="66">
        <f>SUM(F9:F9)</f>
        <v>180.88163043478261</v>
      </c>
      <c r="G10" s="209"/>
    </row>
    <row r="11" spans="1:7" ht="15" thickBot="1" x14ac:dyDescent="0.4">
      <c r="A11" s="8"/>
      <c r="B11" s="8"/>
      <c r="C11" s="8"/>
      <c r="D11" s="8"/>
      <c r="E11" s="8"/>
      <c r="F11" s="8"/>
      <c r="G11" s="8"/>
    </row>
    <row r="12" spans="1:7" ht="28.5" thickBot="1" x14ac:dyDescent="0.4">
      <c r="A12" s="56" t="s">
        <v>17</v>
      </c>
      <c r="B12" s="57" t="s">
        <v>18</v>
      </c>
      <c r="C12" s="58"/>
      <c r="D12" s="56" t="s">
        <v>170</v>
      </c>
      <c r="E12" s="210" t="s">
        <v>164</v>
      </c>
      <c r="F12" s="211"/>
      <c r="G12" s="6"/>
    </row>
    <row r="13" spans="1:7" ht="15" thickBot="1" x14ac:dyDescent="0.4">
      <c r="A13" s="59"/>
      <c r="B13" s="60" t="s">
        <v>155</v>
      </c>
      <c r="C13" s="60" t="s">
        <v>157</v>
      </c>
      <c r="D13" s="59"/>
      <c r="E13" s="61" t="s">
        <v>1</v>
      </c>
      <c r="F13" s="61" t="s">
        <v>7</v>
      </c>
      <c r="G13" s="8"/>
    </row>
    <row r="14" spans="1:7" x14ac:dyDescent="0.35">
      <c r="A14" s="62" t="s">
        <v>4</v>
      </c>
      <c r="B14" s="62"/>
      <c r="C14" s="62"/>
      <c r="D14" s="62"/>
      <c r="E14" s="62"/>
      <c r="F14" s="62"/>
      <c r="G14" s="8"/>
    </row>
    <row r="15" spans="1:7" x14ac:dyDescent="0.35">
      <c r="A15" s="62" t="s">
        <v>67</v>
      </c>
      <c r="B15" s="62" t="s">
        <v>166</v>
      </c>
      <c r="C15" s="62">
        <v>90</v>
      </c>
      <c r="D15" s="140">
        <v>656.39</v>
      </c>
      <c r="E15" s="62">
        <v>90</v>
      </c>
      <c r="F15" s="62">
        <f>D15</f>
        <v>656.39</v>
      </c>
      <c r="G15" s="209"/>
    </row>
    <row r="16" spans="1:7" x14ac:dyDescent="0.35">
      <c r="A16" s="62" t="s">
        <v>71</v>
      </c>
      <c r="B16" s="62" t="s">
        <v>166</v>
      </c>
      <c r="C16" s="62">
        <v>90</v>
      </c>
      <c r="D16" s="149">
        <v>648.78</v>
      </c>
      <c r="E16" s="62">
        <v>90</v>
      </c>
      <c r="F16" s="62">
        <f>D16</f>
        <v>648.78</v>
      </c>
      <c r="G16" s="209"/>
    </row>
    <row r="17" spans="1:7" x14ac:dyDescent="0.35">
      <c r="A17" s="62" t="s">
        <v>167</v>
      </c>
      <c r="B17" s="62" t="s">
        <v>166</v>
      </c>
      <c r="C17" s="62">
        <v>90</v>
      </c>
      <c r="D17" s="157">
        <v>8437.81</v>
      </c>
      <c r="E17" s="62">
        <v>90</v>
      </c>
      <c r="F17" s="62">
        <f>D17</f>
        <v>8437.81</v>
      </c>
      <c r="G17" s="209"/>
    </row>
    <row r="18" spans="1:7" x14ac:dyDescent="0.35">
      <c r="A18" s="65"/>
      <c r="B18" s="65"/>
      <c r="C18" s="65"/>
      <c r="D18" s="65"/>
      <c r="E18" s="65"/>
      <c r="F18" s="65">
        <f>SUM(F15:F17)</f>
        <v>9742.98</v>
      </c>
      <c r="G18" s="209"/>
    </row>
    <row r="19" spans="1:7" ht="15" thickBot="1" x14ac:dyDescent="0.4">
      <c r="A19" s="8"/>
      <c r="B19" s="47"/>
      <c r="C19" s="8"/>
      <c r="D19" s="157"/>
      <c r="E19" s="8"/>
      <c r="F19" s="8"/>
      <c r="G19" s="8"/>
    </row>
    <row r="20" spans="1:7" ht="28.5" thickBot="1" x14ac:dyDescent="0.4">
      <c r="A20" s="56" t="s">
        <v>17</v>
      </c>
      <c r="B20" s="57" t="s">
        <v>18</v>
      </c>
      <c r="C20" s="58"/>
      <c r="D20" s="56" t="s">
        <v>163</v>
      </c>
      <c r="E20" s="210" t="s">
        <v>164</v>
      </c>
      <c r="F20" s="211"/>
      <c r="G20" s="54"/>
    </row>
    <row r="21" spans="1:7" ht="15" thickBot="1" x14ac:dyDescent="0.4">
      <c r="A21" s="59"/>
      <c r="B21" s="60" t="s">
        <v>155</v>
      </c>
      <c r="C21" s="60" t="s">
        <v>157</v>
      </c>
      <c r="D21" s="59"/>
      <c r="E21" s="61" t="s">
        <v>1</v>
      </c>
      <c r="F21" s="61" t="s">
        <v>7</v>
      </c>
      <c r="G21" s="54"/>
    </row>
    <row r="22" spans="1:7" x14ac:dyDescent="0.35">
      <c r="A22" s="163" t="s">
        <v>262</v>
      </c>
      <c r="B22" s="163"/>
      <c r="C22" s="163"/>
      <c r="D22" s="163"/>
      <c r="E22" s="163"/>
      <c r="F22" s="163"/>
      <c r="G22" s="54"/>
    </row>
    <row r="23" spans="1:7" s="176" customFormat="1" x14ac:dyDescent="0.35">
      <c r="A23" s="176" t="s">
        <v>161</v>
      </c>
      <c r="B23" s="176" t="s">
        <v>160</v>
      </c>
      <c r="C23" s="176">
        <v>20</v>
      </c>
      <c r="D23" s="176">
        <v>1060</v>
      </c>
      <c r="E23" s="176">
        <v>12</v>
      </c>
      <c r="F23" s="176">
        <f>(D23/C23)*E23</f>
        <v>636</v>
      </c>
      <c r="G23" s="54"/>
    </row>
    <row r="24" spans="1:7" x14ac:dyDescent="0.35">
      <c r="A24" s="163" t="s">
        <v>31</v>
      </c>
      <c r="B24" s="163" t="s">
        <v>160</v>
      </c>
      <c r="C24" s="163">
        <v>20</v>
      </c>
      <c r="D24" s="163">
        <v>19708</v>
      </c>
      <c r="E24" s="163">
        <v>12</v>
      </c>
      <c r="F24" s="163">
        <f>(D24/C24)*E24</f>
        <v>11824.8</v>
      </c>
      <c r="G24" s="214"/>
    </row>
    <row r="25" spans="1:7" s="176" customFormat="1" x14ac:dyDescent="0.35">
      <c r="A25" s="54" t="s">
        <v>246</v>
      </c>
      <c r="B25" s="176" t="s">
        <v>160</v>
      </c>
      <c r="C25" s="176">
        <v>20</v>
      </c>
      <c r="D25" s="176">
        <f>D23*0.2375</f>
        <v>251.75</v>
      </c>
      <c r="E25" s="176">
        <v>12</v>
      </c>
      <c r="F25" s="176">
        <f>(D25/C25)*E25</f>
        <v>151.05000000000001</v>
      </c>
      <c r="G25" s="214"/>
    </row>
    <row r="26" spans="1:7" x14ac:dyDescent="0.35">
      <c r="A26" s="163" t="s">
        <v>169</v>
      </c>
      <c r="B26" s="163" t="s">
        <v>160</v>
      </c>
      <c r="C26" s="163">
        <v>20</v>
      </c>
      <c r="D26" s="163">
        <f>D24*0.2375</f>
        <v>4680.6499999999996</v>
      </c>
      <c r="E26" s="163">
        <v>12</v>
      </c>
      <c r="F26" s="163">
        <f>(D26/C26)*E26</f>
        <v>2808.3899999999994</v>
      </c>
      <c r="G26" s="214"/>
    </row>
    <row r="27" spans="1:7" x14ac:dyDescent="0.35">
      <c r="A27" s="3"/>
      <c r="B27" s="3"/>
      <c r="C27" s="3"/>
      <c r="D27" s="3"/>
      <c r="E27" s="3"/>
      <c r="F27" s="3">
        <f>SUM(F24:F26)</f>
        <v>14784.239999999998</v>
      </c>
      <c r="G27" s="214"/>
    </row>
    <row r="28" spans="1:7" ht="15" thickBot="1" x14ac:dyDescent="0.4">
      <c r="A28" s="163"/>
      <c r="B28" s="163"/>
      <c r="C28" s="163"/>
      <c r="D28" s="163"/>
      <c r="E28" s="163"/>
      <c r="F28" s="163"/>
      <c r="G28" s="54"/>
    </row>
    <row r="29" spans="1:7" ht="28.5" thickBot="1" x14ac:dyDescent="0.4">
      <c r="A29" s="56" t="s">
        <v>17</v>
      </c>
      <c r="B29" s="57" t="s">
        <v>18</v>
      </c>
      <c r="C29" s="58"/>
      <c r="D29" s="56" t="s">
        <v>170</v>
      </c>
      <c r="E29" s="210" t="s">
        <v>164</v>
      </c>
      <c r="F29" s="211"/>
    </row>
    <row r="30" spans="1:7" ht="15" thickBot="1" x14ac:dyDescent="0.4">
      <c r="A30" s="59"/>
      <c r="B30" s="60" t="s">
        <v>155</v>
      </c>
      <c r="C30" s="60" t="s">
        <v>157</v>
      </c>
      <c r="D30" s="59"/>
      <c r="E30" s="61" t="s">
        <v>1</v>
      </c>
      <c r="F30" s="61" t="s">
        <v>7</v>
      </c>
    </row>
    <row r="31" spans="1:7" x14ac:dyDescent="0.35">
      <c r="A31" s="163" t="s">
        <v>239</v>
      </c>
      <c r="B31" s="163"/>
      <c r="C31" s="163"/>
      <c r="D31" s="163"/>
      <c r="E31" s="163"/>
      <c r="F31" s="163"/>
    </row>
    <row r="32" spans="1:7" x14ac:dyDescent="0.35">
      <c r="A32" s="163" t="s">
        <v>161</v>
      </c>
      <c r="B32" s="163" t="s">
        <v>160</v>
      </c>
      <c r="C32" s="163">
        <v>365</v>
      </c>
      <c r="D32" s="163">
        <f>D50</f>
        <v>943.4</v>
      </c>
      <c r="E32" s="163">
        <v>181</v>
      </c>
      <c r="F32" s="163">
        <f>(D32/C32)*E32</f>
        <v>467.82301369863012</v>
      </c>
    </row>
    <row r="33" spans="1:6" x14ac:dyDescent="0.35">
      <c r="A33" s="163" t="s">
        <v>31</v>
      </c>
      <c r="B33" s="163" t="s">
        <v>160</v>
      </c>
      <c r="C33" s="163">
        <v>365</v>
      </c>
      <c r="D33" s="163">
        <f>D51</f>
        <v>15971.57</v>
      </c>
      <c r="E33" s="163">
        <v>181</v>
      </c>
      <c r="F33" s="163">
        <f t="shared" ref="F33:F35" si="0">(D33/C33)*E33</f>
        <v>7920.1484109589046</v>
      </c>
    </row>
    <row r="34" spans="1:6" x14ac:dyDescent="0.35">
      <c r="A34" s="163" t="s">
        <v>168</v>
      </c>
      <c r="B34" s="163" t="s">
        <v>160</v>
      </c>
      <c r="C34" s="163">
        <v>365</v>
      </c>
      <c r="D34" s="163">
        <f>D32*0.2375</f>
        <v>224.05749999999998</v>
      </c>
      <c r="E34" s="163">
        <v>181</v>
      </c>
      <c r="F34" s="163">
        <f t="shared" si="0"/>
        <v>111.10796575342465</v>
      </c>
    </row>
    <row r="35" spans="1:6" x14ac:dyDescent="0.35">
      <c r="A35" s="163" t="s">
        <v>169</v>
      </c>
      <c r="B35" s="163" t="s">
        <v>160</v>
      </c>
      <c r="C35" s="163">
        <v>365</v>
      </c>
      <c r="D35" s="163">
        <f>D33*0.2375</f>
        <v>3793.2478749999996</v>
      </c>
      <c r="E35" s="163">
        <v>181</v>
      </c>
      <c r="F35" s="163">
        <f t="shared" si="0"/>
        <v>1881.0352476027394</v>
      </c>
    </row>
    <row r="36" spans="1:6" x14ac:dyDescent="0.35">
      <c r="A36" s="3"/>
      <c r="B36" s="3"/>
      <c r="C36" s="3"/>
      <c r="D36" s="3"/>
      <c r="E36" s="3"/>
      <c r="F36" s="3">
        <f>SUM(F32:F35)</f>
        <v>10380.1146380137</v>
      </c>
    </row>
    <row r="37" spans="1:6" ht="15" thickBot="1" x14ac:dyDescent="0.4">
      <c r="A37" s="163"/>
      <c r="B37" s="163"/>
      <c r="C37" s="163"/>
      <c r="D37" s="163"/>
      <c r="E37" s="163"/>
      <c r="F37" s="163"/>
    </row>
    <row r="38" spans="1:6" ht="28.5" thickBot="1" x14ac:dyDescent="0.4">
      <c r="A38" s="56" t="s">
        <v>17</v>
      </c>
      <c r="B38" s="57" t="s">
        <v>18</v>
      </c>
      <c r="C38" s="58"/>
      <c r="D38" s="56" t="s">
        <v>170</v>
      </c>
      <c r="E38" s="210" t="s">
        <v>164</v>
      </c>
      <c r="F38" s="211"/>
    </row>
    <row r="39" spans="1:6" ht="15" thickBot="1" x14ac:dyDescent="0.4">
      <c r="A39" s="59"/>
      <c r="B39" s="60" t="s">
        <v>155</v>
      </c>
      <c r="C39" s="60" t="s">
        <v>157</v>
      </c>
      <c r="D39" s="59"/>
      <c r="E39" s="61" t="s">
        <v>1</v>
      </c>
      <c r="F39" s="61" t="s">
        <v>7</v>
      </c>
    </row>
    <row r="40" spans="1:6" x14ac:dyDescent="0.35">
      <c r="A40" s="163" t="s">
        <v>171</v>
      </c>
      <c r="B40" s="163"/>
      <c r="C40" s="163"/>
      <c r="D40" s="163"/>
      <c r="E40" s="163"/>
      <c r="F40" s="163"/>
    </row>
    <row r="41" spans="1:6" x14ac:dyDescent="0.35">
      <c r="A41" s="163" t="s">
        <v>161</v>
      </c>
      <c r="B41" s="163" t="s">
        <v>160</v>
      </c>
      <c r="C41" s="163">
        <v>365</v>
      </c>
      <c r="D41" s="171">
        <v>940.1</v>
      </c>
      <c r="E41" s="163">
        <v>181</v>
      </c>
      <c r="F41" s="163">
        <f>(D41/C41)*E41</f>
        <v>466.18657534246574</v>
      </c>
    </row>
    <row r="42" spans="1:6" x14ac:dyDescent="0.35">
      <c r="A42" s="163" t="s">
        <v>31</v>
      </c>
      <c r="B42" s="163" t="s">
        <v>160</v>
      </c>
      <c r="C42" s="163">
        <v>365</v>
      </c>
      <c r="D42" s="171">
        <v>15946.25</v>
      </c>
      <c r="E42" s="163">
        <v>181</v>
      </c>
      <c r="F42" s="163">
        <f t="shared" ref="F42:F44" si="1">(D42/C42)*E42</f>
        <v>7907.5924657534251</v>
      </c>
    </row>
    <row r="43" spans="1:6" x14ac:dyDescent="0.35">
      <c r="A43" s="163" t="s">
        <v>168</v>
      </c>
      <c r="B43" s="163" t="s">
        <v>160</v>
      </c>
      <c r="C43" s="163">
        <v>365</v>
      </c>
      <c r="D43" s="163">
        <f>D41*0.2375</f>
        <v>223.27375000000001</v>
      </c>
      <c r="E43" s="163">
        <v>181</v>
      </c>
      <c r="F43" s="163">
        <f t="shared" si="1"/>
        <v>110.71931164383562</v>
      </c>
    </row>
    <row r="44" spans="1:6" x14ac:dyDescent="0.35">
      <c r="A44" s="163" t="s">
        <v>169</v>
      </c>
      <c r="B44" s="163" t="s">
        <v>160</v>
      </c>
      <c r="C44" s="163">
        <v>365</v>
      </c>
      <c r="D44" s="163">
        <f>D42*0.2375</f>
        <v>3787.234375</v>
      </c>
      <c r="E44" s="163">
        <v>181</v>
      </c>
      <c r="F44" s="163">
        <f t="shared" si="1"/>
        <v>1878.0532106164383</v>
      </c>
    </row>
    <row r="45" spans="1:6" x14ac:dyDescent="0.35">
      <c r="A45" s="3"/>
      <c r="B45" s="3"/>
      <c r="C45" s="3"/>
      <c r="D45" s="3"/>
      <c r="E45" s="3"/>
      <c r="F45" s="3">
        <f>SUM(F41:F44)</f>
        <v>10362.551563356166</v>
      </c>
    </row>
    <row r="46" spans="1:6" ht="15" thickBot="1" x14ac:dyDescent="0.4">
      <c r="A46" s="163"/>
      <c r="B46" s="163"/>
      <c r="C46" s="163"/>
      <c r="D46" s="163"/>
      <c r="E46" s="163"/>
      <c r="F46" s="163"/>
    </row>
    <row r="47" spans="1:6" ht="28.5" thickBot="1" x14ac:dyDescent="0.4">
      <c r="A47" s="56" t="s">
        <v>17</v>
      </c>
      <c r="B47" s="57" t="s">
        <v>18</v>
      </c>
      <c r="C47" s="58"/>
      <c r="D47" s="56" t="s">
        <v>170</v>
      </c>
      <c r="E47" s="210" t="s">
        <v>164</v>
      </c>
      <c r="F47" s="211"/>
    </row>
    <row r="48" spans="1:6" ht="15" thickBot="1" x14ac:dyDescent="0.4">
      <c r="A48" s="59"/>
      <c r="B48" s="60" t="s">
        <v>155</v>
      </c>
      <c r="C48" s="60" t="s">
        <v>157</v>
      </c>
      <c r="D48" s="59"/>
      <c r="E48" s="61" t="s">
        <v>1</v>
      </c>
      <c r="F48" s="61" t="s">
        <v>7</v>
      </c>
    </row>
    <row r="49" spans="1:6" x14ac:dyDescent="0.35">
      <c r="A49" s="163" t="s">
        <v>240</v>
      </c>
      <c r="B49" s="163"/>
      <c r="C49" s="163"/>
      <c r="D49" s="163"/>
      <c r="E49" s="163"/>
      <c r="F49" s="163"/>
    </row>
    <row r="50" spans="1:6" x14ac:dyDescent="0.35">
      <c r="A50" s="163" t="s">
        <v>161</v>
      </c>
      <c r="B50" s="163" t="s">
        <v>160</v>
      </c>
      <c r="C50" s="163">
        <v>365</v>
      </c>
      <c r="D50" s="163">
        <v>943.4</v>
      </c>
      <c r="E50" s="163">
        <v>181</v>
      </c>
      <c r="F50" s="163">
        <f>(D50/C50)*E50</f>
        <v>467.82301369863012</v>
      </c>
    </row>
    <row r="51" spans="1:6" x14ac:dyDescent="0.35">
      <c r="A51" s="163" t="s">
        <v>31</v>
      </c>
      <c r="B51" s="163" t="s">
        <v>160</v>
      </c>
      <c r="C51" s="163">
        <v>365</v>
      </c>
      <c r="D51" s="163">
        <v>15971.57</v>
      </c>
      <c r="E51" s="163">
        <v>181</v>
      </c>
      <c r="F51" s="163">
        <f t="shared" ref="F51:F53" si="2">(D51/C51)*E51</f>
        <v>7920.1484109589046</v>
      </c>
    </row>
    <row r="52" spans="1:6" x14ac:dyDescent="0.35">
      <c r="A52" s="163" t="s">
        <v>168</v>
      </c>
      <c r="B52" s="163" t="s">
        <v>160</v>
      </c>
      <c r="C52" s="163">
        <v>365</v>
      </c>
      <c r="D52" s="163">
        <f>D50*0.2375</f>
        <v>224.05749999999998</v>
      </c>
      <c r="E52" s="163">
        <v>181</v>
      </c>
      <c r="F52" s="163">
        <f t="shared" si="2"/>
        <v>111.10796575342465</v>
      </c>
    </row>
    <row r="53" spans="1:6" x14ac:dyDescent="0.35">
      <c r="A53" s="163" t="s">
        <v>169</v>
      </c>
      <c r="B53" s="163" t="s">
        <v>160</v>
      </c>
      <c r="C53" s="163">
        <v>365</v>
      </c>
      <c r="D53" s="163">
        <f>D51*0.2375</f>
        <v>3793.2478749999996</v>
      </c>
      <c r="E53" s="163">
        <v>181</v>
      </c>
      <c r="F53" s="163">
        <f t="shared" si="2"/>
        <v>1881.0352476027394</v>
      </c>
    </row>
    <row r="54" spans="1:6" x14ac:dyDescent="0.35">
      <c r="A54" s="3"/>
      <c r="B54" s="3"/>
      <c r="C54" s="3"/>
      <c r="D54" s="3"/>
      <c r="E54" s="3"/>
      <c r="F54" s="3">
        <f>SUM(F50:F53)</f>
        <v>10380.1146380137</v>
      </c>
    </row>
    <row r="55" spans="1:6" ht="15" thickBot="1" x14ac:dyDescent="0.4">
      <c r="F55" s="51"/>
    </row>
    <row r="56" spans="1:6" ht="28.5" thickBot="1" x14ac:dyDescent="0.4">
      <c r="A56" s="56" t="s">
        <v>17</v>
      </c>
      <c r="B56" s="57" t="s">
        <v>18</v>
      </c>
      <c r="C56" s="58"/>
      <c r="D56" s="56" t="s">
        <v>163</v>
      </c>
      <c r="E56" s="210" t="s">
        <v>164</v>
      </c>
      <c r="F56" s="211"/>
    </row>
    <row r="57" spans="1:6" ht="15" thickBot="1" x14ac:dyDescent="0.4">
      <c r="A57" s="59"/>
      <c r="B57" s="60" t="s">
        <v>155</v>
      </c>
      <c r="C57" s="60" t="s">
        <v>157</v>
      </c>
      <c r="D57" s="59"/>
      <c r="E57" s="61" t="s">
        <v>1</v>
      </c>
      <c r="F57" s="61" t="s">
        <v>7</v>
      </c>
    </row>
    <row r="58" spans="1:6" x14ac:dyDescent="0.35">
      <c r="A58" s="171" t="s">
        <v>241</v>
      </c>
      <c r="B58" s="171"/>
      <c r="C58" s="171"/>
      <c r="D58" s="171"/>
      <c r="E58" s="171"/>
      <c r="F58" s="171"/>
    </row>
    <row r="59" spans="1:6" x14ac:dyDescent="0.35">
      <c r="A59" s="171" t="s">
        <v>161</v>
      </c>
      <c r="B59" s="171" t="s">
        <v>160</v>
      </c>
      <c r="C59" s="171">
        <v>20</v>
      </c>
      <c r="D59" s="171">
        <v>936.8</v>
      </c>
      <c r="E59" s="171">
        <v>12</v>
      </c>
      <c r="F59" s="171">
        <f>(D59/C59)*E59</f>
        <v>562.07999999999993</v>
      </c>
    </row>
    <row r="60" spans="1:6" x14ac:dyDescent="0.35">
      <c r="A60" s="171" t="s">
        <v>31</v>
      </c>
      <c r="B60" s="171" t="s">
        <v>160</v>
      </c>
      <c r="C60" s="171">
        <v>20</v>
      </c>
      <c r="D60" s="171">
        <v>15900.04</v>
      </c>
      <c r="E60" s="171">
        <v>12</v>
      </c>
      <c r="F60" s="171">
        <f>(D60/C60)*E60</f>
        <v>9540.0240000000013</v>
      </c>
    </row>
    <row r="61" spans="1:6" x14ac:dyDescent="0.35">
      <c r="A61" s="171" t="s">
        <v>168</v>
      </c>
      <c r="B61" s="171" t="s">
        <v>160</v>
      </c>
      <c r="C61" s="171">
        <v>20</v>
      </c>
      <c r="D61" s="171">
        <f>D59*0.2375</f>
        <v>222.48999999999998</v>
      </c>
      <c r="E61" s="171">
        <v>12</v>
      </c>
      <c r="F61" s="171">
        <f t="shared" ref="F61:F62" si="3">(D61/C61)*E61</f>
        <v>133.494</v>
      </c>
    </row>
    <row r="62" spans="1:6" x14ac:dyDescent="0.35">
      <c r="A62" s="171" t="s">
        <v>169</v>
      </c>
      <c r="B62" s="171" t="s">
        <v>160</v>
      </c>
      <c r="C62" s="171">
        <v>20</v>
      </c>
      <c r="D62" s="171">
        <f>D60*0.2375</f>
        <v>3776.2595000000001</v>
      </c>
      <c r="E62" s="171">
        <v>12</v>
      </c>
      <c r="F62" s="171">
        <f t="shared" si="3"/>
        <v>2265.7556999999997</v>
      </c>
    </row>
    <row r="63" spans="1:6" x14ac:dyDescent="0.35">
      <c r="A63" s="3"/>
      <c r="B63" s="3"/>
      <c r="C63" s="3"/>
      <c r="D63" s="3"/>
      <c r="E63" s="3"/>
      <c r="F63" s="3">
        <f>SUM(F59:F62)</f>
        <v>12501.353700000001</v>
      </c>
    </row>
    <row r="64" spans="1:6" x14ac:dyDescent="0.35">
      <c r="F64" s="51">
        <f>F63+F54+F45+F36+F27+F18+F10</f>
        <v>68332.236169818352</v>
      </c>
    </row>
  </sheetData>
  <mergeCells count="12">
    <mergeCell ref="E56:F56"/>
    <mergeCell ref="A1:F5"/>
    <mergeCell ref="E6:F6"/>
    <mergeCell ref="G9:G10"/>
    <mergeCell ref="E12:F12"/>
    <mergeCell ref="G15:G18"/>
    <mergeCell ref="E29:F29"/>
    <mergeCell ref="E38:F38"/>
    <mergeCell ref="E47:F47"/>
    <mergeCell ref="G6:G7"/>
    <mergeCell ref="G24:G27"/>
    <mergeCell ref="E20:F2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G14"/>
  <sheetViews>
    <sheetView workbookViewId="0">
      <selection activeCell="E2" sqref="E2:M6"/>
    </sheetView>
  </sheetViews>
  <sheetFormatPr defaultRowHeight="14.5" x14ac:dyDescent="0.35"/>
  <cols>
    <col min="1" max="1" width="9.1796875" style="8"/>
    <col min="2" max="2" width="18.54296875" bestFit="1" customWidth="1"/>
  </cols>
  <sheetData>
    <row r="1" spans="1:7" ht="15" customHeight="1" x14ac:dyDescent="0.35">
      <c r="A1" s="203" t="s">
        <v>3</v>
      </c>
      <c r="B1" s="203"/>
      <c r="C1" s="203"/>
      <c r="D1" s="203"/>
      <c r="E1" s="55"/>
      <c r="F1" s="55"/>
      <c r="G1" s="55"/>
    </row>
    <row r="2" spans="1:7" ht="15" customHeight="1" x14ac:dyDescent="0.35">
      <c r="A2" s="203"/>
      <c r="B2" s="203"/>
      <c r="C2" s="203"/>
      <c r="D2" s="203"/>
      <c r="E2" s="55"/>
      <c r="F2" s="55"/>
      <c r="G2" s="55"/>
    </row>
    <row r="3" spans="1:7" ht="15" customHeight="1" x14ac:dyDescent="0.35">
      <c r="A3" s="203"/>
      <c r="B3" s="203"/>
      <c r="C3" s="203"/>
      <c r="D3" s="203"/>
      <c r="E3" s="55"/>
      <c r="F3" s="55"/>
      <c r="G3" s="55"/>
    </row>
    <row r="4" spans="1:7" ht="15" customHeight="1" x14ac:dyDescent="0.35">
      <c r="A4" s="203"/>
      <c r="B4" s="203"/>
      <c r="C4" s="203"/>
      <c r="D4" s="203"/>
      <c r="E4" s="55"/>
      <c r="F4" s="55"/>
      <c r="G4" s="55"/>
    </row>
    <row r="5" spans="1:7" ht="15.75" customHeight="1" thickBot="1" x14ac:dyDescent="0.4">
      <c r="A5" s="203"/>
      <c r="B5" s="203"/>
      <c r="C5" s="203"/>
      <c r="D5" s="203"/>
      <c r="E5" s="55"/>
      <c r="F5" s="55"/>
      <c r="G5" s="55"/>
    </row>
    <row r="6" spans="1:7" s="8" customFormat="1" ht="15.75" customHeight="1" thickTop="1" thickBot="1" x14ac:dyDescent="0.4">
      <c r="A6" s="68" t="s">
        <v>178</v>
      </c>
      <c r="B6" s="68" t="s">
        <v>17</v>
      </c>
      <c r="C6" s="68" t="s">
        <v>7</v>
      </c>
      <c r="D6" s="68" t="s">
        <v>20</v>
      </c>
      <c r="E6" s="67"/>
      <c r="F6" s="67"/>
      <c r="G6" s="67"/>
    </row>
    <row r="7" spans="1:7" ht="15.5" thickTop="1" thickBot="1" x14ac:dyDescent="0.4">
      <c r="A7" s="2"/>
      <c r="B7" s="2" t="s">
        <v>172</v>
      </c>
      <c r="C7" s="2">
        <v>0</v>
      </c>
      <c r="D7" s="215"/>
    </row>
    <row r="8" spans="1:7" ht="15.5" thickTop="1" thickBot="1" x14ac:dyDescent="0.4">
      <c r="A8" s="2"/>
      <c r="B8" s="2" t="s">
        <v>45</v>
      </c>
      <c r="C8" s="2"/>
      <c r="D8" s="215"/>
    </row>
    <row r="9" spans="1:7" ht="15.5" thickTop="1" thickBot="1" x14ac:dyDescent="0.4">
      <c r="A9" s="2" t="s">
        <v>8</v>
      </c>
      <c r="B9" s="2" t="s">
        <v>173</v>
      </c>
      <c r="C9" s="2">
        <v>133780.32</v>
      </c>
      <c r="D9" s="215"/>
    </row>
    <row r="10" spans="1:7" ht="15.5" thickTop="1" thickBot="1" x14ac:dyDescent="0.4">
      <c r="A10" s="2" t="s">
        <v>8</v>
      </c>
      <c r="B10" s="2" t="s">
        <v>46</v>
      </c>
      <c r="C10" s="2">
        <v>20000</v>
      </c>
      <c r="D10" s="215"/>
    </row>
    <row r="11" spans="1:7" ht="15.5" thickTop="1" thickBot="1" x14ac:dyDescent="0.4">
      <c r="A11" s="69" t="s">
        <v>174</v>
      </c>
      <c r="B11" s="2" t="s">
        <v>175</v>
      </c>
      <c r="C11" s="2">
        <v>0</v>
      </c>
      <c r="D11" s="215"/>
    </row>
    <row r="12" spans="1:7" ht="15.5" thickTop="1" thickBot="1" x14ac:dyDescent="0.4">
      <c r="A12" s="69" t="s">
        <v>9</v>
      </c>
      <c r="B12" s="2" t="s">
        <v>176</v>
      </c>
      <c r="C12" s="173">
        <f>13689.45</f>
        <v>13689.45</v>
      </c>
      <c r="D12" s="215"/>
    </row>
    <row r="13" spans="1:7" ht="15.5" thickTop="1" thickBot="1" x14ac:dyDescent="0.4">
      <c r="A13" s="70" t="s">
        <v>177</v>
      </c>
      <c r="B13" s="71" t="s">
        <v>3</v>
      </c>
      <c r="C13" s="71">
        <f>C7+C9+C10-C12</f>
        <v>140090.87</v>
      </c>
      <c r="D13" s="72"/>
    </row>
    <row r="14" spans="1:7" ht="15" thickTop="1" x14ac:dyDescent="0.35"/>
  </sheetData>
  <mergeCells count="2">
    <mergeCell ref="A1:D5"/>
    <mergeCell ref="D7:D1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F39"/>
  <sheetViews>
    <sheetView zoomScale="70" zoomScaleNormal="70" workbookViewId="0">
      <selection activeCell="F1" sqref="F1"/>
    </sheetView>
  </sheetViews>
  <sheetFormatPr defaultRowHeight="14.5" x14ac:dyDescent="0.35"/>
  <cols>
    <col min="1" max="1" width="55.453125" bestFit="1" customWidth="1"/>
    <col min="2" max="2" width="14.54296875" customWidth="1"/>
    <col min="3" max="3" width="56" bestFit="1" customWidth="1"/>
    <col min="4" max="4" width="26.453125" bestFit="1" customWidth="1"/>
    <col min="6" max="6" width="12.453125" bestFit="1" customWidth="1"/>
  </cols>
  <sheetData>
    <row r="1" spans="1:4" x14ac:dyDescent="0.35">
      <c r="A1" s="203" t="s">
        <v>3</v>
      </c>
      <c r="B1" s="203"/>
      <c r="C1" s="203"/>
      <c r="D1" s="203"/>
    </row>
    <row r="2" spans="1:4" x14ac:dyDescent="0.35">
      <c r="A2" s="203"/>
      <c r="B2" s="203"/>
      <c r="C2" s="203"/>
      <c r="D2" s="203"/>
    </row>
    <row r="3" spans="1:4" x14ac:dyDescent="0.35">
      <c r="A3" s="203"/>
      <c r="B3" s="203"/>
      <c r="C3" s="203"/>
      <c r="D3" s="203"/>
    </row>
    <row r="4" spans="1:4" x14ac:dyDescent="0.35">
      <c r="A4" s="203"/>
      <c r="B4" s="203"/>
      <c r="C4" s="203"/>
      <c r="D4" s="203"/>
    </row>
    <row r="5" spans="1:4" ht="15" thickBot="1" x14ac:dyDescent="0.4">
      <c r="A5" s="203"/>
      <c r="B5" s="203"/>
      <c r="C5" s="203"/>
      <c r="D5" s="203"/>
    </row>
    <row r="6" spans="1:4" ht="17" thickBot="1" x14ac:dyDescent="0.5">
      <c r="A6" s="75" t="s">
        <v>97</v>
      </c>
      <c r="B6" s="76"/>
      <c r="C6" s="76"/>
      <c r="D6" s="76"/>
    </row>
    <row r="7" spans="1:4" s="9" customFormat="1" ht="17" thickBot="1" x14ac:dyDescent="0.5">
      <c r="A7" s="129" t="s">
        <v>17</v>
      </c>
      <c r="B7" s="130" t="s">
        <v>7</v>
      </c>
      <c r="C7" s="129" t="s">
        <v>98</v>
      </c>
      <c r="D7" s="131" t="s">
        <v>20</v>
      </c>
    </row>
    <row r="8" spans="1:4" s="9" customFormat="1" ht="15.5" thickTop="1" thickBot="1" x14ac:dyDescent="0.4">
      <c r="A8" s="132" t="s">
        <v>99</v>
      </c>
      <c r="B8" s="133">
        <f>Folha1!B14</f>
        <v>244065.29204605747</v>
      </c>
      <c r="C8" s="134"/>
      <c r="D8" s="134"/>
    </row>
    <row r="9" spans="1:4" s="9" customFormat="1" ht="15.5" thickTop="1" thickBot="1" x14ac:dyDescent="0.4">
      <c r="A9" s="135"/>
      <c r="B9" s="133"/>
      <c r="C9" s="134"/>
      <c r="D9" s="134"/>
    </row>
    <row r="10" spans="1:4" ht="15.5" thickTop="1" thickBot="1" x14ac:dyDescent="0.4">
      <c r="A10" s="135" t="s">
        <v>100</v>
      </c>
      <c r="B10" s="133"/>
      <c r="C10" s="134"/>
      <c r="D10" s="134"/>
    </row>
    <row r="11" spans="1:4" ht="15.5" thickTop="1" thickBot="1" x14ac:dyDescent="0.4">
      <c r="A11" s="135" t="s">
        <v>101</v>
      </c>
      <c r="B11" s="136">
        <f>D14</f>
        <v>1218.9549999999999</v>
      </c>
      <c r="C11" s="134" t="s">
        <v>102</v>
      </c>
      <c r="D11" s="134"/>
    </row>
    <row r="12" spans="1:4" s="9" customFormat="1" ht="15.5" thickTop="1" thickBot="1" x14ac:dyDescent="0.4">
      <c r="A12" s="135"/>
      <c r="B12" s="136"/>
      <c r="C12" s="134" t="s">
        <v>179</v>
      </c>
      <c r="D12" s="134">
        <f>34751.64-25000</f>
        <v>9751.64</v>
      </c>
    </row>
    <row r="13" spans="1:4" s="9" customFormat="1" ht="15.5" thickTop="1" thickBot="1" x14ac:dyDescent="0.4">
      <c r="A13" s="135"/>
      <c r="B13" s="136"/>
      <c r="C13" s="134"/>
      <c r="D13" s="134">
        <f>D12/4</f>
        <v>2437.91</v>
      </c>
    </row>
    <row r="14" spans="1:4" s="9" customFormat="1" ht="15.5" thickTop="1" thickBot="1" x14ac:dyDescent="0.4">
      <c r="A14" s="135"/>
      <c r="B14" s="136"/>
      <c r="C14" s="134"/>
      <c r="D14" s="134">
        <f>(D13/12)*6</f>
        <v>1218.9549999999999</v>
      </c>
    </row>
    <row r="15" spans="1:4" ht="15.5" thickTop="1" thickBot="1" x14ac:dyDescent="0.4">
      <c r="A15" s="135" t="s">
        <v>103</v>
      </c>
      <c r="B15" s="136">
        <f>Diferimentos!F9</f>
        <v>865.74</v>
      </c>
      <c r="C15" s="134" t="s">
        <v>104</v>
      </c>
      <c r="D15" s="134"/>
    </row>
    <row r="16" spans="1:4" ht="15.5" thickTop="1" thickBot="1" x14ac:dyDescent="0.4">
      <c r="A16" s="135" t="s">
        <v>105</v>
      </c>
      <c r="B16" s="137">
        <f>D19</f>
        <v>-1887.28828</v>
      </c>
      <c r="C16" s="134" t="s">
        <v>106</v>
      </c>
      <c r="D16" s="134"/>
    </row>
    <row r="17" spans="1:6" s="9" customFormat="1" ht="15.5" thickTop="1" thickBot="1" x14ac:dyDescent="0.4">
      <c r="A17" s="135"/>
      <c r="B17" s="137"/>
      <c r="C17" s="134" t="s">
        <v>180</v>
      </c>
      <c r="D17" s="161">
        <f>'Balancete Ajustado'!I136*0.002</f>
        <v>656.46172000000001</v>
      </c>
    </row>
    <row r="18" spans="1:6" ht="15.5" thickTop="1" thickBot="1" x14ac:dyDescent="0.4">
      <c r="A18" s="135"/>
      <c r="B18" s="137"/>
      <c r="C18" s="134" t="s">
        <v>181</v>
      </c>
      <c r="D18" s="161">
        <f>D17*0.5</f>
        <v>328.23086000000001</v>
      </c>
    </row>
    <row r="19" spans="1:6" ht="15.5" thickTop="1" thickBot="1" x14ac:dyDescent="0.4">
      <c r="A19" s="135"/>
      <c r="B19" s="137"/>
      <c r="C19" s="134" t="s">
        <v>182</v>
      </c>
      <c r="D19" s="161">
        <f>D17-Diferimentos!F16</f>
        <v>-1887.28828</v>
      </c>
    </row>
    <row r="20" spans="1:6" ht="15.5" thickTop="1" thickBot="1" x14ac:dyDescent="0.4">
      <c r="A20" s="135" t="s">
        <v>183</v>
      </c>
      <c r="B20" s="133">
        <f>-D22</f>
        <v>-7488</v>
      </c>
      <c r="C20" s="134" t="s">
        <v>107</v>
      </c>
      <c r="D20" s="134"/>
    </row>
    <row r="21" spans="1:6" ht="15.5" thickTop="1" thickBot="1" x14ac:dyDescent="0.4">
      <c r="A21" s="135"/>
      <c r="B21" s="133">
        <f>B8+B11+B15-B16-B20</f>
        <v>255525.27532605745</v>
      </c>
      <c r="C21" s="134" t="s">
        <v>184</v>
      </c>
      <c r="D21" s="134">
        <f>780*6+780*6+936*6</f>
        <v>14976</v>
      </c>
    </row>
    <row r="22" spans="1:6" ht="15.5" thickTop="1" thickBot="1" x14ac:dyDescent="0.4">
      <c r="A22" s="135"/>
      <c r="B22" s="133"/>
      <c r="C22" s="134"/>
      <c r="D22" s="134">
        <f>D21*0.5</f>
        <v>7488</v>
      </c>
    </row>
    <row r="23" spans="1:6" ht="15.5" thickTop="1" thickBot="1" x14ac:dyDescent="0.4">
      <c r="A23" s="132" t="s">
        <v>108</v>
      </c>
      <c r="B23" s="133">
        <f>B21</f>
        <v>255525.27532605745</v>
      </c>
      <c r="C23" s="134" t="s">
        <v>109</v>
      </c>
      <c r="D23" s="134"/>
    </row>
    <row r="24" spans="1:6" ht="15.5" thickTop="1" thickBot="1" x14ac:dyDescent="0.4">
      <c r="A24" s="135" t="s">
        <v>110</v>
      </c>
      <c r="B24" s="133">
        <v>0</v>
      </c>
      <c r="C24" s="134" t="s">
        <v>111</v>
      </c>
      <c r="D24" s="134"/>
    </row>
    <row r="25" spans="1:6" ht="15.5" thickTop="1" thickBot="1" x14ac:dyDescent="0.4">
      <c r="A25" s="135" t="s">
        <v>112</v>
      </c>
      <c r="B25" s="133">
        <v>0</v>
      </c>
      <c r="C25" s="134" t="s">
        <v>113</v>
      </c>
      <c r="D25" s="134"/>
    </row>
    <row r="26" spans="1:6" ht="15.5" thickTop="1" thickBot="1" x14ac:dyDescent="0.4">
      <c r="A26" s="135"/>
      <c r="B26" s="133"/>
      <c r="C26" s="134"/>
      <c r="D26" s="134"/>
    </row>
    <row r="27" spans="1:6" ht="15.5" thickTop="1" thickBot="1" x14ac:dyDescent="0.4">
      <c r="A27" s="132" t="s">
        <v>114</v>
      </c>
      <c r="B27" s="133">
        <f>B23</f>
        <v>255525.27532605745</v>
      </c>
      <c r="C27" s="134" t="s">
        <v>115</v>
      </c>
      <c r="D27" s="134"/>
      <c r="F27" s="1"/>
    </row>
    <row r="28" spans="1:6" ht="15.5" thickTop="1" thickBot="1" x14ac:dyDescent="0.4">
      <c r="A28" s="135" t="s">
        <v>116</v>
      </c>
      <c r="B28" s="133">
        <f>(0.17*15000)+(0.21*321559.82)</f>
        <v>70077.5622</v>
      </c>
      <c r="C28" s="134" t="s">
        <v>117</v>
      </c>
      <c r="D28" s="134"/>
      <c r="F28" s="1"/>
    </row>
    <row r="29" spans="1:6" ht="15.5" thickTop="1" thickBot="1" x14ac:dyDescent="0.4">
      <c r="A29" s="135" t="s">
        <v>118</v>
      </c>
      <c r="B29" s="133">
        <v>0</v>
      </c>
      <c r="C29" s="134"/>
      <c r="D29" s="134"/>
      <c r="F29" s="1"/>
    </row>
    <row r="30" spans="1:6" ht="15.5" thickTop="1" thickBot="1" x14ac:dyDescent="0.4">
      <c r="A30" s="135"/>
      <c r="B30" s="133"/>
      <c r="C30" s="134"/>
      <c r="D30" s="134"/>
    </row>
    <row r="31" spans="1:6" ht="15.5" thickTop="1" thickBot="1" x14ac:dyDescent="0.4">
      <c r="A31" s="135" t="s">
        <v>119</v>
      </c>
      <c r="B31" s="133">
        <v>0</v>
      </c>
      <c r="C31" s="134" t="s">
        <v>120</v>
      </c>
      <c r="D31" s="134"/>
    </row>
    <row r="32" spans="1:6" ht="15.5" thickTop="1" thickBot="1" x14ac:dyDescent="0.4">
      <c r="A32" s="135" t="s">
        <v>121</v>
      </c>
      <c r="B32" s="133">
        <v>0</v>
      </c>
      <c r="C32" s="134" t="s">
        <v>122</v>
      </c>
      <c r="D32" s="134"/>
    </row>
    <row r="33" spans="1:4" ht="15.5" thickTop="1" thickBot="1" x14ac:dyDescent="0.4">
      <c r="A33" s="135" t="s">
        <v>123</v>
      </c>
      <c r="B33" s="133">
        <v>0</v>
      </c>
      <c r="C33" s="134" t="s">
        <v>124</v>
      </c>
      <c r="D33" s="134"/>
    </row>
    <row r="34" spans="1:4" ht="15.5" thickTop="1" thickBot="1" x14ac:dyDescent="0.4">
      <c r="A34" s="135"/>
      <c r="B34" s="133"/>
      <c r="C34" s="134"/>
      <c r="D34" s="134"/>
    </row>
    <row r="35" spans="1:4" ht="15.5" thickTop="1" thickBot="1" x14ac:dyDescent="0.4">
      <c r="A35" s="132" t="s">
        <v>125</v>
      </c>
      <c r="B35" s="133">
        <f>B28</f>
        <v>70077.5622</v>
      </c>
      <c r="C35" s="134"/>
      <c r="D35" s="134"/>
    </row>
    <row r="36" spans="1:4" ht="15.5" thickTop="1" thickBot="1" x14ac:dyDescent="0.4">
      <c r="A36" s="135" t="s">
        <v>126</v>
      </c>
      <c r="B36" s="133">
        <f>0.015*B27</f>
        <v>3832.8791298908618</v>
      </c>
      <c r="C36" s="134" t="s">
        <v>127</v>
      </c>
      <c r="D36" s="134"/>
    </row>
    <row r="37" spans="1:4" ht="15.5" thickTop="1" thickBot="1" x14ac:dyDescent="0.4">
      <c r="A37" s="135" t="s">
        <v>128</v>
      </c>
      <c r="B37" s="133">
        <f>D37</f>
        <v>9668.364999999998</v>
      </c>
      <c r="C37" s="134" t="s">
        <v>196</v>
      </c>
      <c r="D37" s="134">
        <f>(27280.98+342.92)*0.35</f>
        <v>9668.364999999998</v>
      </c>
    </row>
    <row r="38" spans="1:4" ht="15.5" thickTop="1" thickBot="1" x14ac:dyDescent="0.4">
      <c r="A38" s="132" t="s">
        <v>185</v>
      </c>
      <c r="B38" s="133">
        <f>B35+B36+B37</f>
        <v>83578.806329890853</v>
      </c>
      <c r="C38" s="134"/>
      <c r="D38" s="134"/>
    </row>
    <row r="39" spans="1:4" ht="15" thickTop="1" x14ac:dyDescent="0.35"/>
  </sheetData>
  <mergeCells count="1">
    <mergeCell ref="A1:D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N514"/>
  <sheetViews>
    <sheetView tabSelected="1" zoomScale="71" zoomScaleNormal="71" workbookViewId="0">
      <pane xSplit="5" ySplit="8" topLeftCell="F140" activePane="bottomRight" state="frozen"/>
      <selection pane="topRight" activeCell="F1" sqref="F1"/>
      <selection pane="bottomLeft" activeCell="A9" sqref="A9"/>
      <selection pane="bottomRight" activeCell="I140" sqref="I140"/>
    </sheetView>
  </sheetViews>
  <sheetFormatPr defaultRowHeight="14.5" x14ac:dyDescent="0.35"/>
  <cols>
    <col min="1" max="1" width="13.1796875" style="127" bestFit="1" customWidth="1"/>
    <col min="2" max="2" width="56.7265625" bestFit="1" customWidth="1"/>
    <col min="3" max="3" width="14.26953125" bestFit="1" customWidth="1"/>
    <col min="4" max="4" width="14.54296875" bestFit="1" customWidth="1"/>
    <col min="5" max="5" width="15" style="7" customWidth="1"/>
    <col min="6" max="6" width="17.7265625" style="7" customWidth="1"/>
    <col min="7" max="7" width="9.1796875" style="88"/>
    <col min="8" max="8" width="16.453125" style="7" customWidth="1"/>
    <col min="9" max="9" width="18" style="7" bestFit="1" customWidth="1"/>
    <col min="10" max="10" width="16.1796875" bestFit="1" customWidth="1"/>
    <col min="11" max="11" width="13.81640625" bestFit="1" customWidth="1"/>
  </cols>
  <sheetData>
    <row r="1" spans="1:10" s="79" customFormat="1" ht="54.65" customHeight="1" thickTop="1" x14ac:dyDescent="0.35">
      <c r="A1" s="223" t="s">
        <v>13</v>
      </c>
      <c r="B1" s="224"/>
      <c r="C1" s="224"/>
      <c r="D1" s="224"/>
      <c r="E1" s="224"/>
      <c r="F1" s="224"/>
      <c r="G1" s="224"/>
      <c r="H1" s="224"/>
      <c r="I1" s="225"/>
    </row>
    <row r="2" spans="1:10" s="79" customFormat="1" ht="25.15" customHeight="1" thickBot="1" x14ac:dyDescent="0.4">
      <c r="A2" s="226"/>
      <c r="B2" s="227"/>
      <c r="C2" s="227"/>
      <c r="D2" s="227"/>
      <c r="E2" s="227"/>
      <c r="F2" s="227"/>
      <c r="G2" s="227"/>
      <c r="H2" s="227"/>
      <c r="I2" s="228"/>
    </row>
    <row r="3" spans="1:10" s="79" customFormat="1" ht="15" thickTop="1" x14ac:dyDescent="0.35">
      <c r="A3" s="229"/>
      <c r="B3" s="229"/>
      <c r="C3" s="229"/>
      <c r="D3" s="229"/>
      <c r="E3" s="229"/>
      <c r="F3" s="229"/>
      <c r="G3" s="229"/>
      <c r="H3" s="229"/>
      <c r="I3" s="229"/>
    </row>
    <row r="4" spans="1:10" s="79" customFormat="1" x14ac:dyDescent="0.35">
      <c r="A4" s="230"/>
      <c r="B4" s="230"/>
      <c r="C4" s="230"/>
      <c r="D4" s="230"/>
      <c r="E4" s="230"/>
      <c r="F4" s="230"/>
      <c r="G4" s="230"/>
      <c r="H4" s="230"/>
      <c r="I4" s="230"/>
    </row>
    <row r="5" spans="1:10" s="79" customFormat="1" x14ac:dyDescent="0.35">
      <c r="A5" s="231" t="s">
        <v>14</v>
      </c>
      <c r="B5" s="231"/>
      <c r="C5" s="231"/>
      <c r="D5" s="231"/>
      <c r="E5" s="231"/>
      <c r="F5" s="231"/>
      <c r="G5" s="231"/>
      <c r="H5" s="231"/>
      <c r="I5" s="231"/>
    </row>
    <row r="6" spans="1:10" s="79" customFormat="1" ht="15" thickBot="1" x14ac:dyDescent="0.4">
      <c r="A6" s="232" t="s">
        <v>15</v>
      </c>
      <c r="B6" s="232"/>
      <c r="C6" s="232"/>
      <c r="D6" s="232"/>
      <c r="E6" s="232"/>
      <c r="F6" s="232"/>
      <c r="G6" s="232"/>
      <c r="H6" s="232"/>
      <c r="I6" s="232"/>
    </row>
    <row r="7" spans="1:10" ht="15.5" thickTop="1" thickBot="1" x14ac:dyDescent="0.4">
      <c r="A7" s="80" t="s">
        <v>16</v>
      </c>
      <c r="B7" s="80" t="s">
        <v>17</v>
      </c>
      <c r="C7" s="233" t="s">
        <v>186</v>
      </c>
      <c r="D7" s="234"/>
      <c r="E7" s="235" t="s">
        <v>19</v>
      </c>
      <c r="F7" s="236"/>
      <c r="G7" s="237" t="s">
        <v>20</v>
      </c>
      <c r="H7" s="221" t="s">
        <v>21</v>
      </c>
      <c r="I7" s="222"/>
    </row>
    <row r="8" spans="1:10" ht="15.5" thickTop="1" thickBot="1" x14ac:dyDescent="0.4">
      <c r="A8" s="218"/>
      <c r="B8" s="219"/>
      <c r="C8" s="81" t="s">
        <v>22</v>
      </c>
      <c r="D8" s="81" t="s">
        <v>23</v>
      </c>
      <c r="E8" s="81" t="s">
        <v>22</v>
      </c>
      <c r="F8" s="81" t="s">
        <v>23</v>
      </c>
      <c r="G8" s="238"/>
      <c r="H8" s="81" t="s">
        <v>197</v>
      </c>
      <c r="I8" s="81" t="s">
        <v>192</v>
      </c>
    </row>
    <row r="9" spans="1:10" ht="15.5" thickTop="1" thickBot="1" x14ac:dyDescent="0.4">
      <c r="A9" s="91">
        <v>1</v>
      </c>
      <c r="B9" s="110" t="s">
        <v>24</v>
      </c>
      <c r="C9" s="110"/>
      <c r="D9" s="110">
        <v>0</v>
      </c>
      <c r="E9" s="111"/>
      <c r="F9" s="111"/>
      <c r="G9" s="112"/>
      <c r="H9" s="106"/>
      <c r="I9" s="106"/>
    </row>
    <row r="10" spans="1:10" ht="15.5" thickTop="1" thickBot="1" x14ac:dyDescent="0.4">
      <c r="A10" s="93">
        <v>12</v>
      </c>
      <c r="B10" s="113" t="s">
        <v>25</v>
      </c>
      <c r="C10" s="113">
        <v>338539.66</v>
      </c>
      <c r="D10" s="113">
        <v>0</v>
      </c>
      <c r="E10" s="113"/>
      <c r="F10" s="113"/>
      <c r="G10" s="114"/>
      <c r="H10" s="113">
        <f>C10+E10</f>
        <v>338539.66</v>
      </c>
      <c r="I10" s="113"/>
    </row>
    <row r="11" spans="1:10" ht="15.5" thickTop="1" thickBot="1" x14ac:dyDescent="0.4">
      <c r="A11" s="95">
        <v>121</v>
      </c>
      <c r="B11" s="113" t="s">
        <v>26</v>
      </c>
      <c r="C11" s="113">
        <v>338539.66</v>
      </c>
      <c r="D11" s="113">
        <v>0</v>
      </c>
      <c r="E11" s="113"/>
      <c r="F11" s="113"/>
      <c r="G11" s="114"/>
      <c r="H11" s="113">
        <f>C11+E11</f>
        <v>338539.66</v>
      </c>
      <c r="I11" s="113"/>
    </row>
    <row r="12" spans="1:10" ht="15.5" thickTop="1" thickBot="1" x14ac:dyDescent="0.4">
      <c r="A12" s="220" t="s">
        <v>27</v>
      </c>
      <c r="B12" s="220"/>
      <c r="C12" s="100">
        <f>C11</f>
        <v>338539.66</v>
      </c>
      <c r="D12" s="100" t="s">
        <v>5</v>
      </c>
      <c r="E12" s="115"/>
      <c r="F12" s="115"/>
      <c r="G12" s="116"/>
      <c r="H12" s="100">
        <f>H11</f>
        <v>338539.66</v>
      </c>
      <c r="I12" s="100"/>
    </row>
    <row r="13" spans="1:10" s="78" customFormat="1" ht="15.5" thickTop="1" thickBot="1" x14ac:dyDescent="0.4">
      <c r="A13" s="94"/>
      <c r="B13" s="113"/>
      <c r="C13" s="113"/>
      <c r="D13" s="113"/>
      <c r="E13" s="113"/>
      <c r="F13" s="113"/>
      <c r="G13" s="114"/>
      <c r="H13" s="117"/>
      <c r="I13" s="117"/>
    </row>
    <row r="14" spans="1:10" ht="15.5" thickTop="1" thickBot="1" x14ac:dyDescent="0.4">
      <c r="A14" s="91">
        <v>2</v>
      </c>
      <c r="B14" s="110" t="s">
        <v>28</v>
      </c>
      <c r="C14" s="110"/>
      <c r="D14" s="110"/>
      <c r="E14" s="106"/>
      <c r="F14" s="106"/>
      <c r="G14" s="112"/>
      <c r="H14" s="106"/>
      <c r="I14" s="106"/>
    </row>
    <row r="15" spans="1:10" s="78" customFormat="1" ht="19" thickTop="1" thickBot="1" x14ac:dyDescent="0.45">
      <c r="A15" s="105">
        <v>21</v>
      </c>
      <c r="B15" s="118" t="s">
        <v>0</v>
      </c>
      <c r="C15" s="139">
        <v>106722</v>
      </c>
      <c r="D15" s="139">
        <v>72500</v>
      </c>
      <c r="E15" s="113"/>
      <c r="F15" s="113"/>
      <c r="G15" s="114"/>
      <c r="H15" s="113">
        <f>H16+H17</f>
        <v>106722</v>
      </c>
      <c r="I15" s="139">
        <v>72500</v>
      </c>
      <c r="J15" s="1"/>
    </row>
    <row r="16" spans="1:10" ht="15.5" thickTop="1" thickBot="1" x14ac:dyDescent="0.4">
      <c r="A16" s="95">
        <v>211</v>
      </c>
      <c r="B16" s="113" t="s">
        <v>29</v>
      </c>
      <c r="C16" s="139">
        <v>40000</v>
      </c>
      <c r="D16" s="113"/>
      <c r="E16" s="113"/>
      <c r="F16" s="113"/>
      <c r="G16" s="114"/>
      <c r="H16" s="121">
        <f>C16</f>
        <v>40000</v>
      </c>
      <c r="I16" s="121">
        <f>F16</f>
        <v>0</v>
      </c>
      <c r="J16" s="1"/>
    </row>
    <row r="17" spans="1:9" ht="15.5" thickTop="1" thickBot="1" x14ac:dyDescent="0.4">
      <c r="A17" s="95">
        <v>212</v>
      </c>
      <c r="B17" s="113" t="s">
        <v>229</v>
      </c>
      <c r="C17" s="139">
        <v>66722</v>
      </c>
      <c r="D17" s="113"/>
      <c r="E17" s="113"/>
      <c r="F17" s="113"/>
      <c r="G17" s="114"/>
      <c r="H17" s="121">
        <f>C17</f>
        <v>66722</v>
      </c>
      <c r="I17" s="121"/>
    </row>
    <row r="18" spans="1:9" s="138" customFormat="1" ht="15.5" thickTop="1" thickBot="1" x14ac:dyDescent="0.4">
      <c r="A18" s="95">
        <v>218</v>
      </c>
      <c r="B18" s="113" t="s">
        <v>230</v>
      </c>
      <c r="C18" s="139"/>
      <c r="D18" s="139">
        <v>72500</v>
      </c>
      <c r="E18" s="113"/>
      <c r="F18" s="113"/>
      <c r="G18" s="114"/>
      <c r="H18" s="121"/>
      <c r="I18" s="139">
        <v>72500</v>
      </c>
    </row>
    <row r="19" spans="1:9" s="85" customFormat="1" ht="19.5" thickTop="1" thickBot="1" x14ac:dyDescent="0.5">
      <c r="A19" s="126">
        <v>22</v>
      </c>
      <c r="B19" s="119" t="s">
        <v>2</v>
      </c>
      <c r="C19" s="113"/>
      <c r="D19" s="139">
        <v>13971.74</v>
      </c>
      <c r="E19" s="113"/>
      <c r="F19" s="113"/>
      <c r="G19" s="114"/>
      <c r="H19" s="113"/>
      <c r="I19" s="113">
        <f>D19</f>
        <v>13971.74</v>
      </c>
    </row>
    <row r="20" spans="1:9" ht="15.5" thickTop="1" thickBot="1" x14ac:dyDescent="0.4">
      <c r="A20" s="96">
        <v>221</v>
      </c>
      <c r="B20" s="117" t="s">
        <v>30</v>
      </c>
      <c r="C20" s="113"/>
      <c r="D20" s="139">
        <v>13971.74</v>
      </c>
      <c r="E20" s="113"/>
      <c r="F20" s="113"/>
      <c r="G20" s="114"/>
      <c r="H20" s="113"/>
      <c r="I20" s="113">
        <f t="shared" ref="I20:I21" si="0">D20</f>
        <v>13971.74</v>
      </c>
    </row>
    <row r="21" spans="1:9" s="85" customFormat="1" ht="19.5" thickTop="1" thickBot="1" x14ac:dyDescent="0.5">
      <c r="A21" s="126">
        <v>23</v>
      </c>
      <c r="B21" s="119" t="s">
        <v>31</v>
      </c>
      <c r="C21" s="113"/>
      <c r="D21" s="139">
        <v>55698.95</v>
      </c>
      <c r="E21" s="113"/>
      <c r="F21" s="113"/>
      <c r="G21" s="114"/>
      <c r="H21" s="113"/>
      <c r="I21" s="113">
        <f t="shared" si="0"/>
        <v>55698.95</v>
      </c>
    </row>
    <row r="22" spans="1:9" s="85" customFormat="1" ht="19.5" thickTop="1" thickBot="1" x14ac:dyDescent="0.5">
      <c r="A22" s="126">
        <v>24</v>
      </c>
      <c r="B22" s="119" t="s">
        <v>32</v>
      </c>
      <c r="C22" s="139">
        <v>42573.760000000002</v>
      </c>
      <c r="D22" s="139">
        <v>30021.26</v>
      </c>
      <c r="E22" s="113"/>
      <c r="F22" s="113"/>
      <c r="G22" s="114"/>
      <c r="H22" s="139">
        <v>42573.760000000002</v>
      </c>
      <c r="I22" s="113">
        <f>I23+I24+I28+I30+I31</f>
        <v>119119.06632989085</v>
      </c>
    </row>
    <row r="23" spans="1:9" s="86" customFormat="1" ht="15.5" thickTop="1" thickBot="1" x14ac:dyDescent="0.4">
      <c r="A23" s="96">
        <v>241</v>
      </c>
      <c r="B23" s="117" t="s">
        <v>200</v>
      </c>
      <c r="C23" s="113"/>
      <c r="D23" s="113"/>
      <c r="E23" s="113"/>
      <c r="F23" s="113">
        <f>'IRC Estimado'!B38</f>
        <v>83578.806329890853</v>
      </c>
      <c r="G23" s="114"/>
      <c r="H23" s="113"/>
      <c r="I23" s="113">
        <f>F23</f>
        <v>83578.806329890853</v>
      </c>
    </row>
    <row r="24" spans="1:9" ht="15.5" thickTop="1" thickBot="1" x14ac:dyDescent="0.4">
      <c r="A24" s="95">
        <v>242</v>
      </c>
      <c r="B24" s="113" t="s">
        <v>11</v>
      </c>
      <c r="C24" s="113"/>
      <c r="D24" s="139">
        <v>5519</v>
      </c>
      <c r="E24" s="113"/>
      <c r="F24" s="113"/>
      <c r="G24" s="114"/>
      <c r="H24" s="113"/>
      <c r="I24" s="113">
        <f>SUM(I25:I27)</f>
        <v>11038</v>
      </c>
    </row>
    <row r="25" spans="1:9" ht="15.5" thickTop="1" thickBot="1" x14ac:dyDescent="0.4">
      <c r="A25" s="97">
        <v>2421</v>
      </c>
      <c r="B25" s="113" t="s">
        <v>33</v>
      </c>
      <c r="C25" s="113"/>
      <c r="D25" s="139">
        <v>5519</v>
      </c>
      <c r="E25" s="113"/>
      <c r="F25" s="113"/>
      <c r="G25" s="114"/>
      <c r="H25" s="113"/>
      <c r="I25" s="113">
        <f t="shared" ref="I25:I35" si="1">D25</f>
        <v>5519</v>
      </c>
    </row>
    <row r="26" spans="1:9" ht="15.5" thickTop="1" thickBot="1" x14ac:dyDescent="0.4">
      <c r="A26" s="97">
        <v>24211</v>
      </c>
      <c r="B26" s="113" t="s">
        <v>231</v>
      </c>
      <c r="C26" s="113"/>
      <c r="D26" s="139">
        <v>5194</v>
      </c>
      <c r="E26" s="113"/>
      <c r="F26" s="113"/>
      <c r="G26" s="114"/>
      <c r="H26" s="113"/>
      <c r="I26" s="113">
        <f t="shared" si="1"/>
        <v>5194</v>
      </c>
    </row>
    <row r="27" spans="1:9" ht="15.5" thickTop="1" thickBot="1" x14ac:dyDescent="0.4">
      <c r="A27" s="97">
        <v>24212</v>
      </c>
      <c r="B27" s="113" t="s">
        <v>34</v>
      </c>
      <c r="C27" s="113"/>
      <c r="D27" s="139">
        <v>325</v>
      </c>
      <c r="E27" s="113"/>
      <c r="F27" s="113"/>
      <c r="G27" s="114"/>
      <c r="H27" s="113"/>
      <c r="I27" s="113">
        <f t="shared" si="1"/>
        <v>325</v>
      </c>
    </row>
    <row r="28" spans="1:9" ht="15.5" thickTop="1" thickBot="1" x14ac:dyDescent="0.4">
      <c r="A28" s="95">
        <v>243</v>
      </c>
      <c r="B28" s="113" t="s">
        <v>35</v>
      </c>
      <c r="C28" s="139">
        <v>42573.760000000002</v>
      </c>
      <c r="D28" s="113"/>
      <c r="E28" s="113"/>
      <c r="F28" s="113"/>
      <c r="G28" s="114"/>
      <c r="H28" s="139">
        <v>42573.760000000002</v>
      </c>
      <c r="I28" s="113">
        <f t="shared" si="1"/>
        <v>0</v>
      </c>
    </row>
    <row r="29" spans="1:9" ht="15.5" thickTop="1" thickBot="1" x14ac:dyDescent="0.4">
      <c r="A29" s="94">
        <v>2437</v>
      </c>
      <c r="B29" s="113" t="s">
        <v>232</v>
      </c>
      <c r="C29" s="139">
        <v>42573.760000000002</v>
      </c>
      <c r="D29" s="113"/>
      <c r="E29" s="113"/>
      <c r="F29" s="113"/>
      <c r="G29" s="114"/>
      <c r="H29" s="139">
        <v>42573.760000000002</v>
      </c>
      <c r="I29" s="113">
        <f t="shared" si="1"/>
        <v>0</v>
      </c>
    </row>
    <row r="30" spans="1:9" ht="15.5" thickTop="1" thickBot="1" x14ac:dyDescent="0.4">
      <c r="A30" s="95">
        <v>244</v>
      </c>
      <c r="B30" s="113" t="s">
        <v>36</v>
      </c>
      <c r="C30" s="113"/>
      <c r="D30" s="139">
        <v>333.62</v>
      </c>
      <c r="E30" s="113"/>
      <c r="F30" s="113"/>
      <c r="G30" s="114"/>
      <c r="H30" s="113"/>
      <c r="I30" s="113">
        <f t="shared" si="1"/>
        <v>333.62</v>
      </c>
    </row>
    <row r="31" spans="1:9" ht="15.5" thickTop="1" thickBot="1" x14ac:dyDescent="0.4">
      <c r="A31" s="95">
        <v>245</v>
      </c>
      <c r="B31" s="113" t="s">
        <v>37</v>
      </c>
      <c r="C31" s="113"/>
      <c r="D31" s="139">
        <v>24168.639999999999</v>
      </c>
      <c r="E31" s="113"/>
      <c r="F31" s="113"/>
      <c r="G31" s="114"/>
      <c r="H31" s="113"/>
      <c r="I31" s="113">
        <f t="shared" si="1"/>
        <v>24168.639999999999</v>
      </c>
    </row>
    <row r="32" spans="1:9" s="85" customFormat="1" ht="19.5" thickTop="1" thickBot="1" x14ac:dyDescent="0.5">
      <c r="A32" s="98">
        <v>25</v>
      </c>
      <c r="B32" s="120" t="s">
        <v>6</v>
      </c>
      <c r="C32" s="113"/>
      <c r="D32" s="139">
        <v>99794.06</v>
      </c>
      <c r="E32" s="113"/>
      <c r="F32" s="113"/>
      <c r="G32" s="114"/>
      <c r="H32" s="113"/>
      <c r="I32" s="113">
        <f>D33</f>
        <v>99794.06</v>
      </c>
    </row>
    <row r="33" spans="1:9" ht="15.5" thickTop="1" thickBot="1" x14ac:dyDescent="0.4">
      <c r="A33" s="95">
        <v>251</v>
      </c>
      <c r="B33" s="113" t="s">
        <v>38</v>
      </c>
      <c r="C33" s="113"/>
      <c r="D33" s="139">
        <v>99794.06</v>
      </c>
      <c r="E33" s="113"/>
      <c r="F33" s="113"/>
      <c r="G33" s="114"/>
      <c r="H33" s="113"/>
      <c r="I33" s="113">
        <f>SUM(I35:I36)</f>
        <v>33072.06</v>
      </c>
    </row>
    <row r="34" spans="1:9" ht="15.5" thickTop="1" thickBot="1" x14ac:dyDescent="0.4">
      <c r="A34" s="94">
        <v>2511</v>
      </c>
      <c r="B34" s="113" t="s">
        <v>39</v>
      </c>
      <c r="C34" s="113"/>
      <c r="D34" s="139">
        <v>58</v>
      </c>
      <c r="E34" s="113"/>
      <c r="F34" s="113"/>
      <c r="G34" s="114"/>
      <c r="H34" s="113"/>
      <c r="I34" s="113">
        <f t="shared" si="1"/>
        <v>58</v>
      </c>
    </row>
    <row r="35" spans="1:9" ht="15.5" thickTop="1" thickBot="1" x14ac:dyDescent="0.4">
      <c r="A35" s="94">
        <v>25111</v>
      </c>
      <c r="B35" s="113" t="s">
        <v>233</v>
      </c>
      <c r="C35" s="113"/>
      <c r="D35" s="139">
        <v>58</v>
      </c>
      <c r="F35" s="113"/>
      <c r="G35" s="114"/>
      <c r="H35" s="113"/>
      <c r="I35" s="113">
        <f t="shared" si="1"/>
        <v>58</v>
      </c>
    </row>
    <row r="36" spans="1:9" ht="15.5" thickTop="1" thickBot="1" x14ac:dyDescent="0.4">
      <c r="A36" s="94">
        <v>2513</v>
      </c>
      <c r="B36" s="113" t="s">
        <v>40</v>
      </c>
      <c r="C36" s="113"/>
      <c r="D36" s="139">
        <v>33014.06</v>
      </c>
      <c r="E36" s="113"/>
      <c r="F36" s="113"/>
      <c r="G36" s="114"/>
      <c r="H36" s="113"/>
      <c r="I36" s="113">
        <f>D36</f>
        <v>33014.06</v>
      </c>
    </row>
    <row r="37" spans="1:9" s="138" customFormat="1" ht="15.5" thickTop="1" thickBot="1" x14ac:dyDescent="0.4">
      <c r="A37" s="94">
        <v>2514</v>
      </c>
      <c r="B37" s="113" t="s">
        <v>12</v>
      </c>
      <c r="C37" s="113"/>
      <c r="D37" s="139">
        <v>66722</v>
      </c>
      <c r="E37" s="113"/>
      <c r="F37" s="113"/>
      <c r="G37" s="114"/>
      <c r="H37" s="113"/>
      <c r="I37" s="113">
        <f>D37</f>
        <v>66722</v>
      </c>
    </row>
    <row r="38" spans="1:9" s="87" customFormat="1" ht="19.5" thickTop="1" thickBot="1" x14ac:dyDescent="0.5">
      <c r="A38" s="98">
        <v>27</v>
      </c>
      <c r="B38" s="120" t="s">
        <v>41</v>
      </c>
      <c r="C38" s="113"/>
      <c r="D38" s="113"/>
      <c r="E38" s="113"/>
      <c r="F38" s="113"/>
      <c r="G38" s="114"/>
      <c r="H38" s="113">
        <f>C38</f>
        <v>0</v>
      </c>
      <c r="I38" s="113">
        <f>I39</f>
        <v>68332.236169818352</v>
      </c>
    </row>
    <row r="39" spans="1:9" ht="15.5" thickTop="1" thickBot="1" x14ac:dyDescent="0.4">
      <c r="A39" s="95">
        <v>272</v>
      </c>
      <c r="B39" s="113" t="s">
        <v>42</v>
      </c>
      <c r="C39" s="113"/>
      <c r="D39" s="113"/>
      <c r="E39" s="113"/>
      <c r="F39" s="113">
        <f>Acréscimos!F64</f>
        <v>68332.236169818352</v>
      </c>
      <c r="G39" s="114"/>
      <c r="H39" s="113"/>
      <c r="I39" s="113">
        <f>F39</f>
        <v>68332.236169818352</v>
      </c>
    </row>
    <row r="40" spans="1:9" s="174" customFormat="1" ht="15.5" thickTop="1" thickBot="1" x14ac:dyDescent="0.4">
      <c r="A40" s="94">
        <v>2722</v>
      </c>
      <c r="B40" s="113" t="s">
        <v>43</v>
      </c>
      <c r="C40" s="113"/>
      <c r="D40" s="113"/>
      <c r="E40" s="113"/>
      <c r="F40" s="113"/>
      <c r="G40" s="114"/>
      <c r="H40" s="113"/>
      <c r="I40" s="113"/>
    </row>
    <row r="41" spans="1:9" s="174" customFormat="1" ht="15.5" thickTop="1" thickBot="1" x14ac:dyDescent="0.4">
      <c r="A41" s="95">
        <v>27221</v>
      </c>
      <c r="B41" s="182" t="s">
        <v>242</v>
      </c>
      <c r="C41" s="113"/>
      <c r="D41" s="113"/>
      <c r="E41" s="113">
        <f>Acréscimos!F41+Acréscimos!F42</f>
        <v>8373.7790410958914</v>
      </c>
      <c r="F41" s="113"/>
      <c r="G41" s="114"/>
      <c r="H41" s="113"/>
      <c r="I41" s="113"/>
    </row>
    <row r="42" spans="1:9" s="174" customFormat="1" ht="15.5" thickTop="1" thickBot="1" x14ac:dyDescent="0.4">
      <c r="A42" s="95">
        <v>27222</v>
      </c>
      <c r="B42" s="113" t="s">
        <v>243</v>
      </c>
      <c r="C42" s="113"/>
      <c r="D42" s="113"/>
      <c r="E42" s="113">
        <f>Acréscimos!F50+Acréscimos!F51</f>
        <v>8387.971424657535</v>
      </c>
      <c r="F42" s="113"/>
      <c r="G42" s="114"/>
      <c r="H42" s="113"/>
      <c r="I42" s="113"/>
    </row>
    <row r="43" spans="1:9" s="174" customFormat="1" ht="15.5" thickTop="1" thickBot="1" x14ac:dyDescent="0.4">
      <c r="A43" s="95">
        <v>27223</v>
      </c>
      <c r="B43" s="113" t="s">
        <v>244</v>
      </c>
      <c r="C43" s="113"/>
      <c r="D43" s="113"/>
      <c r="E43" s="113">
        <f>Acréscimos!F43+Acréscimos!F44+Acréscimos!F52+Acréscimos!F53+Acréscimos!F34+Acréscimos!F35</f>
        <v>5973.0589489726017</v>
      </c>
      <c r="F43" s="113"/>
      <c r="G43" s="114"/>
      <c r="H43" s="113"/>
      <c r="I43" s="113"/>
    </row>
    <row r="44" spans="1:9" s="174" customFormat="1" ht="15.5" thickTop="1" thickBot="1" x14ac:dyDescent="0.4">
      <c r="A44" s="95">
        <v>27225</v>
      </c>
      <c r="B44" s="113" t="s">
        <v>245</v>
      </c>
      <c r="C44" s="113"/>
      <c r="D44" s="113"/>
      <c r="E44" s="113">
        <f>Acréscimos!F32+Acréscimos!F33</f>
        <v>8387.971424657535</v>
      </c>
      <c r="F44" s="113"/>
      <c r="G44" s="114"/>
      <c r="H44" s="113"/>
      <c r="I44" s="113"/>
    </row>
    <row r="45" spans="1:9" s="87" customFormat="1" ht="19.5" thickTop="1" thickBot="1" x14ac:dyDescent="0.5">
      <c r="A45" s="98">
        <v>28</v>
      </c>
      <c r="B45" s="120" t="s">
        <v>95</v>
      </c>
      <c r="C45" s="113"/>
      <c r="D45" s="113"/>
      <c r="E45" s="113">
        <f>Diferimentos!H18</f>
        <v>165624.92367123289</v>
      </c>
      <c r="F45" s="113"/>
      <c r="G45" s="114"/>
      <c r="H45" s="113">
        <f>E45</f>
        <v>165624.92367123289</v>
      </c>
      <c r="I45" s="113"/>
    </row>
    <row r="46" spans="1:9" s="5" customFormat="1" ht="15.5" thickTop="1" thickBot="1" x14ac:dyDescent="0.4">
      <c r="A46" s="94">
        <v>281</v>
      </c>
      <c r="B46" s="113" t="s">
        <v>96</v>
      </c>
      <c r="C46" s="113"/>
      <c r="D46" s="113"/>
      <c r="E46" s="113"/>
      <c r="F46" s="113"/>
      <c r="G46" s="114"/>
      <c r="H46" s="113"/>
      <c r="I46" s="113"/>
    </row>
    <row r="47" spans="1:9" ht="15.5" thickTop="1" thickBot="1" x14ac:dyDescent="0.4">
      <c r="A47" s="220" t="s">
        <v>27</v>
      </c>
      <c r="B47" s="220"/>
      <c r="C47" s="100">
        <f>C22+C21+C15</f>
        <v>149295.76</v>
      </c>
      <c r="D47" s="100">
        <f>D32+D22+D21+D19+D15</f>
        <v>271986.01</v>
      </c>
      <c r="E47" s="100">
        <f>E45+E44+E43+E42+E41</f>
        <v>196747.70451061646</v>
      </c>
      <c r="F47" s="100">
        <f>F23+F39</f>
        <v>151911.04249970921</v>
      </c>
      <c r="G47" s="116"/>
      <c r="H47" s="100">
        <f>H45+H38+H15</f>
        <v>272346.92367123289</v>
      </c>
      <c r="I47" s="100">
        <f>I38+I32+I22+I21+I19</f>
        <v>356916.05249970919</v>
      </c>
    </row>
    <row r="48" spans="1:9" s="78" customFormat="1" ht="15.5" thickTop="1" thickBot="1" x14ac:dyDescent="0.4">
      <c r="A48" s="94"/>
      <c r="B48" s="113"/>
      <c r="C48" s="113"/>
      <c r="D48" s="113"/>
      <c r="E48" s="113"/>
      <c r="F48" s="113"/>
      <c r="G48" s="114"/>
      <c r="H48" s="117"/>
      <c r="I48" s="117"/>
    </row>
    <row r="49" spans="1:9" ht="15.5" thickTop="1" thickBot="1" x14ac:dyDescent="0.4">
      <c r="A49" s="91">
        <v>3</v>
      </c>
      <c r="B49" s="110" t="s">
        <v>44</v>
      </c>
      <c r="C49" s="110"/>
      <c r="D49" s="110"/>
      <c r="E49" s="106"/>
      <c r="F49" s="106"/>
      <c r="G49" s="112"/>
      <c r="H49" s="106"/>
      <c r="I49" s="106"/>
    </row>
    <row r="50" spans="1:9" s="79" customFormat="1" ht="15.5" thickTop="1" thickBot="1" x14ac:dyDescent="0.4">
      <c r="A50" s="101">
        <v>31</v>
      </c>
      <c r="B50" s="121" t="s">
        <v>45</v>
      </c>
      <c r="C50" s="139">
        <v>153780.32</v>
      </c>
      <c r="D50" s="113"/>
      <c r="E50" s="113"/>
      <c r="F50" s="113"/>
      <c r="G50" s="114"/>
      <c r="H50" s="113">
        <f>H51+H52</f>
        <v>153780.32</v>
      </c>
      <c r="I50" s="113">
        <f>I51+I52</f>
        <v>153780.32</v>
      </c>
    </row>
    <row r="51" spans="1:9" ht="15.5" thickTop="1" thickBot="1" x14ac:dyDescent="0.4">
      <c r="A51" s="95">
        <v>311</v>
      </c>
      <c r="B51" s="113" t="s">
        <v>46</v>
      </c>
      <c r="C51" s="139">
        <v>20000</v>
      </c>
      <c r="D51" s="113"/>
      <c r="E51" s="113"/>
      <c r="F51" s="139">
        <v>20000</v>
      </c>
      <c r="G51" s="114"/>
      <c r="H51" s="113">
        <f>C51</f>
        <v>20000</v>
      </c>
      <c r="I51" s="113">
        <f>F51</f>
        <v>20000</v>
      </c>
    </row>
    <row r="52" spans="1:9" ht="15.5" thickTop="1" thickBot="1" x14ac:dyDescent="0.4">
      <c r="A52" s="95">
        <v>312</v>
      </c>
      <c r="B52" s="113" t="s">
        <v>47</v>
      </c>
      <c r="C52" s="139">
        <v>133780.32</v>
      </c>
      <c r="D52" s="113"/>
      <c r="E52" s="113"/>
      <c r="F52" s="139">
        <v>133780.32</v>
      </c>
      <c r="G52" s="114"/>
      <c r="H52" s="113">
        <f>C52</f>
        <v>133780.32</v>
      </c>
      <c r="I52" s="113">
        <f>F52</f>
        <v>133780.32</v>
      </c>
    </row>
    <row r="53" spans="1:9" ht="15.5" thickTop="1" thickBot="1" x14ac:dyDescent="0.4">
      <c r="A53" s="93">
        <v>32</v>
      </c>
      <c r="B53" s="113" t="s">
        <v>46</v>
      </c>
      <c r="C53" s="113"/>
      <c r="D53" s="113"/>
      <c r="E53" s="117">
        <f>CMVMC!C12</f>
        <v>13689.45</v>
      </c>
      <c r="F53" s="113"/>
      <c r="G53" s="114"/>
      <c r="H53" s="121">
        <f>E53</f>
        <v>13689.45</v>
      </c>
      <c r="I53" s="113"/>
    </row>
    <row r="54" spans="1:9" ht="15.5" thickTop="1" thickBot="1" x14ac:dyDescent="0.4">
      <c r="A54" s="220" t="s">
        <v>27</v>
      </c>
      <c r="B54" s="220"/>
      <c r="C54" s="100">
        <f>C50</f>
        <v>153780.32</v>
      </c>
      <c r="D54" s="100" t="s">
        <v>5</v>
      </c>
      <c r="E54" s="100">
        <f>E53</f>
        <v>13689.45</v>
      </c>
      <c r="F54" s="100">
        <f>F51+F52</f>
        <v>153780.32</v>
      </c>
      <c r="G54" s="116"/>
      <c r="H54" s="100">
        <f>H50+H53</f>
        <v>167469.77000000002</v>
      </c>
      <c r="I54" s="100">
        <f>I50</f>
        <v>153780.32</v>
      </c>
    </row>
    <row r="55" spans="1:9" s="78" customFormat="1" ht="15.5" thickTop="1" thickBot="1" x14ac:dyDescent="0.4">
      <c r="A55" s="94"/>
      <c r="B55" s="113"/>
      <c r="C55" s="113"/>
      <c r="D55" s="113"/>
      <c r="E55" s="113"/>
      <c r="F55" s="113"/>
      <c r="G55" s="114"/>
      <c r="H55" s="117"/>
      <c r="I55" s="117"/>
    </row>
    <row r="56" spans="1:9" ht="15.5" thickTop="1" thickBot="1" x14ac:dyDescent="0.4">
      <c r="A56" s="91">
        <v>4</v>
      </c>
      <c r="B56" s="110" t="s">
        <v>48</v>
      </c>
      <c r="C56" s="110"/>
      <c r="D56" s="110"/>
      <c r="E56" s="106"/>
      <c r="F56" s="106"/>
      <c r="G56" s="112"/>
      <c r="H56" s="106"/>
      <c r="I56" s="106"/>
    </row>
    <row r="57" spans="1:9" ht="15.5" thickTop="1" thickBot="1" x14ac:dyDescent="0.4">
      <c r="A57" s="101">
        <v>41</v>
      </c>
      <c r="B57" s="121" t="s">
        <v>49</v>
      </c>
      <c r="C57" s="139">
        <v>344.63</v>
      </c>
      <c r="D57" s="113"/>
      <c r="E57" s="113"/>
      <c r="F57" s="113"/>
      <c r="G57" s="114"/>
      <c r="H57" s="121">
        <f>C57</f>
        <v>344.63</v>
      </c>
      <c r="I57" s="121"/>
    </row>
    <row r="58" spans="1:9" ht="16.5" thickTop="1" thickBot="1" x14ac:dyDescent="0.4">
      <c r="A58" s="101">
        <v>43</v>
      </c>
      <c r="B58" s="121" t="s">
        <v>51</v>
      </c>
      <c r="C58" s="158">
        <v>40822.06</v>
      </c>
      <c r="D58" s="113"/>
      <c r="E58" s="113"/>
      <c r="F58" s="113"/>
      <c r="G58" s="114"/>
      <c r="H58" s="121">
        <f>H59+H60+H61+H62</f>
        <v>40822.06</v>
      </c>
      <c r="I58" s="121">
        <f>I63</f>
        <v>4820.1495386904762</v>
      </c>
    </row>
    <row r="59" spans="1:9" ht="15.5" thickTop="1" thickBot="1" x14ac:dyDescent="0.4">
      <c r="A59" s="95">
        <v>433</v>
      </c>
      <c r="B59" s="113" t="s">
        <v>52</v>
      </c>
      <c r="C59" s="113">
        <v>2038.63</v>
      </c>
      <c r="D59" s="113"/>
      <c r="E59" s="113"/>
      <c r="F59" s="113"/>
      <c r="G59" s="114"/>
      <c r="H59" s="113">
        <f t="shared" ref="H59:H62" si="2">C59</f>
        <v>2038.63</v>
      </c>
      <c r="I59" s="113"/>
    </row>
    <row r="60" spans="1:9" ht="15.5" thickTop="1" thickBot="1" x14ac:dyDescent="0.4">
      <c r="A60" s="95">
        <v>434</v>
      </c>
      <c r="B60" s="113" t="s">
        <v>53</v>
      </c>
      <c r="C60" s="113">
        <v>34751.64</v>
      </c>
      <c r="D60" s="113"/>
      <c r="E60" s="113"/>
      <c r="F60" s="113"/>
      <c r="G60" s="114"/>
      <c r="H60" s="113">
        <f t="shared" si="2"/>
        <v>34751.64</v>
      </c>
      <c r="I60" s="113"/>
    </row>
    <row r="61" spans="1:9" ht="15.5" thickTop="1" thickBot="1" x14ac:dyDescent="0.4">
      <c r="A61" s="95">
        <v>435</v>
      </c>
      <c r="B61" s="113" t="s">
        <v>54</v>
      </c>
      <c r="C61" s="113">
        <v>1429.87</v>
      </c>
      <c r="D61" s="113"/>
      <c r="E61" s="113"/>
      <c r="F61" s="113"/>
      <c r="G61" s="114"/>
      <c r="H61" s="113">
        <f t="shared" si="2"/>
        <v>1429.87</v>
      </c>
      <c r="I61" s="113"/>
    </row>
    <row r="62" spans="1:9" ht="15.5" thickTop="1" thickBot="1" x14ac:dyDescent="0.4">
      <c r="A62" s="95">
        <v>437</v>
      </c>
      <c r="B62" s="113" t="s">
        <v>55</v>
      </c>
      <c r="C62" s="113">
        <v>2601.92</v>
      </c>
      <c r="D62" s="113"/>
      <c r="E62" s="113"/>
      <c r="F62" s="113"/>
      <c r="G62" s="114"/>
      <c r="H62" s="113">
        <f t="shared" si="2"/>
        <v>2601.92</v>
      </c>
      <c r="I62" s="113"/>
    </row>
    <row r="63" spans="1:9" s="82" customFormat="1" ht="15.5" thickTop="1" thickBot="1" x14ac:dyDescent="0.4">
      <c r="A63" s="96">
        <v>438</v>
      </c>
      <c r="B63" s="117" t="s">
        <v>187</v>
      </c>
      <c r="C63" s="113"/>
      <c r="D63" s="113"/>
      <c r="E63" s="113"/>
      <c r="F63" s="175">
        <f>'Mapa Depreciações'!D28</f>
        <v>4820.1495386904762</v>
      </c>
      <c r="G63" s="114"/>
      <c r="H63" s="113"/>
      <c r="I63" s="113">
        <f>F63</f>
        <v>4820.1495386904762</v>
      </c>
    </row>
    <row r="64" spans="1:9" s="83" customFormat="1" ht="15.5" thickTop="1" thickBot="1" x14ac:dyDescent="0.4">
      <c r="A64" s="103">
        <v>44</v>
      </c>
      <c r="B64" s="122" t="s">
        <v>56</v>
      </c>
      <c r="C64" s="113">
        <v>8806.25</v>
      </c>
      <c r="D64" s="113"/>
      <c r="E64" s="113"/>
      <c r="F64" s="113"/>
      <c r="G64" s="114"/>
      <c r="H64" s="121">
        <f>C64</f>
        <v>8806.25</v>
      </c>
      <c r="I64" s="121"/>
    </row>
    <row r="65" spans="1:10" s="82" customFormat="1" ht="15.5" thickTop="1" thickBot="1" x14ac:dyDescent="0.4">
      <c r="A65" s="96">
        <v>448</v>
      </c>
      <c r="B65" s="117" t="s">
        <v>57</v>
      </c>
      <c r="C65" s="113"/>
      <c r="D65" s="113"/>
      <c r="E65" s="113"/>
      <c r="F65" s="113">
        <f>'Mapa Depreciações'!D34</f>
        <v>729.16666666666663</v>
      </c>
      <c r="G65" s="114"/>
      <c r="H65" s="113"/>
      <c r="I65" s="113">
        <f>F65</f>
        <v>729.16666666666663</v>
      </c>
    </row>
    <row r="66" spans="1:10" s="84" customFormat="1" ht="15.5" thickTop="1" thickBot="1" x14ac:dyDescent="0.4">
      <c r="A66" s="216" t="s">
        <v>27</v>
      </c>
      <c r="B66" s="216"/>
      <c r="C66" s="108">
        <f>C57+C58+C64</f>
        <v>49972.939999999995</v>
      </c>
      <c r="D66" s="108" t="s">
        <v>5</v>
      </c>
      <c r="E66" s="108"/>
      <c r="F66" s="108">
        <f>F63+F65</f>
        <v>5549.3162053571432</v>
      </c>
      <c r="G66" s="116"/>
      <c r="H66" s="108">
        <f>H57+H58+H64</f>
        <v>49972.939999999995</v>
      </c>
      <c r="I66" s="108">
        <f>I58+I64+I65</f>
        <v>5549.3162053571432</v>
      </c>
    </row>
    <row r="67" spans="1:10" s="78" customFormat="1" ht="15.5" thickTop="1" thickBot="1" x14ac:dyDescent="0.4">
      <c r="A67" s="94"/>
      <c r="B67" s="113"/>
      <c r="C67" s="113"/>
      <c r="D67" s="113"/>
      <c r="E67" s="113"/>
      <c r="F67" s="113"/>
      <c r="G67" s="114"/>
      <c r="H67" s="117"/>
      <c r="I67" s="117"/>
    </row>
    <row r="68" spans="1:10" ht="15.5" thickTop="1" thickBot="1" x14ac:dyDescent="0.4">
      <c r="A68" s="92">
        <v>5</v>
      </c>
      <c r="B68" s="110" t="s">
        <v>58</v>
      </c>
      <c r="C68" s="110"/>
      <c r="D68" s="110"/>
      <c r="E68" s="106"/>
      <c r="F68" s="106"/>
      <c r="G68" s="112"/>
      <c r="H68" s="106"/>
      <c r="I68" s="106"/>
    </row>
    <row r="69" spans="1:10" s="83" customFormat="1" ht="15.5" thickTop="1" thickBot="1" x14ac:dyDescent="0.4">
      <c r="A69" s="104">
        <v>51</v>
      </c>
      <c r="B69" s="122" t="s">
        <v>59</v>
      </c>
      <c r="C69" s="122"/>
      <c r="D69" s="139">
        <v>500000</v>
      </c>
      <c r="E69" s="122"/>
      <c r="F69" s="122"/>
      <c r="G69" s="123"/>
      <c r="H69" s="122"/>
      <c r="I69" s="113">
        <f>D69</f>
        <v>500000</v>
      </c>
    </row>
    <row r="70" spans="1:10" s="84" customFormat="1" ht="15.5" thickTop="1" thickBot="1" x14ac:dyDescent="0.4">
      <c r="A70" s="216" t="s">
        <v>27</v>
      </c>
      <c r="B70" s="216"/>
      <c r="C70" s="108" t="s">
        <v>5</v>
      </c>
      <c r="D70" s="108">
        <f>D69</f>
        <v>500000</v>
      </c>
      <c r="E70" s="108"/>
      <c r="F70" s="108"/>
      <c r="G70" s="116"/>
      <c r="H70" s="124"/>
      <c r="I70" s="108">
        <f>I69</f>
        <v>500000</v>
      </c>
    </row>
    <row r="71" spans="1:10" s="78" customFormat="1" ht="15.5" thickTop="1" thickBot="1" x14ac:dyDescent="0.4">
      <c r="A71" s="94"/>
      <c r="B71" s="113"/>
      <c r="C71" s="113"/>
      <c r="D71" s="113"/>
      <c r="E71" s="113"/>
      <c r="F71" s="113"/>
      <c r="G71" s="114"/>
      <c r="H71" s="117"/>
      <c r="I71" s="117"/>
    </row>
    <row r="72" spans="1:10" ht="15.5" thickTop="1" thickBot="1" x14ac:dyDescent="0.4">
      <c r="A72" s="91">
        <v>6</v>
      </c>
      <c r="B72" s="110" t="s">
        <v>60</v>
      </c>
      <c r="C72" s="110"/>
      <c r="D72" s="110"/>
      <c r="E72" s="106"/>
      <c r="F72" s="106"/>
      <c r="G72" s="112"/>
      <c r="H72" s="106"/>
      <c r="I72" s="106"/>
    </row>
    <row r="73" spans="1:10" s="83" customFormat="1" ht="15.5" thickTop="1" thickBot="1" x14ac:dyDescent="0.4">
      <c r="A73" s="103">
        <v>61</v>
      </c>
      <c r="B73" s="122" t="s">
        <v>188</v>
      </c>
      <c r="C73" s="113"/>
      <c r="D73" s="113"/>
      <c r="E73" s="113">
        <f>CMVMC!C13</f>
        <v>140090.87</v>
      </c>
      <c r="F73" s="113"/>
      <c r="G73" s="114"/>
      <c r="H73" s="113">
        <f>E73</f>
        <v>140090.87</v>
      </c>
      <c r="I73" s="113"/>
      <c r="J73" s="128"/>
    </row>
    <row r="74" spans="1:10" s="83" customFormat="1" ht="15.5" thickTop="1" thickBot="1" x14ac:dyDescent="0.4">
      <c r="A74" s="103">
        <v>62</v>
      </c>
      <c r="B74" s="122" t="s">
        <v>61</v>
      </c>
      <c r="C74" s="139">
        <v>98324.9</v>
      </c>
      <c r="D74" s="113"/>
      <c r="E74" s="113"/>
      <c r="F74" s="113"/>
      <c r="G74" s="114"/>
      <c r="H74" s="113">
        <f>H75+H76+H77+H78+H82+H83</f>
        <v>108067.87999999999</v>
      </c>
      <c r="I74" s="113"/>
      <c r="J74" s="128"/>
    </row>
    <row r="75" spans="1:10" s="83" customFormat="1" ht="15.5" thickTop="1" thickBot="1" x14ac:dyDescent="0.4">
      <c r="A75" s="159">
        <v>621</v>
      </c>
      <c r="B75" s="122" t="s">
        <v>234</v>
      </c>
      <c r="C75" s="139">
        <v>56450.34</v>
      </c>
      <c r="D75" s="113"/>
      <c r="E75" s="113"/>
      <c r="F75" s="113"/>
      <c r="G75" s="114"/>
      <c r="H75" s="113">
        <f>C75</f>
        <v>56450.34</v>
      </c>
      <c r="I75" s="113"/>
      <c r="J75" s="128"/>
    </row>
    <row r="76" spans="1:10" ht="15.5" thickTop="1" thickBot="1" x14ac:dyDescent="0.4">
      <c r="A76" s="95">
        <v>622</v>
      </c>
      <c r="B76" s="113" t="s">
        <v>62</v>
      </c>
      <c r="C76" s="139">
        <v>8038.1</v>
      </c>
      <c r="D76" s="113"/>
      <c r="E76" s="113"/>
      <c r="F76" s="113"/>
      <c r="G76" s="114"/>
      <c r="H76" s="113">
        <f t="shared" ref="H76:H77" si="3">C76</f>
        <v>8038.1</v>
      </c>
      <c r="I76" s="113"/>
      <c r="J76" s="1"/>
    </row>
    <row r="77" spans="1:10" ht="15.5" thickTop="1" thickBot="1" x14ac:dyDescent="0.4">
      <c r="A77" s="95">
        <v>623</v>
      </c>
      <c r="B77" s="113" t="s">
        <v>63</v>
      </c>
      <c r="C77" s="139">
        <v>293.2</v>
      </c>
      <c r="D77" s="113"/>
      <c r="E77" s="113"/>
      <c r="F77" s="113"/>
      <c r="G77" s="114"/>
      <c r="H77" s="113">
        <f t="shared" si="3"/>
        <v>293.2</v>
      </c>
      <c r="I77" s="113"/>
      <c r="J77" s="1"/>
    </row>
    <row r="78" spans="1:10" ht="15.5" thickTop="1" thickBot="1" x14ac:dyDescent="0.4">
      <c r="A78" s="95">
        <v>624</v>
      </c>
      <c r="B78" s="113" t="s">
        <v>64</v>
      </c>
      <c r="C78" s="139">
        <v>7815.01</v>
      </c>
      <c r="D78" s="113"/>
      <c r="E78" s="113"/>
      <c r="F78" s="113"/>
      <c r="G78" s="114"/>
      <c r="H78" s="113">
        <f>H79+H80+H81</f>
        <v>16909.21</v>
      </c>
      <c r="I78" s="113"/>
    </row>
    <row r="79" spans="1:10" ht="15.5" thickTop="1" thickBot="1" x14ac:dyDescent="0.4">
      <c r="A79" s="94">
        <v>6241</v>
      </c>
      <c r="B79" s="113" t="s">
        <v>65</v>
      </c>
      <c r="C79" s="139">
        <v>6745.08</v>
      </c>
      <c r="D79" s="113"/>
      <c r="E79" s="113">
        <f>Acréscimos!F17</f>
        <v>8437.81</v>
      </c>
      <c r="F79" s="113"/>
      <c r="G79" s="114"/>
      <c r="H79" s="113">
        <f>C79+E79</f>
        <v>15182.89</v>
      </c>
      <c r="I79" s="113"/>
    </row>
    <row r="80" spans="1:10" ht="15.5" thickTop="1" thickBot="1" x14ac:dyDescent="0.4">
      <c r="A80" s="94">
        <v>6242</v>
      </c>
      <c r="B80" s="113" t="s">
        <v>66</v>
      </c>
      <c r="C80" s="139">
        <v>545.62</v>
      </c>
      <c r="D80" s="113"/>
      <c r="E80" s="113"/>
      <c r="F80" s="113"/>
      <c r="G80" s="114"/>
      <c r="H80" s="113">
        <f>C80</f>
        <v>545.62</v>
      </c>
      <c r="I80" s="113"/>
    </row>
    <row r="81" spans="1:14" ht="15.5" thickTop="1" thickBot="1" x14ac:dyDescent="0.4">
      <c r="A81" s="94">
        <v>6243</v>
      </c>
      <c r="B81" s="113" t="s">
        <v>67</v>
      </c>
      <c r="C81" s="139">
        <v>524.30999999999995</v>
      </c>
      <c r="D81" s="113"/>
      <c r="E81" s="113">
        <f>Acréscimos!F15</f>
        <v>656.39</v>
      </c>
      <c r="F81" s="113"/>
      <c r="G81" s="114"/>
      <c r="H81" s="113">
        <f>C81+E81</f>
        <v>1180.6999999999998</v>
      </c>
      <c r="I81" s="113"/>
    </row>
    <row r="82" spans="1:14" ht="15.5" thickTop="1" thickBot="1" x14ac:dyDescent="0.4">
      <c r="A82" s="95">
        <v>625</v>
      </c>
      <c r="B82" s="113" t="s">
        <v>68</v>
      </c>
      <c r="C82" s="139">
        <v>8</v>
      </c>
      <c r="D82" s="113"/>
      <c r="E82" s="113"/>
      <c r="F82" s="113"/>
      <c r="G82" s="114"/>
      <c r="H82" s="113">
        <f t="shared" ref="H82:H84" si="4">C82</f>
        <v>8</v>
      </c>
      <c r="I82" s="113"/>
    </row>
    <row r="83" spans="1:14" ht="15.5" thickTop="1" thickBot="1" x14ac:dyDescent="0.4">
      <c r="A83" s="95">
        <v>626</v>
      </c>
      <c r="B83" s="113" t="s">
        <v>69</v>
      </c>
      <c r="C83" s="139">
        <v>25720.25</v>
      </c>
      <c r="D83" s="113"/>
      <c r="E83" s="113"/>
      <c r="F83" s="113"/>
      <c r="G83" s="114"/>
      <c r="H83" s="113">
        <f>H84+H85+H86+H87+H88+H89</f>
        <v>26369.029999999995</v>
      </c>
      <c r="I83" s="113"/>
    </row>
    <row r="84" spans="1:14" ht="15.5" thickTop="1" thickBot="1" x14ac:dyDescent="0.4">
      <c r="A84" s="94">
        <v>6261</v>
      </c>
      <c r="B84" s="113" t="s">
        <v>70</v>
      </c>
      <c r="C84" s="139">
        <v>13500</v>
      </c>
      <c r="D84" s="113"/>
      <c r="E84" s="113"/>
      <c r="F84" s="113"/>
      <c r="G84" s="114"/>
      <c r="H84" s="113">
        <f t="shared" si="4"/>
        <v>13500</v>
      </c>
      <c r="I84" s="113"/>
    </row>
    <row r="85" spans="1:14" ht="15.5" thickTop="1" thickBot="1" x14ac:dyDescent="0.4">
      <c r="A85" s="94">
        <v>6262</v>
      </c>
      <c r="B85" s="113" t="s">
        <v>71</v>
      </c>
      <c r="C85" s="139">
        <v>582.53</v>
      </c>
      <c r="D85" s="113"/>
      <c r="E85" s="113">
        <f>Acréscimos!F16</f>
        <v>648.78</v>
      </c>
      <c r="F85" s="113"/>
      <c r="G85" s="114"/>
      <c r="H85" s="113">
        <f>C85+E85</f>
        <v>1231.31</v>
      </c>
      <c r="I85" s="113"/>
    </row>
    <row r="86" spans="1:14" ht="15.5" thickTop="1" thickBot="1" x14ac:dyDescent="0.4">
      <c r="A86" s="94">
        <v>6263</v>
      </c>
      <c r="B86" s="113" t="s">
        <v>72</v>
      </c>
      <c r="C86" s="139">
        <v>1023.93</v>
      </c>
      <c r="E86" s="113"/>
      <c r="F86" s="113">
        <f>Diferimentos!H11+Diferimentos!H12+Diferimentos!H13</f>
        <v>1181.6075342465751</v>
      </c>
      <c r="G86" s="114"/>
      <c r="H86" s="113">
        <f>C86</f>
        <v>1023.93</v>
      </c>
      <c r="I86" s="113">
        <f>F86</f>
        <v>1181.6075342465751</v>
      </c>
    </row>
    <row r="87" spans="1:14" ht="15.5" thickTop="1" thickBot="1" x14ac:dyDescent="0.4">
      <c r="A87" s="94">
        <v>6265</v>
      </c>
      <c r="B87" s="113" t="s">
        <v>73</v>
      </c>
      <c r="C87" s="139">
        <v>697</v>
      </c>
      <c r="D87" s="113"/>
      <c r="E87" s="113"/>
      <c r="F87" s="113"/>
      <c r="G87" s="114"/>
      <c r="H87" s="113">
        <f>C87</f>
        <v>697</v>
      </c>
      <c r="I87" s="113"/>
    </row>
    <row r="88" spans="1:14" ht="15.5" thickTop="1" thickBot="1" x14ac:dyDescent="0.4">
      <c r="A88" s="94">
        <v>6266</v>
      </c>
      <c r="B88" s="113" t="s">
        <v>74</v>
      </c>
      <c r="C88" s="139">
        <v>5995.19</v>
      </c>
      <c r="D88" s="113"/>
      <c r="E88" s="113"/>
      <c r="F88" s="113"/>
      <c r="G88" s="114"/>
      <c r="H88" s="113">
        <f t="shared" ref="H88:H89" si="5">C88</f>
        <v>5995.19</v>
      </c>
      <c r="I88" s="113"/>
    </row>
    <row r="89" spans="1:14" ht="15.5" thickTop="1" thickBot="1" x14ac:dyDescent="0.4">
      <c r="A89" s="94">
        <v>6267</v>
      </c>
      <c r="B89" s="113" t="s">
        <v>75</v>
      </c>
      <c r="C89" s="139">
        <v>3921.6</v>
      </c>
      <c r="D89" s="113"/>
      <c r="E89" s="113"/>
      <c r="F89" s="113"/>
      <c r="G89" s="114"/>
      <c r="H89" s="113">
        <f t="shared" si="5"/>
        <v>3921.6</v>
      </c>
      <c r="I89" s="113"/>
    </row>
    <row r="90" spans="1:14" s="87" customFormat="1" ht="19.5" thickTop="1" thickBot="1" x14ac:dyDescent="0.5">
      <c r="A90" s="98">
        <v>63</v>
      </c>
      <c r="B90" s="120" t="s">
        <v>10</v>
      </c>
      <c r="C90" s="139">
        <v>163136.04</v>
      </c>
      <c r="D90" s="113"/>
      <c r="E90" s="113"/>
      <c r="F90" s="113"/>
      <c r="G90" s="114"/>
      <c r="H90" s="113">
        <f>H91+H98+H106+H109+H110+H111</f>
        <v>242340.25755308222</v>
      </c>
      <c r="I90" s="113"/>
      <c r="J90" s="172"/>
    </row>
    <row r="91" spans="1:14" ht="15.5" thickTop="1" thickBot="1" x14ac:dyDescent="0.4">
      <c r="A91" s="95">
        <v>631</v>
      </c>
      <c r="B91" s="113" t="s">
        <v>76</v>
      </c>
      <c r="C91" s="139">
        <v>7420</v>
      </c>
      <c r="D91" s="113"/>
      <c r="E91" s="113"/>
      <c r="F91" s="113"/>
      <c r="G91" s="114"/>
      <c r="H91" s="113">
        <f>SUM(H92:H97)</f>
        <v>9925.6556164383546</v>
      </c>
      <c r="I91" s="113">
        <f>I93</f>
        <v>0</v>
      </c>
      <c r="M91" s="179"/>
      <c r="N91" s="177"/>
    </row>
    <row r="92" spans="1:14" s="174" customFormat="1" ht="15.5" thickTop="1" thickBot="1" x14ac:dyDescent="0.4">
      <c r="A92" s="94">
        <v>6311</v>
      </c>
      <c r="B92" s="113" t="s">
        <v>77</v>
      </c>
      <c r="C92" s="113">
        <v>7420</v>
      </c>
      <c r="D92" s="113"/>
      <c r="E92" s="113"/>
      <c r="F92" s="113"/>
      <c r="G92" s="114"/>
      <c r="H92" s="113">
        <v>7420</v>
      </c>
      <c r="I92" s="113"/>
      <c r="M92" s="179"/>
      <c r="N92" s="177"/>
    </row>
    <row r="93" spans="1:14" s="174" customFormat="1" ht="15.5" thickTop="1" thickBot="1" x14ac:dyDescent="0.4">
      <c r="A93" s="94">
        <v>6312</v>
      </c>
      <c r="B93" s="113" t="s">
        <v>78</v>
      </c>
      <c r="C93" s="113"/>
      <c r="D93" s="113"/>
      <c r="E93" s="113"/>
      <c r="F93" s="113">
        <f>Diferimentos!H21</f>
        <v>0</v>
      </c>
      <c r="G93" s="114"/>
      <c r="H93" s="113"/>
      <c r="I93" s="113">
        <f>F93</f>
        <v>0</v>
      </c>
      <c r="M93" s="179"/>
      <c r="N93" s="177"/>
    </row>
    <row r="94" spans="1:14" s="174" customFormat="1" ht="15.5" thickTop="1" thickBot="1" x14ac:dyDescent="0.4">
      <c r="A94" s="178">
        <v>6313</v>
      </c>
      <c r="B94" s="117" t="s">
        <v>189</v>
      </c>
      <c r="C94" s="113"/>
      <c r="D94" s="113"/>
      <c r="E94" s="113">
        <f>Acréscimos!F32+Acréscimos!F23</f>
        <v>1103.8230136986301</v>
      </c>
      <c r="F94" s="113"/>
      <c r="G94" s="114"/>
      <c r="H94" s="113">
        <f>E94</f>
        <v>1103.8230136986301</v>
      </c>
      <c r="I94" s="113"/>
      <c r="M94" s="179"/>
      <c r="N94" s="177"/>
    </row>
    <row r="95" spans="1:14" s="174" customFormat="1" ht="15.5" thickTop="1" thickBot="1" x14ac:dyDescent="0.4">
      <c r="A95" s="178">
        <v>6314</v>
      </c>
      <c r="B95" s="117" t="s">
        <v>190</v>
      </c>
      <c r="C95" s="113"/>
      <c r="D95" s="113"/>
      <c r="E95" s="113">
        <f>Acréscimos!F32</f>
        <v>467.82301369863012</v>
      </c>
      <c r="F95" s="113"/>
      <c r="G95" s="114"/>
      <c r="H95" s="113">
        <f t="shared" ref="H95:H97" si="6">E95</f>
        <v>467.82301369863012</v>
      </c>
      <c r="I95" s="113"/>
      <c r="M95" s="179"/>
      <c r="N95" s="177"/>
    </row>
    <row r="96" spans="1:14" s="174" customFormat="1" ht="15.5" thickTop="1" thickBot="1" x14ac:dyDescent="0.4">
      <c r="A96" s="178">
        <v>6315</v>
      </c>
      <c r="B96" s="117" t="s">
        <v>171</v>
      </c>
      <c r="C96" s="113"/>
      <c r="D96" s="113"/>
      <c r="E96" s="113">
        <f>Acréscimos!F41</f>
        <v>466.18657534246574</v>
      </c>
      <c r="F96" s="113"/>
      <c r="G96" s="114"/>
      <c r="H96" s="113">
        <f t="shared" si="6"/>
        <v>466.18657534246574</v>
      </c>
      <c r="I96" s="113"/>
      <c r="M96" s="179"/>
      <c r="N96" s="177"/>
    </row>
    <row r="97" spans="1:14" s="174" customFormat="1" ht="15.5" thickTop="1" thickBot="1" x14ac:dyDescent="0.4">
      <c r="A97" s="178">
        <v>6316</v>
      </c>
      <c r="B97" s="117" t="s">
        <v>191</v>
      </c>
      <c r="C97" s="113"/>
      <c r="D97" s="113"/>
      <c r="E97" s="113">
        <f>Acréscimos!F50</f>
        <v>467.82301369863012</v>
      </c>
      <c r="F97" s="113"/>
      <c r="G97" s="114"/>
      <c r="H97" s="113">
        <f t="shared" si="6"/>
        <v>467.82301369863012</v>
      </c>
      <c r="I97" s="113"/>
      <c r="M97" s="179"/>
      <c r="N97" s="177"/>
    </row>
    <row r="98" spans="1:14" ht="15.5" thickTop="1" thickBot="1" x14ac:dyDescent="0.4">
      <c r="A98" s="95">
        <v>632</v>
      </c>
      <c r="B98" s="113" t="s">
        <v>79</v>
      </c>
      <c r="C98" s="113">
        <v>104528.66</v>
      </c>
      <c r="D98" s="113"/>
      <c r="E98" s="113"/>
      <c r="F98" s="113"/>
      <c r="G98" s="114"/>
      <c r="H98" s="113">
        <f>H100+H102+H99+H103+H104+H105</f>
        <v>149641.37328767125</v>
      </c>
      <c r="I98" s="113">
        <f>I101</f>
        <v>0</v>
      </c>
      <c r="M98" s="180"/>
      <c r="N98" s="181"/>
    </row>
    <row r="99" spans="1:14" s="174" customFormat="1" ht="15.5" thickTop="1" thickBot="1" x14ac:dyDescent="0.4">
      <c r="A99" s="94">
        <v>6321</v>
      </c>
      <c r="B99" s="113" t="s">
        <v>80</v>
      </c>
      <c r="D99" s="113"/>
      <c r="E99" s="113"/>
      <c r="F99" s="113"/>
      <c r="G99" s="114"/>
      <c r="H99" s="113"/>
      <c r="I99" s="113"/>
      <c r="M99" s="180"/>
      <c r="N99" s="181"/>
    </row>
    <row r="100" spans="1:14" s="174" customFormat="1" ht="15.5" thickTop="1" thickBot="1" x14ac:dyDescent="0.4">
      <c r="A100" s="94">
        <v>63211</v>
      </c>
      <c r="B100" s="113" t="s">
        <v>77</v>
      </c>
      <c r="C100" s="113">
        <v>104528.66</v>
      </c>
      <c r="D100" s="113"/>
      <c r="E100" s="113"/>
      <c r="F100" s="113"/>
      <c r="G100" s="114"/>
      <c r="H100" s="113">
        <v>104528.66</v>
      </c>
      <c r="I100" s="113"/>
      <c r="M100" s="180"/>
      <c r="N100" s="181"/>
    </row>
    <row r="101" spans="1:14" s="174" customFormat="1" ht="15.5" thickTop="1" thickBot="1" x14ac:dyDescent="0.4">
      <c r="A101" s="94">
        <v>63213</v>
      </c>
      <c r="B101" s="113" t="s">
        <v>78</v>
      </c>
      <c r="C101" s="113"/>
      <c r="D101" s="113"/>
      <c r="E101" s="113"/>
      <c r="F101" s="113">
        <f>Diferimentos!H22</f>
        <v>0</v>
      </c>
      <c r="G101" s="114"/>
      <c r="H101" s="113"/>
      <c r="I101" s="113">
        <f>F101</f>
        <v>0</v>
      </c>
      <c r="M101" s="180"/>
      <c r="N101" s="181"/>
    </row>
    <row r="102" spans="1:14" s="174" customFormat="1" ht="15.5" thickTop="1" thickBot="1" x14ac:dyDescent="0.4">
      <c r="A102" s="178">
        <v>63214</v>
      </c>
      <c r="B102" s="117" t="s">
        <v>189</v>
      </c>
      <c r="C102" s="113"/>
      <c r="D102" s="113"/>
      <c r="E102" s="113">
        <f>Acréscimos!F60+Acréscimos!F24</f>
        <v>21364.824000000001</v>
      </c>
      <c r="F102" s="113"/>
      <c r="G102" s="114"/>
      <c r="H102" s="113">
        <f>E102</f>
        <v>21364.824000000001</v>
      </c>
      <c r="I102" s="113"/>
      <c r="M102" s="180"/>
      <c r="N102" s="181"/>
    </row>
    <row r="103" spans="1:14" s="174" customFormat="1" ht="15.5" thickTop="1" thickBot="1" x14ac:dyDescent="0.4">
      <c r="A103" s="178">
        <v>63215</v>
      </c>
      <c r="B103" s="117" t="s">
        <v>190</v>
      </c>
      <c r="C103" s="113"/>
      <c r="D103" s="113"/>
      <c r="E103" s="113">
        <f>Acréscimos!F33</f>
        <v>7920.1484109589046</v>
      </c>
      <c r="F103" s="113"/>
      <c r="G103" s="114"/>
      <c r="H103" s="113">
        <f t="shared" ref="H103:H105" si="7">E103</f>
        <v>7920.1484109589046</v>
      </c>
      <c r="I103" s="113"/>
      <c r="M103" s="180"/>
      <c r="N103" s="181"/>
    </row>
    <row r="104" spans="1:14" s="174" customFormat="1" ht="15.5" thickTop="1" thickBot="1" x14ac:dyDescent="0.4">
      <c r="A104" s="178">
        <v>63216</v>
      </c>
      <c r="B104" s="117" t="s">
        <v>171</v>
      </c>
      <c r="C104" s="113"/>
      <c r="D104" s="113"/>
      <c r="E104" s="113">
        <f>Acréscimos!F42</f>
        <v>7907.5924657534251</v>
      </c>
      <c r="F104" s="113"/>
      <c r="G104" s="114"/>
      <c r="H104" s="113">
        <f t="shared" si="7"/>
        <v>7907.5924657534251</v>
      </c>
      <c r="I104" s="113"/>
      <c r="M104" s="180"/>
      <c r="N104" s="181"/>
    </row>
    <row r="105" spans="1:14" s="174" customFormat="1" ht="15.5" thickTop="1" thickBot="1" x14ac:dyDescent="0.4">
      <c r="A105" s="178">
        <v>63217</v>
      </c>
      <c r="B105" s="117" t="s">
        <v>191</v>
      </c>
      <c r="C105" s="113"/>
      <c r="D105" s="113"/>
      <c r="E105" s="113">
        <f>Acréscimos!F51</f>
        <v>7920.1484109589046</v>
      </c>
      <c r="F105" s="113"/>
      <c r="G105" s="114"/>
      <c r="H105" s="113">
        <f t="shared" si="7"/>
        <v>7920.1484109589046</v>
      </c>
      <c r="I105" s="113"/>
      <c r="M105" s="180"/>
      <c r="N105" s="181"/>
    </row>
    <row r="106" spans="1:14" ht="15.5" thickTop="1" thickBot="1" x14ac:dyDescent="0.4">
      <c r="A106" s="95">
        <v>635</v>
      </c>
      <c r="B106" s="113" t="s">
        <v>81</v>
      </c>
      <c r="C106" s="113">
        <v>24991.4</v>
      </c>
      <c r="D106" s="113"/>
      <c r="E106" s="113"/>
      <c r="F106" s="113"/>
      <c r="G106" s="114"/>
      <c r="H106" s="113">
        <f>SUM(H107:H108)</f>
        <v>36323.148648972601</v>
      </c>
      <c r="I106" s="113"/>
      <c r="M106" s="180"/>
      <c r="N106" s="181"/>
    </row>
    <row r="107" spans="1:14" ht="15.5" thickTop="1" thickBot="1" x14ac:dyDescent="0.4">
      <c r="A107" s="94">
        <v>6351</v>
      </c>
      <c r="B107" s="113" t="s">
        <v>82</v>
      </c>
      <c r="C107" s="113">
        <v>1805</v>
      </c>
      <c r="D107" s="113"/>
      <c r="E107" s="113">
        <f>Acréscimos!F34+Acréscimos!F43+Acréscimos!F52+Acréscimos!F61+Acréscimos!F25</f>
        <v>617.47924315068485</v>
      </c>
      <c r="F107" s="113">
        <f>Diferimentos!H23</f>
        <v>0</v>
      </c>
      <c r="G107" s="114"/>
      <c r="H107" s="113">
        <f>C107+E107</f>
        <v>2422.4792431506849</v>
      </c>
      <c r="I107" s="113">
        <f>F107</f>
        <v>0</v>
      </c>
      <c r="K107" s="51"/>
      <c r="M107" s="180"/>
      <c r="N107" s="181"/>
    </row>
    <row r="108" spans="1:14" ht="15.5" thickTop="1" thickBot="1" x14ac:dyDescent="0.4">
      <c r="A108" s="94">
        <v>6352</v>
      </c>
      <c r="B108" s="113" t="s">
        <v>80</v>
      </c>
      <c r="C108" s="113">
        <v>23186.400000000001</v>
      </c>
      <c r="D108" s="113"/>
      <c r="E108" s="113">
        <f>Acréscimos!F62+Acréscimos!F53+Acréscimos!F44+Acréscimos!F35+Acréscimos!F26</f>
        <v>10714.269405821917</v>
      </c>
      <c r="F108" s="113">
        <f>Diferimentos!H24</f>
        <v>0</v>
      </c>
      <c r="G108" s="114"/>
      <c r="H108" s="113">
        <f>C108+E108</f>
        <v>33900.669405821915</v>
      </c>
      <c r="I108" s="113">
        <f>F108</f>
        <v>0</v>
      </c>
    </row>
    <row r="109" spans="1:14" ht="15.5" thickTop="1" thickBot="1" x14ac:dyDescent="0.4">
      <c r="A109" s="95">
        <v>636</v>
      </c>
      <c r="B109" s="113" t="s">
        <v>83</v>
      </c>
      <c r="C109" s="113">
        <v>4148.1499999999996</v>
      </c>
      <c r="D109" s="113"/>
      <c r="E109" s="113"/>
      <c r="F109" s="113">
        <f>Diferimentos!H8</f>
        <v>2159.3109589041096</v>
      </c>
      <c r="G109" s="114"/>
      <c r="H109" s="113">
        <f>C109</f>
        <v>4148.1499999999996</v>
      </c>
      <c r="I109" s="113">
        <f>F109</f>
        <v>2159.3109589041096</v>
      </c>
    </row>
    <row r="110" spans="1:14" ht="15.5" thickTop="1" thickBot="1" x14ac:dyDescent="0.4">
      <c r="A110" s="95">
        <v>638</v>
      </c>
      <c r="B110" s="113" t="s">
        <v>84</v>
      </c>
      <c r="C110" s="113">
        <v>22047.83</v>
      </c>
      <c r="D110" s="113"/>
      <c r="E110" s="113"/>
      <c r="F110" s="113"/>
      <c r="G110" s="114"/>
      <c r="H110" s="113">
        <f>C110</f>
        <v>22047.83</v>
      </c>
      <c r="I110" s="113"/>
    </row>
    <row r="111" spans="1:14" s="74" customFormat="1" ht="15.5" thickTop="1" thickBot="1" x14ac:dyDescent="0.4">
      <c r="A111" s="95">
        <v>6381</v>
      </c>
      <c r="B111" s="113" t="s">
        <v>198</v>
      </c>
      <c r="C111" s="113">
        <v>20254.099999999999</v>
      </c>
      <c r="D111" s="113"/>
      <c r="E111" s="113"/>
      <c r="F111" s="113"/>
      <c r="G111" s="114"/>
      <c r="H111" s="113">
        <f t="shared" ref="H111:H113" si="8">C111</f>
        <v>20254.099999999999</v>
      </c>
      <c r="I111" s="113"/>
    </row>
    <row r="112" spans="1:14" s="74" customFormat="1" ht="15.5" thickTop="1" thickBot="1" x14ac:dyDescent="0.4">
      <c r="A112" s="95">
        <v>6382</v>
      </c>
      <c r="B112" s="113" t="s">
        <v>199</v>
      </c>
      <c r="C112" s="113">
        <v>900.04</v>
      </c>
      <c r="D112" s="113"/>
      <c r="E112" s="113"/>
      <c r="F112" s="113"/>
      <c r="G112" s="114"/>
      <c r="H112" s="113">
        <f t="shared" si="8"/>
        <v>900.04</v>
      </c>
      <c r="I112" s="113"/>
    </row>
    <row r="113" spans="1:11" ht="15.5" thickTop="1" thickBot="1" x14ac:dyDescent="0.4">
      <c r="A113" s="94">
        <v>6383</v>
      </c>
      <c r="B113" s="113" t="s">
        <v>50</v>
      </c>
      <c r="C113" s="113">
        <v>893.69</v>
      </c>
      <c r="D113" s="113"/>
      <c r="E113" s="113"/>
      <c r="F113" s="113"/>
      <c r="G113" s="114"/>
      <c r="H113" s="113">
        <f t="shared" si="8"/>
        <v>893.69</v>
      </c>
      <c r="I113" s="113">
        <v>661.76</v>
      </c>
    </row>
    <row r="114" spans="1:11" ht="15.5" thickTop="1" thickBot="1" x14ac:dyDescent="0.4">
      <c r="A114" s="94">
        <v>63831</v>
      </c>
      <c r="B114" s="113" t="s">
        <v>85</v>
      </c>
      <c r="C114" s="113">
        <v>893.69</v>
      </c>
      <c r="D114" s="113"/>
      <c r="E114" s="113"/>
      <c r="F114" s="113">
        <f>Diferimentos!H9</f>
        <v>661.75742465753433</v>
      </c>
      <c r="G114" s="114"/>
      <c r="H114" s="113">
        <f>C114</f>
        <v>893.69</v>
      </c>
      <c r="I114" s="113">
        <f>F114</f>
        <v>661.75742465753433</v>
      </c>
    </row>
    <row r="115" spans="1:11" s="85" customFormat="1" ht="19.5" thickTop="1" thickBot="1" x14ac:dyDescent="0.5">
      <c r="A115" s="105">
        <v>64</v>
      </c>
      <c r="B115" s="118" t="s">
        <v>201</v>
      </c>
      <c r="C115" s="113"/>
      <c r="D115" s="113"/>
      <c r="E115" s="113"/>
      <c r="F115" s="113"/>
      <c r="G115" s="114"/>
      <c r="H115" s="113">
        <f>H116+H117</f>
        <v>5549.3162053571432</v>
      </c>
      <c r="I115" s="113"/>
    </row>
    <row r="116" spans="1:11" s="78" customFormat="1" ht="15.5" thickTop="1" thickBot="1" x14ac:dyDescent="0.4">
      <c r="A116" s="94">
        <v>642</v>
      </c>
      <c r="B116" s="113" t="s">
        <v>51</v>
      </c>
      <c r="C116" s="113"/>
      <c r="D116" s="113"/>
      <c r="E116" s="175">
        <f>'Mapa Depreciações'!D28</f>
        <v>4820.1495386904762</v>
      </c>
      <c r="F116" s="113"/>
      <c r="G116" s="114"/>
      <c r="H116" s="113">
        <f>E116</f>
        <v>4820.1495386904762</v>
      </c>
      <c r="I116" s="113"/>
    </row>
    <row r="117" spans="1:11" s="78" customFormat="1" ht="15.5" thickTop="1" thickBot="1" x14ac:dyDescent="0.4">
      <c r="A117" s="94">
        <v>643</v>
      </c>
      <c r="B117" s="113" t="s">
        <v>56</v>
      </c>
      <c r="C117" s="113"/>
      <c r="D117" s="113"/>
      <c r="E117" s="113">
        <f>'Mapa Depreciações'!D34</f>
        <v>729.16666666666663</v>
      </c>
      <c r="F117" s="113"/>
      <c r="G117" s="114"/>
      <c r="H117" s="113">
        <f>E117</f>
        <v>729.16666666666663</v>
      </c>
      <c r="I117" s="113"/>
    </row>
    <row r="118" spans="1:11" s="85" customFormat="1" ht="19.5" thickTop="1" thickBot="1" x14ac:dyDescent="0.5">
      <c r="A118" s="99">
        <v>68</v>
      </c>
      <c r="B118" s="120" t="s">
        <v>86</v>
      </c>
      <c r="C118" s="113">
        <v>3835.72</v>
      </c>
      <c r="D118" s="113"/>
      <c r="E118" s="113"/>
      <c r="F118" s="113"/>
      <c r="G118" s="114"/>
      <c r="H118" s="113">
        <f>H119+H120</f>
        <v>3835.7200000000003</v>
      </c>
      <c r="I118" s="113"/>
    </row>
    <row r="119" spans="1:11" ht="15.5" thickTop="1" thickBot="1" x14ac:dyDescent="0.4">
      <c r="A119" s="94">
        <v>681</v>
      </c>
      <c r="B119" s="113" t="s">
        <v>87</v>
      </c>
      <c r="C119" s="113">
        <v>1291.97</v>
      </c>
      <c r="D119" s="113"/>
      <c r="E119" s="113"/>
      <c r="F119" s="113"/>
      <c r="G119" s="114"/>
      <c r="H119" s="113">
        <f t="shared" ref="H119:H120" si="9">C119</f>
        <v>1291.97</v>
      </c>
      <c r="I119" s="113"/>
    </row>
    <row r="120" spans="1:11" ht="15.5" thickTop="1" thickBot="1" x14ac:dyDescent="0.4">
      <c r="A120" s="94">
        <v>688</v>
      </c>
      <c r="B120" s="113" t="s">
        <v>50</v>
      </c>
      <c r="C120" s="113">
        <v>2543.75</v>
      </c>
      <c r="D120" s="113"/>
      <c r="E120" s="113"/>
      <c r="F120" s="113"/>
      <c r="G120" s="114"/>
      <c r="H120" s="113">
        <f t="shared" si="9"/>
        <v>2543.75</v>
      </c>
      <c r="I120" s="113"/>
    </row>
    <row r="121" spans="1:11" ht="15.5" thickTop="1" thickBot="1" x14ac:dyDescent="0.4">
      <c r="A121" s="94">
        <v>6883</v>
      </c>
      <c r="B121" s="113" t="s">
        <v>88</v>
      </c>
      <c r="C121" s="113">
        <v>2543.75</v>
      </c>
      <c r="D121" s="113"/>
      <c r="E121" s="113"/>
      <c r="F121" s="113">
        <f>Diferimentos!H16</f>
        <v>1324.1438356164383</v>
      </c>
      <c r="G121" s="114"/>
      <c r="H121" s="113">
        <f>C121</f>
        <v>2543.75</v>
      </c>
      <c r="I121" s="113">
        <f>F121</f>
        <v>1324.1438356164383</v>
      </c>
    </row>
    <row r="122" spans="1:11" s="85" customFormat="1" ht="19.5" thickTop="1" thickBot="1" x14ac:dyDescent="0.5">
      <c r="A122" s="99">
        <v>69</v>
      </c>
      <c r="B122" s="120" t="s">
        <v>89</v>
      </c>
      <c r="C122" s="113">
        <v>6565</v>
      </c>
      <c r="D122" s="113"/>
      <c r="E122" s="113"/>
      <c r="F122" s="113"/>
      <c r="G122" s="114"/>
      <c r="H122" s="113">
        <f>H123+H124</f>
        <v>6745.8816304347829</v>
      </c>
      <c r="I122" s="113"/>
    </row>
    <row r="123" spans="1:11" ht="15.5" thickTop="1" thickBot="1" x14ac:dyDescent="0.4">
      <c r="A123" s="94">
        <v>691</v>
      </c>
      <c r="B123" s="113" t="s">
        <v>90</v>
      </c>
      <c r="C123" s="113">
        <v>5391.29</v>
      </c>
      <c r="D123" s="113"/>
      <c r="E123" s="113">
        <f>Acréscimos!F10</f>
        <v>180.88163043478261</v>
      </c>
      <c r="F123" s="113"/>
      <c r="G123" s="114"/>
      <c r="H123" s="113">
        <f>E123+C123</f>
        <v>5572.1716304347829</v>
      </c>
      <c r="I123" s="113"/>
      <c r="K123" s="1"/>
    </row>
    <row r="124" spans="1:11" ht="15.5" thickTop="1" thickBot="1" x14ac:dyDescent="0.4">
      <c r="A124" s="94">
        <v>698</v>
      </c>
      <c r="B124" s="113" t="s">
        <v>91</v>
      </c>
      <c r="C124" s="113">
        <v>1173.71</v>
      </c>
      <c r="D124" s="113"/>
      <c r="E124" s="113"/>
      <c r="F124" s="113"/>
      <c r="G124" s="114"/>
      <c r="H124" s="113">
        <f>C124</f>
        <v>1173.71</v>
      </c>
      <c r="I124" s="113"/>
    </row>
    <row r="125" spans="1:11" ht="15.5" thickTop="1" thickBot="1" x14ac:dyDescent="0.4">
      <c r="A125" s="216" t="s">
        <v>27</v>
      </c>
      <c r="B125" s="216"/>
      <c r="C125" s="108">
        <f>C122+C118+C90+C74</f>
        <v>271861.66000000003</v>
      </c>
      <c r="D125" s="108"/>
      <c r="E125" s="108">
        <f>E123+E117+E116+E108+E107+E105+E104+E103+E102+E97+E96+E95+E94+E85+E81+E79+E73</f>
        <v>214514.16538887413</v>
      </c>
      <c r="F125" s="108">
        <f>F121+F114+F109+F108+F107+F101+F93+F86</f>
        <v>5326.8197534246574</v>
      </c>
      <c r="G125" s="116"/>
      <c r="H125" s="108">
        <f>H73+H74+H90+H115+H118+H122</f>
        <v>506629.92538887408</v>
      </c>
      <c r="I125" s="108">
        <f>SUM(I72:I124)</f>
        <v>5988.5797534246567</v>
      </c>
      <c r="J125" s="1"/>
    </row>
    <row r="126" spans="1:11" s="78" customFormat="1" ht="15.5" thickTop="1" thickBot="1" x14ac:dyDescent="0.4">
      <c r="A126" s="94"/>
      <c r="B126" s="113"/>
      <c r="C126" s="113"/>
      <c r="D126" s="113"/>
      <c r="E126" s="113"/>
      <c r="F126" s="113"/>
      <c r="G126" s="114"/>
      <c r="H126" s="117"/>
      <c r="I126" s="117"/>
      <c r="K126" s="1"/>
    </row>
    <row r="127" spans="1:11" ht="15.5" thickTop="1" thickBot="1" x14ac:dyDescent="0.4">
      <c r="A127" s="92">
        <v>7</v>
      </c>
      <c r="B127" s="110" t="s">
        <v>92</v>
      </c>
      <c r="C127" s="110"/>
      <c r="D127" s="110"/>
      <c r="E127" s="106"/>
      <c r="F127" s="106"/>
      <c r="G127" s="112"/>
      <c r="H127" s="106"/>
      <c r="I127" s="106"/>
      <c r="K127" s="1"/>
    </row>
    <row r="128" spans="1:11" ht="15.5" thickTop="1" thickBot="1" x14ac:dyDescent="0.4">
      <c r="A128" s="102">
        <v>71</v>
      </c>
      <c r="B128" s="121" t="s">
        <v>93</v>
      </c>
      <c r="C128" s="113"/>
      <c r="D128" s="117">
        <f>D129</f>
        <v>40000</v>
      </c>
      <c r="E128" s="117"/>
      <c r="F128" s="122"/>
      <c r="G128" s="112"/>
      <c r="H128" s="122"/>
      <c r="I128" s="122">
        <f>D128</f>
        <v>40000</v>
      </c>
    </row>
    <row r="129" spans="1:11" ht="15.5" thickTop="1" thickBot="1" x14ac:dyDescent="0.4">
      <c r="A129" s="94">
        <v>711</v>
      </c>
      <c r="B129" s="113" t="s">
        <v>46</v>
      </c>
      <c r="C129" s="113"/>
      <c r="D129" s="117">
        <v>40000</v>
      </c>
      <c r="E129" s="117"/>
      <c r="F129" s="117"/>
      <c r="G129" s="112"/>
      <c r="H129" s="117"/>
      <c r="I129" s="122">
        <f t="shared" ref="I129:I132" si="10">D129</f>
        <v>40000</v>
      </c>
    </row>
    <row r="130" spans="1:11" ht="15.5" thickTop="1" thickBot="1" x14ac:dyDescent="0.4">
      <c r="A130" s="102">
        <v>72</v>
      </c>
      <c r="B130" s="121" t="s">
        <v>94</v>
      </c>
      <c r="C130" s="113"/>
      <c r="D130" s="117">
        <v>148271.10999999999</v>
      </c>
      <c r="E130" s="153"/>
      <c r="F130" s="153">
        <v>136766.53</v>
      </c>
      <c r="G130" s="112"/>
      <c r="H130" s="122"/>
      <c r="I130" s="122">
        <f>D130+F130</f>
        <v>285037.64</v>
      </c>
      <c r="K130" s="1"/>
    </row>
    <row r="131" spans="1:11" ht="15.5" thickTop="1" thickBot="1" x14ac:dyDescent="0.4">
      <c r="A131" s="94">
        <v>721</v>
      </c>
      <c r="B131" s="113" t="s">
        <v>94</v>
      </c>
      <c r="C131" s="113"/>
      <c r="D131" s="117">
        <v>148271.10999999999</v>
      </c>
      <c r="E131" s="117"/>
      <c r="F131" s="117"/>
      <c r="G131" s="112"/>
      <c r="H131" s="117"/>
      <c r="I131" s="122">
        <f t="shared" si="10"/>
        <v>148271.10999999999</v>
      </c>
      <c r="K131" s="1"/>
    </row>
    <row r="132" spans="1:11" ht="15.5" thickTop="1" thickBot="1" x14ac:dyDescent="0.4">
      <c r="A132" s="160">
        <v>72112</v>
      </c>
      <c r="B132" s="113" t="s">
        <v>235</v>
      </c>
      <c r="C132" s="113"/>
      <c r="D132" s="117">
        <v>148271.10999999999</v>
      </c>
      <c r="E132" s="117"/>
      <c r="F132" s="117"/>
      <c r="G132" s="112"/>
      <c r="H132" s="117"/>
      <c r="I132" s="122">
        <f t="shared" si="10"/>
        <v>148271.10999999999</v>
      </c>
    </row>
    <row r="133" spans="1:11" s="138" customFormat="1" ht="15.5" thickTop="1" thickBot="1" x14ac:dyDescent="0.4">
      <c r="A133" s="160">
        <v>78</v>
      </c>
      <c r="B133" s="160" t="s">
        <v>203</v>
      </c>
      <c r="C133" s="113"/>
      <c r="D133" s="117">
        <v>3193.22</v>
      </c>
      <c r="E133" s="117"/>
      <c r="F133" s="117"/>
      <c r="G133" s="112"/>
      <c r="H133" s="117"/>
      <c r="I133" s="122">
        <f>D134</f>
        <v>3193.22</v>
      </c>
    </row>
    <row r="134" spans="1:11" s="138" customFormat="1" ht="15.5" thickTop="1" thickBot="1" x14ac:dyDescent="0.4">
      <c r="A134" s="160">
        <v>788</v>
      </c>
      <c r="B134" s="113" t="s">
        <v>236</v>
      </c>
      <c r="C134" s="113"/>
      <c r="D134" s="117">
        <v>3193.22</v>
      </c>
      <c r="E134" s="117"/>
      <c r="F134" s="117"/>
      <c r="G134" s="112"/>
      <c r="H134" s="117"/>
    </row>
    <row r="135" spans="1:11" s="138" customFormat="1" ht="15.5" thickTop="1" thickBot="1" x14ac:dyDescent="0.4">
      <c r="A135" s="160">
        <v>7888</v>
      </c>
      <c r="B135" s="160" t="s">
        <v>237</v>
      </c>
      <c r="C135" s="113"/>
      <c r="D135" s="117">
        <v>3193.22</v>
      </c>
      <c r="E135" s="117"/>
      <c r="F135" s="117"/>
      <c r="G135" s="112"/>
      <c r="H135" s="117"/>
      <c r="I135" s="122"/>
    </row>
    <row r="136" spans="1:11" ht="15.5" thickTop="1" thickBot="1" x14ac:dyDescent="0.4">
      <c r="A136" s="216" t="s">
        <v>27</v>
      </c>
      <c r="B136" s="216"/>
      <c r="C136" s="108" t="s">
        <v>5</v>
      </c>
      <c r="D136" s="108">
        <f>D133+D130+D128</f>
        <v>191464.33</v>
      </c>
      <c r="E136" s="108"/>
      <c r="F136" s="108">
        <f>F130</f>
        <v>136766.53</v>
      </c>
      <c r="G136" s="116"/>
      <c r="H136" s="108"/>
      <c r="I136" s="108">
        <f>I128+I130+I133</f>
        <v>328230.86</v>
      </c>
      <c r="K136" s="1"/>
    </row>
    <row r="137" spans="1:11" s="78" customFormat="1" ht="15.5" thickTop="1" thickBot="1" x14ac:dyDescent="0.4">
      <c r="A137" s="94"/>
      <c r="B137" s="113"/>
      <c r="C137" s="113"/>
      <c r="D137" s="113"/>
      <c r="E137" s="113"/>
      <c r="F137" s="113"/>
      <c r="G137" s="114"/>
      <c r="H137" s="117"/>
      <c r="I137" s="117"/>
    </row>
    <row r="138" spans="1:11" s="73" customFormat="1" ht="15.5" thickTop="1" thickBot="1" x14ac:dyDescent="0.4">
      <c r="A138" s="92">
        <v>8</v>
      </c>
      <c r="B138" s="110" t="s">
        <v>193</v>
      </c>
      <c r="C138" s="110"/>
      <c r="D138" s="110"/>
      <c r="E138" s="106"/>
      <c r="F138" s="106"/>
      <c r="G138" s="112"/>
      <c r="H138" s="106"/>
      <c r="I138" s="106"/>
    </row>
    <row r="139" spans="1:11" s="73" customFormat="1" ht="15.5" thickTop="1" thickBot="1" x14ac:dyDescent="0.4">
      <c r="A139" s="102">
        <v>81</v>
      </c>
      <c r="B139" s="121" t="s">
        <v>194</v>
      </c>
      <c r="C139" s="121"/>
      <c r="D139" s="121"/>
      <c r="E139" s="113">
        <f>'IRC Estimado'!B38</f>
        <v>83578.806329890853</v>
      </c>
      <c r="F139" s="122"/>
      <c r="G139" s="112"/>
      <c r="H139" s="113">
        <f>E139</f>
        <v>83578.806329890853</v>
      </c>
      <c r="I139" s="122"/>
    </row>
    <row r="140" spans="1:11" s="73" customFormat="1" ht="15.5" thickTop="1" thickBot="1" x14ac:dyDescent="0.4">
      <c r="A140" s="107"/>
      <c r="B140" s="108" t="s">
        <v>195</v>
      </c>
      <c r="C140" s="108"/>
      <c r="D140" s="108"/>
      <c r="E140" s="108">
        <f>E139</f>
        <v>83578.806329890853</v>
      </c>
      <c r="F140" s="108"/>
      <c r="G140" s="116"/>
      <c r="H140" s="108">
        <f>H139</f>
        <v>83578.806329890853</v>
      </c>
      <c r="I140" s="124"/>
    </row>
    <row r="141" spans="1:11" s="78" customFormat="1" ht="15.5" thickTop="1" thickBot="1" x14ac:dyDescent="0.4">
      <c r="A141" s="94"/>
      <c r="B141" s="113"/>
      <c r="C141" s="113"/>
      <c r="D141" s="113"/>
      <c r="E141" s="113"/>
      <c r="F141" s="113"/>
      <c r="G141" s="114"/>
      <c r="H141" s="117"/>
      <c r="I141" s="117"/>
    </row>
    <row r="142" spans="1:11" ht="15.5" thickTop="1" thickBot="1" x14ac:dyDescent="0.4">
      <c r="A142" s="217" t="s">
        <v>202</v>
      </c>
      <c r="B142" s="217"/>
      <c r="C142" s="125">
        <f>C125+C66+C54+C47+C12</f>
        <v>963450.34000000008</v>
      </c>
      <c r="D142" s="125">
        <f>D136+D70+D47</f>
        <v>963450.34</v>
      </c>
      <c r="E142" s="109">
        <f>E140+E136+E125+E70+E66+E54+E47+E12</f>
        <v>508530.12622938142</v>
      </c>
      <c r="F142" s="109">
        <f>F140+F136+F125+F70+F66+F54+F47+F12</f>
        <v>453334.02845849097</v>
      </c>
      <c r="G142" s="112"/>
      <c r="H142" s="109">
        <f>H140+H125+H66+H54+H47+H12</f>
        <v>1418538.0253899975</v>
      </c>
      <c r="I142" s="109">
        <f>I136+I125+I70+I66+I54+I47</f>
        <v>1350465.1284584911</v>
      </c>
      <c r="K142" s="77"/>
    </row>
    <row r="143" spans="1:11" ht="15" thickTop="1" x14ac:dyDescent="0.35">
      <c r="C143" s="1"/>
      <c r="E143" s="90">
        <f>E142-F142</f>
        <v>55196.097770890454</v>
      </c>
      <c r="G143" s="78"/>
      <c r="H143" s="90">
        <f>H142-I142</f>
        <v>68072.896931506461</v>
      </c>
    </row>
    <row r="144" spans="1:11" x14ac:dyDescent="0.35">
      <c r="G144" s="78"/>
      <c r="H144" s="89"/>
      <c r="I144" s="89"/>
    </row>
    <row r="145" spans="7:9" x14ac:dyDescent="0.35">
      <c r="G145" s="78"/>
      <c r="H145" s="90"/>
      <c r="I145" s="90"/>
    </row>
    <row r="146" spans="7:9" x14ac:dyDescent="0.35">
      <c r="G146" s="78"/>
    </row>
    <row r="147" spans="7:9" x14ac:dyDescent="0.35">
      <c r="G147" s="78"/>
    </row>
    <row r="148" spans="7:9" x14ac:dyDescent="0.35">
      <c r="G148" s="78"/>
    </row>
    <row r="149" spans="7:9" x14ac:dyDescent="0.35">
      <c r="G149" s="78"/>
    </row>
    <row r="150" spans="7:9" x14ac:dyDescent="0.35">
      <c r="G150" s="78"/>
    </row>
    <row r="151" spans="7:9" x14ac:dyDescent="0.35">
      <c r="G151" s="78"/>
    </row>
    <row r="152" spans="7:9" x14ac:dyDescent="0.35">
      <c r="G152" s="78"/>
    </row>
    <row r="153" spans="7:9" x14ac:dyDescent="0.35">
      <c r="G153" s="78"/>
    </row>
    <row r="154" spans="7:9" x14ac:dyDescent="0.35">
      <c r="G154" s="78"/>
    </row>
    <row r="155" spans="7:9" x14ac:dyDescent="0.35">
      <c r="G155" s="78"/>
    </row>
    <row r="156" spans="7:9" x14ac:dyDescent="0.35">
      <c r="G156" s="78"/>
    </row>
    <row r="157" spans="7:9" x14ac:dyDescent="0.35">
      <c r="G157" s="78"/>
    </row>
    <row r="158" spans="7:9" x14ac:dyDescent="0.35">
      <c r="G158" s="78"/>
    </row>
    <row r="159" spans="7:9" x14ac:dyDescent="0.35">
      <c r="G159" s="78"/>
    </row>
    <row r="160" spans="7:9" x14ac:dyDescent="0.35">
      <c r="G160" s="78"/>
    </row>
    <row r="161" spans="7:7" x14ac:dyDescent="0.35">
      <c r="G161" s="78"/>
    </row>
    <row r="162" spans="7:7" x14ac:dyDescent="0.35">
      <c r="G162" s="78"/>
    </row>
    <row r="163" spans="7:7" x14ac:dyDescent="0.35">
      <c r="G163" s="78"/>
    </row>
    <row r="164" spans="7:7" x14ac:dyDescent="0.35">
      <c r="G164" s="78"/>
    </row>
    <row r="165" spans="7:7" x14ac:dyDescent="0.35">
      <c r="G165" s="78"/>
    </row>
    <row r="166" spans="7:7" x14ac:dyDescent="0.35">
      <c r="G166" s="78"/>
    </row>
    <row r="167" spans="7:7" x14ac:dyDescent="0.35">
      <c r="G167" s="78"/>
    </row>
    <row r="168" spans="7:7" x14ac:dyDescent="0.35">
      <c r="G168" s="78"/>
    </row>
    <row r="169" spans="7:7" x14ac:dyDescent="0.35">
      <c r="G169" s="78"/>
    </row>
    <row r="170" spans="7:7" x14ac:dyDescent="0.35">
      <c r="G170" s="78"/>
    </row>
    <row r="171" spans="7:7" x14ac:dyDescent="0.35">
      <c r="G171" s="78"/>
    </row>
    <row r="172" spans="7:7" x14ac:dyDescent="0.35">
      <c r="G172" s="78"/>
    </row>
    <row r="173" spans="7:7" x14ac:dyDescent="0.35">
      <c r="G173" s="78"/>
    </row>
    <row r="174" spans="7:7" x14ac:dyDescent="0.35">
      <c r="G174" s="78"/>
    </row>
    <row r="175" spans="7:7" x14ac:dyDescent="0.35">
      <c r="G175" s="78"/>
    </row>
    <row r="176" spans="7:7" x14ac:dyDescent="0.35">
      <c r="G176" s="78"/>
    </row>
    <row r="177" spans="7:7" x14ac:dyDescent="0.35">
      <c r="G177" s="78"/>
    </row>
    <row r="178" spans="7:7" x14ac:dyDescent="0.35">
      <c r="G178" s="78"/>
    </row>
    <row r="179" spans="7:7" x14ac:dyDescent="0.35">
      <c r="G179" s="78"/>
    </row>
    <row r="180" spans="7:7" x14ac:dyDescent="0.35">
      <c r="G180" s="78"/>
    </row>
    <row r="181" spans="7:7" x14ac:dyDescent="0.35">
      <c r="G181" s="78"/>
    </row>
    <row r="182" spans="7:7" x14ac:dyDescent="0.35">
      <c r="G182" s="78"/>
    </row>
    <row r="183" spans="7:7" x14ac:dyDescent="0.35">
      <c r="G183" s="78"/>
    </row>
    <row r="184" spans="7:7" x14ac:dyDescent="0.35">
      <c r="G184" s="78"/>
    </row>
    <row r="185" spans="7:7" x14ac:dyDescent="0.35">
      <c r="G185" s="78"/>
    </row>
    <row r="186" spans="7:7" x14ac:dyDescent="0.35">
      <c r="G186" s="78"/>
    </row>
    <row r="187" spans="7:7" x14ac:dyDescent="0.35">
      <c r="G187" s="78"/>
    </row>
    <row r="188" spans="7:7" x14ac:dyDescent="0.35">
      <c r="G188" s="78"/>
    </row>
    <row r="189" spans="7:7" x14ac:dyDescent="0.35">
      <c r="G189" s="78"/>
    </row>
    <row r="190" spans="7:7" x14ac:dyDescent="0.35">
      <c r="G190" s="78"/>
    </row>
    <row r="191" spans="7:7" x14ac:dyDescent="0.35">
      <c r="G191" s="78"/>
    </row>
    <row r="192" spans="7:7" x14ac:dyDescent="0.35">
      <c r="G192" s="78"/>
    </row>
    <row r="193" spans="7:7" x14ac:dyDescent="0.35">
      <c r="G193" s="78"/>
    </row>
    <row r="194" spans="7:7" x14ac:dyDescent="0.35">
      <c r="G194" s="78"/>
    </row>
    <row r="195" spans="7:7" x14ac:dyDescent="0.35">
      <c r="G195" s="78"/>
    </row>
    <row r="196" spans="7:7" x14ac:dyDescent="0.35">
      <c r="G196" s="78"/>
    </row>
    <row r="197" spans="7:7" x14ac:dyDescent="0.35">
      <c r="G197" s="78"/>
    </row>
    <row r="198" spans="7:7" x14ac:dyDescent="0.35">
      <c r="G198" s="78"/>
    </row>
    <row r="199" spans="7:7" x14ac:dyDescent="0.35">
      <c r="G199" s="78"/>
    </row>
    <row r="200" spans="7:7" x14ac:dyDescent="0.35">
      <c r="G200" s="78"/>
    </row>
    <row r="201" spans="7:7" x14ac:dyDescent="0.35">
      <c r="G201" s="78"/>
    </row>
    <row r="202" spans="7:7" x14ac:dyDescent="0.35">
      <c r="G202" s="78"/>
    </row>
    <row r="203" spans="7:7" x14ac:dyDescent="0.35">
      <c r="G203" s="78"/>
    </row>
    <row r="204" spans="7:7" x14ac:dyDescent="0.35">
      <c r="G204" s="78"/>
    </row>
    <row r="205" spans="7:7" x14ac:dyDescent="0.35">
      <c r="G205" s="78"/>
    </row>
    <row r="206" spans="7:7" x14ac:dyDescent="0.35">
      <c r="G206" s="78"/>
    </row>
    <row r="207" spans="7:7" x14ac:dyDescent="0.35">
      <c r="G207" s="78"/>
    </row>
    <row r="208" spans="7:7" x14ac:dyDescent="0.35">
      <c r="G208" s="78"/>
    </row>
    <row r="209" spans="7:7" x14ac:dyDescent="0.35">
      <c r="G209" s="78"/>
    </row>
    <row r="210" spans="7:7" x14ac:dyDescent="0.35">
      <c r="G210" s="78"/>
    </row>
    <row r="211" spans="7:7" x14ac:dyDescent="0.35">
      <c r="G211" s="78"/>
    </row>
    <row r="212" spans="7:7" x14ac:dyDescent="0.35">
      <c r="G212" s="78"/>
    </row>
    <row r="213" spans="7:7" x14ac:dyDescent="0.35">
      <c r="G213" s="78"/>
    </row>
    <row r="214" spans="7:7" x14ac:dyDescent="0.35">
      <c r="G214" s="78"/>
    </row>
    <row r="215" spans="7:7" x14ac:dyDescent="0.35">
      <c r="G215" s="78"/>
    </row>
    <row r="216" spans="7:7" x14ac:dyDescent="0.35">
      <c r="G216" s="78"/>
    </row>
    <row r="217" spans="7:7" x14ac:dyDescent="0.35">
      <c r="G217" s="78"/>
    </row>
    <row r="218" spans="7:7" x14ac:dyDescent="0.35">
      <c r="G218" s="78"/>
    </row>
    <row r="219" spans="7:7" x14ac:dyDescent="0.35">
      <c r="G219" s="78"/>
    </row>
    <row r="220" spans="7:7" x14ac:dyDescent="0.35">
      <c r="G220" s="78"/>
    </row>
    <row r="221" spans="7:7" x14ac:dyDescent="0.35">
      <c r="G221" s="78"/>
    </row>
    <row r="222" spans="7:7" x14ac:dyDescent="0.35">
      <c r="G222" s="78"/>
    </row>
    <row r="223" spans="7:7" x14ac:dyDescent="0.35">
      <c r="G223" s="78"/>
    </row>
    <row r="224" spans="7:7" x14ac:dyDescent="0.35">
      <c r="G224" s="78"/>
    </row>
    <row r="225" spans="7:7" x14ac:dyDescent="0.35">
      <c r="G225" s="78"/>
    </row>
    <row r="226" spans="7:7" x14ac:dyDescent="0.35">
      <c r="G226" s="78"/>
    </row>
    <row r="227" spans="7:7" x14ac:dyDescent="0.35">
      <c r="G227" s="78"/>
    </row>
    <row r="228" spans="7:7" x14ac:dyDescent="0.35">
      <c r="G228" s="78"/>
    </row>
    <row r="229" spans="7:7" x14ac:dyDescent="0.35">
      <c r="G229" s="78"/>
    </row>
    <row r="230" spans="7:7" x14ac:dyDescent="0.35">
      <c r="G230" s="78"/>
    </row>
    <row r="231" spans="7:7" x14ac:dyDescent="0.35">
      <c r="G231" s="78"/>
    </row>
    <row r="232" spans="7:7" x14ac:dyDescent="0.35">
      <c r="G232" s="78"/>
    </row>
    <row r="233" spans="7:7" x14ac:dyDescent="0.35">
      <c r="G233" s="78"/>
    </row>
    <row r="234" spans="7:7" x14ac:dyDescent="0.35">
      <c r="G234" s="78"/>
    </row>
    <row r="235" spans="7:7" x14ac:dyDescent="0.35">
      <c r="G235" s="78"/>
    </row>
    <row r="236" spans="7:7" x14ac:dyDescent="0.35">
      <c r="G236" s="78"/>
    </row>
    <row r="237" spans="7:7" x14ac:dyDescent="0.35">
      <c r="G237" s="78"/>
    </row>
    <row r="238" spans="7:7" x14ac:dyDescent="0.35">
      <c r="G238" s="78"/>
    </row>
    <row r="239" spans="7:7" x14ac:dyDescent="0.35">
      <c r="G239" s="78"/>
    </row>
    <row r="240" spans="7:7" x14ac:dyDescent="0.35">
      <c r="G240" s="78"/>
    </row>
    <row r="241" spans="7:7" x14ac:dyDescent="0.35">
      <c r="G241" s="78"/>
    </row>
    <row r="242" spans="7:7" x14ac:dyDescent="0.35">
      <c r="G242" s="78"/>
    </row>
    <row r="243" spans="7:7" x14ac:dyDescent="0.35">
      <c r="G243" s="78"/>
    </row>
    <row r="244" spans="7:7" x14ac:dyDescent="0.35">
      <c r="G244" s="78"/>
    </row>
    <row r="245" spans="7:7" x14ac:dyDescent="0.35">
      <c r="G245" s="78"/>
    </row>
    <row r="246" spans="7:7" x14ac:dyDescent="0.35">
      <c r="G246" s="78"/>
    </row>
    <row r="247" spans="7:7" x14ac:dyDescent="0.35">
      <c r="G247" s="78"/>
    </row>
    <row r="248" spans="7:7" x14ac:dyDescent="0.35">
      <c r="G248" s="78"/>
    </row>
    <row r="249" spans="7:7" x14ac:dyDescent="0.35">
      <c r="G249" s="78"/>
    </row>
    <row r="250" spans="7:7" x14ac:dyDescent="0.35">
      <c r="G250" s="78"/>
    </row>
    <row r="251" spans="7:7" x14ac:dyDescent="0.35">
      <c r="G251" s="78"/>
    </row>
    <row r="252" spans="7:7" x14ac:dyDescent="0.35">
      <c r="G252" s="78"/>
    </row>
    <row r="253" spans="7:7" x14ac:dyDescent="0.35">
      <c r="G253" s="78"/>
    </row>
    <row r="254" spans="7:7" x14ac:dyDescent="0.35">
      <c r="G254" s="78"/>
    </row>
    <row r="255" spans="7:7" x14ac:dyDescent="0.35">
      <c r="G255" s="78"/>
    </row>
    <row r="256" spans="7:7" x14ac:dyDescent="0.35">
      <c r="G256" s="78"/>
    </row>
    <row r="257" spans="7:7" x14ac:dyDescent="0.35">
      <c r="G257" s="78"/>
    </row>
    <row r="258" spans="7:7" x14ac:dyDescent="0.35">
      <c r="G258" s="78"/>
    </row>
    <row r="259" spans="7:7" x14ac:dyDescent="0.35">
      <c r="G259" s="78"/>
    </row>
    <row r="260" spans="7:7" x14ac:dyDescent="0.35">
      <c r="G260" s="78"/>
    </row>
    <row r="261" spans="7:7" x14ac:dyDescent="0.35">
      <c r="G261" s="78"/>
    </row>
    <row r="262" spans="7:7" x14ac:dyDescent="0.35">
      <c r="G262" s="78"/>
    </row>
    <row r="263" spans="7:7" x14ac:dyDescent="0.35">
      <c r="G263" s="78"/>
    </row>
    <row r="264" spans="7:7" x14ac:dyDescent="0.35">
      <c r="G264" s="78"/>
    </row>
    <row r="265" spans="7:7" x14ac:dyDescent="0.35">
      <c r="G265" s="78"/>
    </row>
    <row r="266" spans="7:7" x14ac:dyDescent="0.35">
      <c r="G266" s="78"/>
    </row>
    <row r="267" spans="7:7" x14ac:dyDescent="0.35">
      <c r="G267" s="78"/>
    </row>
    <row r="268" spans="7:7" x14ac:dyDescent="0.35">
      <c r="G268" s="78"/>
    </row>
    <row r="269" spans="7:7" x14ac:dyDescent="0.35">
      <c r="G269" s="78"/>
    </row>
    <row r="270" spans="7:7" x14ac:dyDescent="0.35">
      <c r="G270" s="78"/>
    </row>
    <row r="271" spans="7:7" x14ac:dyDescent="0.35">
      <c r="G271" s="78"/>
    </row>
    <row r="272" spans="7:7" x14ac:dyDescent="0.35">
      <c r="G272" s="78"/>
    </row>
    <row r="273" spans="7:7" x14ac:dyDescent="0.35">
      <c r="G273" s="78"/>
    </row>
    <row r="274" spans="7:7" x14ac:dyDescent="0.35">
      <c r="G274" s="78"/>
    </row>
    <row r="275" spans="7:7" x14ac:dyDescent="0.35">
      <c r="G275" s="78"/>
    </row>
    <row r="276" spans="7:7" x14ac:dyDescent="0.35">
      <c r="G276" s="78"/>
    </row>
    <row r="277" spans="7:7" x14ac:dyDescent="0.35">
      <c r="G277" s="78"/>
    </row>
    <row r="278" spans="7:7" x14ac:dyDescent="0.35">
      <c r="G278" s="78"/>
    </row>
    <row r="279" spans="7:7" x14ac:dyDescent="0.35">
      <c r="G279" s="78"/>
    </row>
    <row r="280" spans="7:7" x14ac:dyDescent="0.35">
      <c r="G280" s="78"/>
    </row>
    <row r="281" spans="7:7" x14ac:dyDescent="0.35">
      <c r="G281" s="78"/>
    </row>
    <row r="282" spans="7:7" x14ac:dyDescent="0.35">
      <c r="G282" s="78"/>
    </row>
    <row r="283" spans="7:7" x14ac:dyDescent="0.35">
      <c r="G283" s="78"/>
    </row>
    <row r="284" spans="7:7" x14ac:dyDescent="0.35">
      <c r="G284" s="78"/>
    </row>
    <row r="285" spans="7:7" x14ac:dyDescent="0.35">
      <c r="G285" s="78"/>
    </row>
    <row r="286" spans="7:7" x14ac:dyDescent="0.35">
      <c r="G286" s="78"/>
    </row>
    <row r="287" spans="7:7" x14ac:dyDescent="0.35">
      <c r="G287" s="78"/>
    </row>
    <row r="288" spans="7:7" x14ac:dyDescent="0.35">
      <c r="G288" s="78"/>
    </row>
    <row r="289" spans="7:7" x14ac:dyDescent="0.35">
      <c r="G289" s="78"/>
    </row>
    <row r="290" spans="7:7" x14ac:dyDescent="0.35">
      <c r="G290" s="78"/>
    </row>
    <row r="291" spans="7:7" x14ac:dyDescent="0.35">
      <c r="G291" s="78"/>
    </row>
    <row r="292" spans="7:7" x14ac:dyDescent="0.35">
      <c r="G292" s="78"/>
    </row>
    <row r="293" spans="7:7" x14ac:dyDescent="0.35">
      <c r="G293" s="78"/>
    </row>
    <row r="294" spans="7:7" x14ac:dyDescent="0.35">
      <c r="G294" s="78"/>
    </row>
    <row r="295" spans="7:7" x14ac:dyDescent="0.35">
      <c r="G295" s="78"/>
    </row>
    <row r="296" spans="7:7" x14ac:dyDescent="0.35">
      <c r="G296" s="78"/>
    </row>
    <row r="297" spans="7:7" x14ac:dyDescent="0.35">
      <c r="G297" s="78"/>
    </row>
    <row r="298" spans="7:7" x14ac:dyDescent="0.35">
      <c r="G298" s="78"/>
    </row>
    <row r="299" spans="7:7" x14ac:dyDescent="0.35">
      <c r="G299" s="78"/>
    </row>
    <row r="300" spans="7:7" x14ac:dyDescent="0.35">
      <c r="G300" s="78"/>
    </row>
    <row r="301" spans="7:7" x14ac:dyDescent="0.35">
      <c r="G301" s="78"/>
    </row>
    <row r="302" spans="7:7" x14ac:dyDescent="0.35">
      <c r="G302" s="78"/>
    </row>
    <row r="303" spans="7:7" x14ac:dyDescent="0.35">
      <c r="G303" s="78"/>
    </row>
    <row r="304" spans="7:7" x14ac:dyDescent="0.35">
      <c r="G304" s="78"/>
    </row>
    <row r="305" spans="7:7" x14ac:dyDescent="0.35">
      <c r="G305" s="78"/>
    </row>
    <row r="306" spans="7:7" x14ac:dyDescent="0.35">
      <c r="G306" s="78"/>
    </row>
    <row r="307" spans="7:7" x14ac:dyDescent="0.35">
      <c r="G307" s="78"/>
    </row>
    <row r="308" spans="7:7" x14ac:dyDescent="0.35">
      <c r="G308" s="78"/>
    </row>
    <row r="309" spans="7:7" x14ac:dyDescent="0.35">
      <c r="G309" s="78"/>
    </row>
    <row r="310" spans="7:7" x14ac:dyDescent="0.35">
      <c r="G310" s="78"/>
    </row>
    <row r="311" spans="7:7" x14ac:dyDescent="0.35">
      <c r="G311" s="78"/>
    </row>
    <row r="312" spans="7:7" x14ac:dyDescent="0.35">
      <c r="G312" s="78"/>
    </row>
    <row r="313" spans="7:7" x14ac:dyDescent="0.35">
      <c r="G313" s="78"/>
    </row>
    <row r="314" spans="7:7" x14ac:dyDescent="0.35">
      <c r="G314" s="78"/>
    </row>
    <row r="315" spans="7:7" x14ac:dyDescent="0.35">
      <c r="G315" s="78"/>
    </row>
    <row r="316" spans="7:7" x14ac:dyDescent="0.35">
      <c r="G316" s="78"/>
    </row>
    <row r="317" spans="7:7" x14ac:dyDescent="0.35">
      <c r="G317" s="78"/>
    </row>
    <row r="318" spans="7:7" x14ac:dyDescent="0.35">
      <c r="G318" s="78"/>
    </row>
    <row r="319" spans="7:7" x14ac:dyDescent="0.35">
      <c r="G319" s="78"/>
    </row>
    <row r="320" spans="7:7" x14ac:dyDescent="0.35">
      <c r="G320" s="78"/>
    </row>
    <row r="321" spans="7:7" x14ac:dyDescent="0.35">
      <c r="G321" s="78"/>
    </row>
    <row r="322" spans="7:7" x14ac:dyDescent="0.35">
      <c r="G322" s="78"/>
    </row>
    <row r="323" spans="7:7" x14ac:dyDescent="0.35">
      <c r="G323" s="78"/>
    </row>
    <row r="324" spans="7:7" x14ac:dyDescent="0.35">
      <c r="G324" s="78"/>
    </row>
    <row r="325" spans="7:7" x14ac:dyDescent="0.35">
      <c r="G325" s="78"/>
    </row>
    <row r="326" spans="7:7" x14ac:dyDescent="0.35">
      <c r="G326" s="78"/>
    </row>
    <row r="327" spans="7:7" x14ac:dyDescent="0.35">
      <c r="G327" s="78"/>
    </row>
    <row r="328" spans="7:7" x14ac:dyDescent="0.35">
      <c r="G328" s="78"/>
    </row>
    <row r="329" spans="7:7" x14ac:dyDescent="0.35">
      <c r="G329" s="78"/>
    </row>
    <row r="330" spans="7:7" x14ac:dyDescent="0.35">
      <c r="G330" s="78"/>
    </row>
    <row r="331" spans="7:7" x14ac:dyDescent="0.35">
      <c r="G331" s="78"/>
    </row>
    <row r="332" spans="7:7" x14ac:dyDescent="0.35">
      <c r="G332" s="78"/>
    </row>
    <row r="333" spans="7:7" x14ac:dyDescent="0.35">
      <c r="G333" s="78"/>
    </row>
    <row r="334" spans="7:7" x14ac:dyDescent="0.35">
      <c r="G334" s="78"/>
    </row>
    <row r="335" spans="7:7" x14ac:dyDescent="0.35">
      <c r="G335" s="78"/>
    </row>
    <row r="336" spans="7:7" x14ac:dyDescent="0.35">
      <c r="G336" s="78"/>
    </row>
    <row r="337" spans="7:7" x14ac:dyDescent="0.35">
      <c r="G337" s="78"/>
    </row>
    <row r="338" spans="7:7" x14ac:dyDescent="0.35">
      <c r="G338" s="78"/>
    </row>
    <row r="339" spans="7:7" x14ac:dyDescent="0.35">
      <c r="G339" s="78"/>
    </row>
    <row r="340" spans="7:7" x14ac:dyDescent="0.35">
      <c r="G340" s="78"/>
    </row>
    <row r="341" spans="7:7" x14ac:dyDescent="0.35">
      <c r="G341" s="78"/>
    </row>
    <row r="342" spans="7:7" x14ac:dyDescent="0.35">
      <c r="G342" s="78"/>
    </row>
    <row r="343" spans="7:7" x14ac:dyDescent="0.35">
      <c r="G343" s="78"/>
    </row>
    <row r="344" spans="7:7" x14ac:dyDescent="0.35">
      <c r="G344" s="78"/>
    </row>
    <row r="345" spans="7:7" x14ac:dyDescent="0.35">
      <c r="G345" s="78"/>
    </row>
    <row r="346" spans="7:7" x14ac:dyDescent="0.35">
      <c r="G346" s="78"/>
    </row>
    <row r="347" spans="7:7" x14ac:dyDescent="0.35">
      <c r="G347" s="78"/>
    </row>
    <row r="348" spans="7:7" x14ac:dyDescent="0.35">
      <c r="G348" s="78"/>
    </row>
    <row r="349" spans="7:7" x14ac:dyDescent="0.35">
      <c r="G349" s="78"/>
    </row>
    <row r="350" spans="7:7" x14ac:dyDescent="0.35">
      <c r="G350" s="78"/>
    </row>
    <row r="351" spans="7:7" x14ac:dyDescent="0.35">
      <c r="G351" s="78"/>
    </row>
    <row r="352" spans="7:7" x14ac:dyDescent="0.35">
      <c r="G352" s="78"/>
    </row>
    <row r="353" spans="7:7" x14ac:dyDescent="0.35">
      <c r="G353" s="78"/>
    </row>
    <row r="354" spans="7:7" x14ac:dyDescent="0.35">
      <c r="G354" s="78"/>
    </row>
    <row r="355" spans="7:7" x14ac:dyDescent="0.35">
      <c r="G355" s="78"/>
    </row>
    <row r="356" spans="7:7" x14ac:dyDescent="0.35">
      <c r="G356" s="78"/>
    </row>
    <row r="357" spans="7:7" x14ac:dyDescent="0.35">
      <c r="G357" s="78"/>
    </row>
    <row r="358" spans="7:7" x14ac:dyDescent="0.35">
      <c r="G358" s="78"/>
    </row>
    <row r="359" spans="7:7" x14ac:dyDescent="0.35">
      <c r="G359" s="78"/>
    </row>
    <row r="360" spans="7:7" x14ac:dyDescent="0.35">
      <c r="G360" s="78"/>
    </row>
    <row r="361" spans="7:7" x14ac:dyDescent="0.35">
      <c r="G361" s="78"/>
    </row>
    <row r="362" spans="7:7" x14ac:dyDescent="0.35">
      <c r="G362" s="78"/>
    </row>
    <row r="363" spans="7:7" x14ac:dyDescent="0.35">
      <c r="G363" s="78"/>
    </row>
    <row r="364" spans="7:7" x14ac:dyDescent="0.35">
      <c r="G364" s="78"/>
    </row>
    <row r="365" spans="7:7" x14ac:dyDescent="0.35">
      <c r="G365" s="78"/>
    </row>
    <row r="366" spans="7:7" x14ac:dyDescent="0.35">
      <c r="G366" s="78"/>
    </row>
    <row r="367" spans="7:7" x14ac:dyDescent="0.35">
      <c r="G367" s="78"/>
    </row>
    <row r="368" spans="7:7" x14ac:dyDescent="0.35">
      <c r="G368" s="78"/>
    </row>
    <row r="369" spans="7:7" x14ac:dyDescent="0.35">
      <c r="G369" s="78"/>
    </row>
    <row r="370" spans="7:7" x14ac:dyDescent="0.35">
      <c r="G370" s="78"/>
    </row>
    <row r="371" spans="7:7" x14ac:dyDescent="0.35">
      <c r="G371" s="78"/>
    </row>
    <row r="372" spans="7:7" x14ac:dyDescent="0.35">
      <c r="G372" s="78"/>
    </row>
    <row r="373" spans="7:7" x14ac:dyDescent="0.35">
      <c r="G373" s="78"/>
    </row>
    <row r="374" spans="7:7" x14ac:dyDescent="0.35">
      <c r="G374" s="78"/>
    </row>
    <row r="375" spans="7:7" x14ac:dyDescent="0.35">
      <c r="G375" s="78"/>
    </row>
    <row r="376" spans="7:7" x14ac:dyDescent="0.35">
      <c r="G376" s="78"/>
    </row>
    <row r="377" spans="7:7" x14ac:dyDescent="0.35">
      <c r="G377" s="78"/>
    </row>
    <row r="378" spans="7:7" x14ac:dyDescent="0.35">
      <c r="G378" s="78"/>
    </row>
    <row r="379" spans="7:7" x14ac:dyDescent="0.35">
      <c r="G379" s="78"/>
    </row>
    <row r="380" spans="7:7" x14ac:dyDescent="0.35">
      <c r="G380" s="78"/>
    </row>
    <row r="381" spans="7:7" x14ac:dyDescent="0.35">
      <c r="G381" s="78"/>
    </row>
    <row r="382" spans="7:7" x14ac:dyDescent="0.35">
      <c r="G382" s="78"/>
    </row>
    <row r="383" spans="7:7" x14ac:dyDescent="0.35">
      <c r="G383" s="78"/>
    </row>
    <row r="384" spans="7:7" x14ac:dyDescent="0.35">
      <c r="G384" s="78"/>
    </row>
    <row r="385" spans="7:7" x14ac:dyDescent="0.35">
      <c r="G385" s="78"/>
    </row>
    <row r="386" spans="7:7" x14ac:dyDescent="0.35">
      <c r="G386" s="78"/>
    </row>
    <row r="387" spans="7:7" x14ac:dyDescent="0.35">
      <c r="G387" s="78"/>
    </row>
    <row r="388" spans="7:7" x14ac:dyDescent="0.35">
      <c r="G388" s="78"/>
    </row>
    <row r="389" spans="7:7" x14ac:dyDescent="0.35">
      <c r="G389" s="78"/>
    </row>
    <row r="390" spans="7:7" x14ac:dyDescent="0.35">
      <c r="G390" s="78"/>
    </row>
    <row r="391" spans="7:7" x14ac:dyDescent="0.35">
      <c r="G391" s="78"/>
    </row>
    <row r="392" spans="7:7" x14ac:dyDescent="0.35">
      <c r="G392" s="78"/>
    </row>
    <row r="393" spans="7:7" x14ac:dyDescent="0.35">
      <c r="G393" s="78"/>
    </row>
    <row r="394" spans="7:7" x14ac:dyDescent="0.35">
      <c r="G394" s="78"/>
    </row>
    <row r="395" spans="7:7" x14ac:dyDescent="0.35">
      <c r="G395" s="78"/>
    </row>
    <row r="396" spans="7:7" x14ac:dyDescent="0.35">
      <c r="G396" s="78"/>
    </row>
    <row r="397" spans="7:7" x14ac:dyDescent="0.35">
      <c r="G397" s="78"/>
    </row>
    <row r="398" spans="7:7" x14ac:dyDescent="0.35">
      <c r="G398" s="78"/>
    </row>
    <row r="399" spans="7:7" x14ac:dyDescent="0.35">
      <c r="G399" s="78"/>
    </row>
    <row r="400" spans="7:7" x14ac:dyDescent="0.35">
      <c r="G400" s="78"/>
    </row>
    <row r="401" spans="7:7" x14ac:dyDescent="0.35">
      <c r="G401" s="78"/>
    </row>
    <row r="402" spans="7:7" x14ac:dyDescent="0.35">
      <c r="G402" s="78"/>
    </row>
    <row r="403" spans="7:7" x14ac:dyDescent="0.35">
      <c r="G403" s="78"/>
    </row>
    <row r="404" spans="7:7" x14ac:dyDescent="0.35">
      <c r="G404" s="78"/>
    </row>
    <row r="405" spans="7:7" x14ac:dyDescent="0.35">
      <c r="G405" s="78"/>
    </row>
    <row r="406" spans="7:7" x14ac:dyDescent="0.35">
      <c r="G406" s="78"/>
    </row>
    <row r="407" spans="7:7" x14ac:dyDescent="0.35">
      <c r="G407" s="78"/>
    </row>
    <row r="408" spans="7:7" x14ac:dyDescent="0.35">
      <c r="G408" s="78"/>
    </row>
    <row r="409" spans="7:7" x14ac:dyDescent="0.35">
      <c r="G409" s="78"/>
    </row>
    <row r="410" spans="7:7" x14ac:dyDescent="0.35">
      <c r="G410" s="78"/>
    </row>
    <row r="411" spans="7:7" x14ac:dyDescent="0.35">
      <c r="G411" s="78"/>
    </row>
    <row r="412" spans="7:7" x14ac:dyDescent="0.35">
      <c r="G412" s="78"/>
    </row>
    <row r="413" spans="7:7" x14ac:dyDescent="0.35">
      <c r="G413" s="78"/>
    </row>
    <row r="414" spans="7:7" x14ac:dyDescent="0.35">
      <c r="G414" s="78"/>
    </row>
    <row r="415" spans="7:7" x14ac:dyDescent="0.35">
      <c r="G415" s="78"/>
    </row>
    <row r="416" spans="7:7" x14ac:dyDescent="0.35">
      <c r="G416" s="78"/>
    </row>
    <row r="417" spans="7:7" x14ac:dyDescent="0.35">
      <c r="G417" s="78"/>
    </row>
    <row r="418" spans="7:7" x14ac:dyDescent="0.35">
      <c r="G418" s="78"/>
    </row>
    <row r="419" spans="7:7" x14ac:dyDescent="0.35">
      <c r="G419" s="78"/>
    </row>
    <row r="420" spans="7:7" x14ac:dyDescent="0.35">
      <c r="G420" s="78"/>
    </row>
    <row r="421" spans="7:7" x14ac:dyDescent="0.35">
      <c r="G421" s="78"/>
    </row>
    <row r="422" spans="7:7" x14ac:dyDescent="0.35">
      <c r="G422" s="78"/>
    </row>
    <row r="423" spans="7:7" x14ac:dyDescent="0.35">
      <c r="G423" s="78"/>
    </row>
    <row r="424" spans="7:7" x14ac:dyDescent="0.35">
      <c r="G424" s="78"/>
    </row>
    <row r="425" spans="7:7" x14ac:dyDescent="0.35">
      <c r="G425" s="78"/>
    </row>
    <row r="426" spans="7:7" x14ac:dyDescent="0.35">
      <c r="G426" s="78"/>
    </row>
    <row r="427" spans="7:7" x14ac:dyDescent="0.35">
      <c r="G427" s="78"/>
    </row>
    <row r="428" spans="7:7" x14ac:dyDescent="0.35">
      <c r="G428" s="78"/>
    </row>
    <row r="429" spans="7:7" x14ac:dyDescent="0.35">
      <c r="G429" s="78"/>
    </row>
    <row r="430" spans="7:7" x14ac:dyDescent="0.35">
      <c r="G430" s="78"/>
    </row>
    <row r="431" spans="7:7" x14ac:dyDescent="0.35">
      <c r="G431" s="78"/>
    </row>
    <row r="432" spans="7:7" x14ac:dyDescent="0.35">
      <c r="G432" s="78"/>
    </row>
    <row r="433" spans="7:7" x14ac:dyDescent="0.35">
      <c r="G433" s="78"/>
    </row>
    <row r="434" spans="7:7" x14ac:dyDescent="0.35">
      <c r="G434" s="78"/>
    </row>
    <row r="435" spans="7:7" x14ac:dyDescent="0.35">
      <c r="G435" s="78"/>
    </row>
    <row r="436" spans="7:7" x14ac:dyDescent="0.35">
      <c r="G436" s="78"/>
    </row>
    <row r="437" spans="7:7" x14ac:dyDescent="0.35">
      <c r="G437" s="78"/>
    </row>
    <row r="438" spans="7:7" x14ac:dyDescent="0.35">
      <c r="G438" s="78"/>
    </row>
    <row r="439" spans="7:7" x14ac:dyDescent="0.35">
      <c r="G439" s="78"/>
    </row>
    <row r="440" spans="7:7" x14ac:dyDescent="0.35">
      <c r="G440" s="78"/>
    </row>
    <row r="441" spans="7:7" x14ac:dyDescent="0.35">
      <c r="G441" s="78"/>
    </row>
    <row r="442" spans="7:7" x14ac:dyDescent="0.35">
      <c r="G442" s="78"/>
    </row>
    <row r="443" spans="7:7" x14ac:dyDescent="0.35">
      <c r="G443" s="78"/>
    </row>
    <row r="444" spans="7:7" x14ac:dyDescent="0.35">
      <c r="G444" s="78"/>
    </row>
    <row r="445" spans="7:7" x14ac:dyDescent="0.35">
      <c r="G445" s="78"/>
    </row>
    <row r="446" spans="7:7" x14ac:dyDescent="0.35">
      <c r="G446" s="78"/>
    </row>
    <row r="447" spans="7:7" x14ac:dyDescent="0.35">
      <c r="G447" s="78"/>
    </row>
    <row r="448" spans="7:7" x14ac:dyDescent="0.35">
      <c r="G448" s="78"/>
    </row>
    <row r="449" spans="7:7" x14ac:dyDescent="0.35">
      <c r="G449" s="78"/>
    </row>
    <row r="450" spans="7:7" x14ac:dyDescent="0.35">
      <c r="G450" s="78"/>
    </row>
    <row r="451" spans="7:7" x14ac:dyDescent="0.35">
      <c r="G451" s="78"/>
    </row>
    <row r="452" spans="7:7" x14ac:dyDescent="0.35">
      <c r="G452" s="78"/>
    </row>
    <row r="453" spans="7:7" x14ac:dyDescent="0.35">
      <c r="G453" s="78"/>
    </row>
    <row r="454" spans="7:7" x14ac:dyDescent="0.35">
      <c r="G454" s="78"/>
    </row>
    <row r="455" spans="7:7" x14ac:dyDescent="0.35">
      <c r="G455" s="78"/>
    </row>
    <row r="456" spans="7:7" x14ac:dyDescent="0.35">
      <c r="G456" s="78"/>
    </row>
    <row r="457" spans="7:7" x14ac:dyDescent="0.35">
      <c r="G457" s="78"/>
    </row>
    <row r="458" spans="7:7" x14ac:dyDescent="0.35">
      <c r="G458" s="78"/>
    </row>
    <row r="459" spans="7:7" x14ac:dyDescent="0.35">
      <c r="G459" s="78"/>
    </row>
    <row r="460" spans="7:7" x14ac:dyDescent="0.35">
      <c r="G460" s="78"/>
    </row>
    <row r="461" spans="7:7" x14ac:dyDescent="0.35">
      <c r="G461" s="78"/>
    </row>
    <row r="462" spans="7:7" x14ac:dyDescent="0.35">
      <c r="G462" s="78"/>
    </row>
    <row r="463" spans="7:7" x14ac:dyDescent="0.35">
      <c r="G463" s="78"/>
    </row>
    <row r="464" spans="7:7" x14ac:dyDescent="0.35">
      <c r="G464" s="78"/>
    </row>
    <row r="465" spans="7:7" x14ac:dyDescent="0.35">
      <c r="G465" s="78"/>
    </row>
    <row r="466" spans="7:7" x14ac:dyDescent="0.35">
      <c r="G466" s="78"/>
    </row>
    <row r="467" spans="7:7" x14ac:dyDescent="0.35">
      <c r="G467" s="78"/>
    </row>
    <row r="468" spans="7:7" x14ac:dyDescent="0.35">
      <c r="G468" s="78"/>
    </row>
    <row r="469" spans="7:7" x14ac:dyDescent="0.35">
      <c r="G469" s="78"/>
    </row>
    <row r="470" spans="7:7" x14ac:dyDescent="0.35">
      <c r="G470" s="78"/>
    </row>
    <row r="471" spans="7:7" x14ac:dyDescent="0.35">
      <c r="G471" s="78"/>
    </row>
    <row r="472" spans="7:7" x14ac:dyDescent="0.35">
      <c r="G472" s="78"/>
    </row>
    <row r="473" spans="7:7" x14ac:dyDescent="0.35">
      <c r="G473" s="78"/>
    </row>
    <row r="474" spans="7:7" x14ac:dyDescent="0.35">
      <c r="G474" s="78"/>
    </row>
    <row r="475" spans="7:7" x14ac:dyDescent="0.35">
      <c r="G475" s="78"/>
    </row>
    <row r="476" spans="7:7" x14ac:dyDescent="0.35">
      <c r="G476" s="78"/>
    </row>
    <row r="477" spans="7:7" x14ac:dyDescent="0.35">
      <c r="G477" s="78"/>
    </row>
    <row r="478" spans="7:7" x14ac:dyDescent="0.35">
      <c r="G478" s="78"/>
    </row>
    <row r="479" spans="7:7" x14ac:dyDescent="0.35">
      <c r="G479" s="78"/>
    </row>
    <row r="480" spans="7:7" x14ac:dyDescent="0.35">
      <c r="G480" s="78"/>
    </row>
    <row r="481" spans="7:7" x14ac:dyDescent="0.35">
      <c r="G481" s="78"/>
    </row>
    <row r="482" spans="7:7" x14ac:dyDescent="0.35">
      <c r="G482" s="78"/>
    </row>
    <row r="483" spans="7:7" x14ac:dyDescent="0.35">
      <c r="G483" s="78"/>
    </row>
    <row r="484" spans="7:7" x14ac:dyDescent="0.35">
      <c r="G484" s="78"/>
    </row>
    <row r="485" spans="7:7" x14ac:dyDescent="0.35">
      <c r="G485" s="78"/>
    </row>
    <row r="486" spans="7:7" x14ac:dyDescent="0.35">
      <c r="G486" s="78"/>
    </row>
    <row r="487" spans="7:7" x14ac:dyDescent="0.35">
      <c r="G487" s="78"/>
    </row>
    <row r="488" spans="7:7" x14ac:dyDescent="0.35">
      <c r="G488" s="78"/>
    </row>
    <row r="489" spans="7:7" x14ac:dyDescent="0.35">
      <c r="G489" s="78"/>
    </row>
    <row r="490" spans="7:7" x14ac:dyDescent="0.35">
      <c r="G490" s="78"/>
    </row>
    <row r="491" spans="7:7" x14ac:dyDescent="0.35">
      <c r="G491" s="78"/>
    </row>
    <row r="492" spans="7:7" x14ac:dyDescent="0.35">
      <c r="G492" s="78"/>
    </row>
    <row r="493" spans="7:7" x14ac:dyDescent="0.35">
      <c r="G493" s="78"/>
    </row>
    <row r="494" spans="7:7" x14ac:dyDescent="0.35">
      <c r="G494" s="78"/>
    </row>
    <row r="495" spans="7:7" x14ac:dyDescent="0.35">
      <c r="G495" s="78"/>
    </row>
    <row r="496" spans="7:7" x14ac:dyDescent="0.35">
      <c r="G496" s="78"/>
    </row>
    <row r="497" spans="7:7" x14ac:dyDescent="0.35">
      <c r="G497" s="78"/>
    </row>
    <row r="498" spans="7:7" x14ac:dyDescent="0.35">
      <c r="G498" s="78"/>
    </row>
    <row r="499" spans="7:7" x14ac:dyDescent="0.35">
      <c r="G499" s="78"/>
    </row>
    <row r="500" spans="7:7" x14ac:dyDescent="0.35">
      <c r="G500" s="78"/>
    </row>
    <row r="501" spans="7:7" x14ac:dyDescent="0.35">
      <c r="G501" s="78"/>
    </row>
    <row r="502" spans="7:7" x14ac:dyDescent="0.35">
      <c r="G502" s="78"/>
    </row>
    <row r="503" spans="7:7" x14ac:dyDescent="0.35">
      <c r="G503" s="78"/>
    </row>
    <row r="504" spans="7:7" x14ac:dyDescent="0.35">
      <c r="G504" s="78"/>
    </row>
    <row r="505" spans="7:7" x14ac:dyDescent="0.35">
      <c r="G505" s="78"/>
    </row>
    <row r="506" spans="7:7" x14ac:dyDescent="0.35">
      <c r="G506" s="78"/>
    </row>
    <row r="507" spans="7:7" x14ac:dyDescent="0.35">
      <c r="G507" s="78"/>
    </row>
    <row r="508" spans="7:7" x14ac:dyDescent="0.35">
      <c r="G508" s="78"/>
    </row>
    <row r="509" spans="7:7" x14ac:dyDescent="0.35">
      <c r="G509" s="78"/>
    </row>
    <row r="510" spans="7:7" x14ac:dyDescent="0.35">
      <c r="G510" s="78"/>
    </row>
    <row r="511" spans="7:7" x14ac:dyDescent="0.35">
      <c r="G511" s="78"/>
    </row>
    <row r="512" spans="7:7" x14ac:dyDescent="0.35">
      <c r="G512" s="78"/>
    </row>
    <row r="513" spans="7:7" x14ac:dyDescent="0.35">
      <c r="G513" s="78"/>
    </row>
    <row r="514" spans="7:7" x14ac:dyDescent="0.35">
      <c r="G514" s="78"/>
    </row>
  </sheetData>
  <mergeCells count="18">
    <mergeCell ref="H7:I7"/>
    <mergeCell ref="A1:I2"/>
    <mergeCell ref="A3:I3"/>
    <mergeCell ref="A4:I4"/>
    <mergeCell ref="A5:I5"/>
    <mergeCell ref="A6:I6"/>
    <mergeCell ref="C7:D7"/>
    <mergeCell ref="E7:F7"/>
    <mergeCell ref="G7:G8"/>
    <mergeCell ref="A125:B125"/>
    <mergeCell ref="A136:B136"/>
    <mergeCell ref="A142:B142"/>
    <mergeCell ref="A8:B8"/>
    <mergeCell ref="A12:B12"/>
    <mergeCell ref="A47:B47"/>
    <mergeCell ref="A54:B54"/>
    <mergeCell ref="A66:B66"/>
    <mergeCell ref="A70:B70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D17"/>
  <sheetViews>
    <sheetView workbookViewId="0">
      <selection activeCell="B15" sqref="B15"/>
    </sheetView>
  </sheetViews>
  <sheetFormatPr defaultRowHeight="14.5" x14ac:dyDescent="0.35"/>
  <cols>
    <col min="1" max="1" width="55" bestFit="1" customWidth="1"/>
    <col min="2" max="2" width="12.453125" bestFit="1" customWidth="1"/>
  </cols>
  <sheetData>
    <row r="1" spans="1:4" ht="15.5" thickTop="1" thickBot="1" x14ac:dyDescent="0.4">
      <c r="A1" s="239" t="s">
        <v>247</v>
      </c>
      <c r="B1" s="241" t="s">
        <v>248</v>
      </c>
      <c r="C1" s="241"/>
      <c r="D1" s="239" t="s">
        <v>249</v>
      </c>
    </row>
    <row r="2" spans="1:4" ht="15.5" thickTop="1" thickBot="1" x14ac:dyDescent="0.4">
      <c r="A2" s="240"/>
      <c r="B2" s="183" t="s">
        <v>1</v>
      </c>
      <c r="C2" s="183" t="s">
        <v>250</v>
      </c>
      <c r="D2" s="239"/>
    </row>
    <row r="3" spans="1:4" ht="15.5" thickTop="1" thickBot="1" x14ac:dyDescent="0.4">
      <c r="A3" s="184" t="s">
        <v>251</v>
      </c>
      <c r="B3" s="185"/>
      <c r="C3" s="185"/>
      <c r="D3" s="186"/>
    </row>
    <row r="4" spans="1:4" ht="15.5" thickTop="1" thickBot="1" x14ac:dyDescent="0.4">
      <c r="A4" s="184"/>
      <c r="B4" s="185"/>
      <c r="C4" s="185"/>
      <c r="D4" s="186"/>
    </row>
    <row r="5" spans="1:4" ht="15.5" thickTop="1" thickBot="1" x14ac:dyDescent="0.4">
      <c r="A5" s="187" t="s">
        <v>252</v>
      </c>
      <c r="B5" s="188">
        <f>'Balancete Ajustado'!I128+'Balancete Ajustado'!I130</f>
        <v>325037.64</v>
      </c>
      <c r="C5" s="185"/>
      <c r="D5" s="186">
        <v>13</v>
      </c>
    </row>
    <row r="6" spans="1:4" ht="15.5" thickTop="1" thickBot="1" x14ac:dyDescent="0.4">
      <c r="A6" s="187" t="s">
        <v>253</v>
      </c>
      <c r="B6" s="188">
        <f>-CMVMC!C13</f>
        <v>-140090.87</v>
      </c>
      <c r="C6" s="185"/>
      <c r="D6" s="186">
        <v>5</v>
      </c>
    </row>
    <row r="7" spans="1:4" ht="15.5" thickTop="1" thickBot="1" x14ac:dyDescent="0.4">
      <c r="A7" s="187" t="s">
        <v>61</v>
      </c>
      <c r="B7" s="188">
        <f>-'Balancete Ajustado'!H74+'Balancete Ajustado'!I86+'Balancete Ajustado'!H70</f>
        <v>-106886.27246575341</v>
      </c>
      <c r="C7" s="185"/>
      <c r="D7" s="186">
        <v>14</v>
      </c>
    </row>
    <row r="8" spans="1:4" ht="15.5" thickTop="1" thickBot="1" x14ac:dyDescent="0.4">
      <c r="A8" s="187" t="s">
        <v>10</v>
      </c>
      <c r="B8" s="188">
        <f>-'Balancete Ajustado'!H110+'Balancete Ajustado'!I113+'Balancete Ajustado'!I109+'Balancete Ajustado'!H109+'Balancete Ajustado'!H106+'Balancete Ajustado'!H98+'Balancete Ajustado'!H91</f>
        <v>180811.56851198632</v>
      </c>
      <c r="C8" s="185"/>
      <c r="D8" s="186">
        <v>15</v>
      </c>
    </row>
    <row r="9" spans="1:4" ht="15.5" thickTop="1" thickBot="1" x14ac:dyDescent="0.4">
      <c r="A9" s="187" t="s">
        <v>254</v>
      </c>
      <c r="B9" s="188">
        <f>-'Balancete Ajustado'!H118+'Balancete Ajustado'!I121</f>
        <v>-2511.5761643835622</v>
      </c>
      <c r="C9" s="189"/>
      <c r="D9" s="184"/>
    </row>
    <row r="10" spans="1:4" ht="15.5" thickTop="1" thickBot="1" x14ac:dyDescent="0.4">
      <c r="A10" s="190" t="s">
        <v>255</v>
      </c>
      <c r="B10" s="191">
        <f>SUM(B5:B9)</f>
        <v>256360.48988184938</v>
      </c>
      <c r="C10" s="192"/>
      <c r="D10" s="193"/>
    </row>
    <row r="11" spans="1:4" ht="15.5" thickTop="1" thickBot="1" x14ac:dyDescent="0.4">
      <c r="A11" s="2" t="s">
        <v>256</v>
      </c>
      <c r="B11" s="194">
        <f>-'Balancete Ajustado'!H115</f>
        <v>-5549.3162053571432</v>
      </c>
      <c r="C11" s="2"/>
      <c r="D11" s="2">
        <v>6</v>
      </c>
    </row>
    <row r="12" spans="1:4" ht="15.5" thickTop="1" thickBot="1" x14ac:dyDescent="0.4">
      <c r="A12" s="195" t="s">
        <v>257</v>
      </c>
      <c r="B12" s="196">
        <f>B10+B11</f>
        <v>250811.17367649224</v>
      </c>
      <c r="C12" s="197"/>
      <c r="D12" s="198"/>
    </row>
    <row r="13" spans="1:4" ht="15.5" thickTop="1" thickBot="1" x14ac:dyDescent="0.4">
      <c r="A13" s="199" t="s">
        <v>258</v>
      </c>
      <c r="B13" s="188">
        <f>-'Balancete Ajustado'!H123-'Balancete Ajustado'!H124</f>
        <v>-6745.8816304347829</v>
      </c>
      <c r="C13" s="185"/>
      <c r="D13" s="184">
        <v>16</v>
      </c>
    </row>
    <row r="14" spans="1:4" ht="15.5" thickTop="1" thickBot="1" x14ac:dyDescent="0.4">
      <c r="A14" s="200" t="s">
        <v>259</v>
      </c>
      <c r="B14" s="201">
        <f>B12+B13</f>
        <v>244065.29204605747</v>
      </c>
      <c r="C14" s="200"/>
      <c r="D14" s="200">
        <v>2</v>
      </c>
    </row>
    <row r="15" spans="1:4" ht="15.5" thickTop="1" thickBot="1" x14ac:dyDescent="0.4">
      <c r="A15" s="2" t="s">
        <v>260</v>
      </c>
      <c r="B15" s="194">
        <f>'IRC Estimado'!B38</f>
        <v>83578.806329890853</v>
      </c>
      <c r="C15" s="2"/>
      <c r="D15" s="2">
        <v>2</v>
      </c>
    </row>
    <row r="16" spans="1:4" ht="15.5" thickTop="1" thickBot="1" x14ac:dyDescent="0.4">
      <c r="A16" s="200" t="s">
        <v>261</v>
      </c>
      <c r="B16" s="201">
        <f>B14+B15</f>
        <v>327644.09837594832</v>
      </c>
      <c r="C16" s="200"/>
      <c r="D16" s="200">
        <v>10</v>
      </c>
    </row>
    <row r="17" ht="15" thickTop="1" x14ac:dyDescent="0.35"/>
  </sheetData>
  <mergeCells count="3">
    <mergeCell ref="A1:A2"/>
    <mergeCell ref="B1:C1"/>
    <mergeCell ref="D1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7</vt:i4>
      </vt:variant>
    </vt:vector>
  </HeadingPairs>
  <TitlesOfParts>
    <vt:vector size="7" baseType="lpstr">
      <vt:lpstr>Mapa Depreciações</vt:lpstr>
      <vt:lpstr>Diferimentos</vt:lpstr>
      <vt:lpstr>Acréscimos</vt:lpstr>
      <vt:lpstr>CMVMC</vt:lpstr>
      <vt:lpstr>IRC Estimado</vt:lpstr>
      <vt:lpstr>Balancete Ajustado</vt:lpstr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Maria Pinto</cp:lastModifiedBy>
  <dcterms:created xsi:type="dcterms:W3CDTF">2016-04-21T18:58:53Z</dcterms:created>
  <dcterms:modified xsi:type="dcterms:W3CDTF">2016-05-06T00:42:36Z</dcterms:modified>
</cp:coreProperties>
</file>