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ilizador\Desktop\Apontamentos sobre  IRS\Apontamentos sobre IRS + Fórmulas\"/>
    </mc:Choice>
  </mc:AlternateContent>
  <bookViews>
    <workbookView xWindow="120" yWindow="108" windowWidth="15192" windowHeight="7932"/>
  </bookViews>
  <sheets>
    <sheet name="Sobretaxa" sheetId="1" r:id="rId1"/>
  </sheets>
  <calcPr calcId="162913"/>
</workbook>
</file>

<file path=xl/calcChain.xml><?xml version="1.0" encoding="utf-8"?>
<calcChain xmlns="http://schemas.openxmlformats.org/spreadsheetml/2006/main">
  <c r="K81" i="1" l="1"/>
  <c r="K80" i="1"/>
  <c r="K79" i="1"/>
  <c r="J81" i="1"/>
  <c r="J80" i="1"/>
  <c r="J79" i="1"/>
  <c r="G74" i="1"/>
  <c r="F29" i="1" l="1"/>
  <c r="H74" i="1"/>
  <c r="E74" i="1" l="1"/>
  <c r="G75" i="1" s="1"/>
  <c r="G14" i="1"/>
  <c r="H14" i="1"/>
  <c r="D13" i="1"/>
  <c r="D15" i="1" s="1"/>
  <c r="H13" i="1"/>
  <c r="H15" i="1" s="1"/>
  <c r="G13" i="1"/>
  <c r="G15" i="1" s="1"/>
  <c r="D14" i="1"/>
  <c r="E13" i="1"/>
  <c r="E15" i="1" s="1"/>
  <c r="H75" i="1"/>
  <c r="E14" i="1"/>
  <c r="I80" i="1"/>
  <c r="H80" i="1"/>
  <c r="H79" i="1"/>
  <c r="I79" i="1"/>
  <c r="E73" i="1"/>
  <c r="I81" i="1" l="1"/>
  <c r="H81" i="1"/>
  <c r="D27" i="1"/>
  <c r="D9" i="1" s="1"/>
  <c r="O62" i="1"/>
  <c r="O61" i="1"/>
  <c r="O52" i="1"/>
  <c r="O65" i="1"/>
  <c r="O64" i="1"/>
  <c r="O63" i="1"/>
  <c r="C55" i="1"/>
  <c r="C54" i="1"/>
  <c r="E9" i="1" l="1"/>
  <c r="H64" i="1" l="1"/>
  <c r="I64" i="1" s="1"/>
  <c r="H63" i="1"/>
  <c r="I63" i="1" s="1"/>
  <c r="H62" i="1"/>
  <c r="I62" i="1" s="1"/>
  <c r="C62" i="1"/>
  <c r="I61" i="1"/>
  <c r="O66" i="1" l="1"/>
  <c r="G27" i="1" l="1"/>
  <c r="H90" i="1" l="1"/>
  <c r="E16" i="1" s="1"/>
  <c r="G70" i="1"/>
  <c r="J82" i="1" s="1"/>
  <c r="G90" i="1"/>
  <c r="D16" i="1" s="1"/>
  <c r="G9" i="1"/>
  <c r="H9" i="1"/>
  <c r="G71" i="1" l="1"/>
  <c r="G72" i="1" s="1"/>
  <c r="D20" i="1"/>
  <c r="H70" i="1" l="1"/>
  <c r="K82" i="1" s="1"/>
  <c r="D21" i="1"/>
  <c r="M57" i="1"/>
  <c r="G88" i="1"/>
  <c r="G16" i="1" s="1"/>
  <c r="H88" i="1"/>
  <c r="H16" i="1" s="1"/>
  <c r="D28" i="1"/>
  <c r="H71" i="1" l="1"/>
  <c r="H72" i="1" s="1"/>
  <c r="M66" i="1" s="1"/>
  <c r="F73" i="1"/>
  <c r="H73" i="1" s="1"/>
  <c r="G20" i="1"/>
  <c r="D10" i="1"/>
  <c r="E10" i="1"/>
  <c r="G73" i="1" l="1"/>
  <c r="P61" i="1"/>
  <c r="P65" i="1"/>
  <c r="P63" i="1"/>
  <c r="P62" i="1"/>
  <c r="P64" i="1"/>
  <c r="I52" i="1"/>
  <c r="P66" i="1" l="1"/>
  <c r="O56" i="1"/>
  <c r="O55" i="1"/>
  <c r="O54" i="1"/>
  <c r="O53" i="1"/>
  <c r="H54" i="1" l="1"/>
  <c r="H53" i="1"/>
  <c r="H55" i="1"/>
  <c r="O57" i="1"/>
  <c r="G22" i="1" l="1"/>
  <c r="G21" i="1"/>
  <c r="I53" i="1"/>
  <c r="N63" i="1" l="1"/>
  <c r="D22" i="1"/>
  <c r="C53" i="1"/>
  <c r="N64" i="1" l="1"/>
  <c r="N62" i="1"/>
  <c r="N65" i="1"/>
  <c r="N61" i="1"/>
  <c r="I55" i="1"/>
  <c r="I54" i="1"/>
  <c r="K73" i="1" l="1"/>
  <c r="J73" i="1" s="1"/>
  <c r="J30" i="1" s="1"/>
  <c r="N66" i="1"/>
  <c r="G28" i="1"/>
  <c r="N54" i="1" l="1"/>
  <c r="P52" i="1"/>
  <c r="P53" i="1"/>
  <c r="P56" i="1"/>
  <c r="P55" i="1"/>
  <c r="P54" i="1"/>
  <c r="N55" i="1"/>
  <c r="N52" i="1"/>
  <c r="N56" i="1"/>
  <c r="N53" i="1"/>
  <c r="J29" i="1"/>
  <c r="H69" i="1" l="1"/>
  <c r="J69" i="1"/>
  <c r="J70" i="1" s="1"/>
  <c r="G24" i="1" s="1"/>
  <c r="H76" i="1" s="1"/>
  <c r="K75" i="1"/>
  <c r="J75" i="1" s="1"/>
  <c r="P57" i="1"/>
  <c r="N57" i="1"/>
  <c r="H10" i="1"/>
  <c r="G10" i="1"/>
  <c r="G26" i="1" l="1"/>
  <c r="E26" i="1"/>
  <c r="H29" i="1"/>
  <c r="E69" i="1" s="1"/>
  <c r="E70" i="1" s="1"/>
  <c r="H30" i="1"/>
  <c r="G69" i="1" l="1"/>
  <c r="D24" i="1"/>
  <c r="G76" i="1" s="1"/>
  <c r="B26" i="1" s="1"/>
  <c r="D26" i="1" l="1"/>
</calcChain>
</file>

<file path=xl/sharedStrings.xml><?xml version="1.0" encoding="utf-8"?>
<sst xmlns="http://schemas.openxmlformats.org/spreadsheetml/2006/main" count="136" uniqueCount="97">
  <si>
    <t xml:space="preserve">Salário mínimo nacional </t>
  </si>
  <si>
    <t xml:space="preserve">RMMG  x 14 </t>
  </si>
  <si>
    <t>Escalões</t>
  </si>
  <si>
    <t>Sobretaxa</t>
  </si>
  <si>
    <t>1º</t>
  </si>
  <si>
    <t>2º</t>
  </si>
  <si>
    <t>3º</t>
  </si>
  <si>
    <t>4º</t>
  </si>
  <si>
    <t>5º</t>
  </si>
  <si>
    <t>Acerto Final Anual</t>
  </si>
  <si>
    <t>Continente</t>
  </si>
  <si>
    <t>Madeira</t>
  </si>
  <si>
    <t>Açores</t>
  </si>
  <si>
    <t xml:space="preserve">Resultado Anual da Sobretaxa </t>
  </si>
  <si>
    <t>Taxa</t>
  </si>
  <si>
    <t>Sobretaxa 
no limite</t>
  </si>
  <si>
    <t>Rendimento 
Liquido</t>
  </si>
  <si>
    <t>N.º de Filhos</t>
  </si>
  <si>
    <t>Valor dos filhos</t>
  </si>
  <si>
    <t>Dedução específica</t>
  </si>
  <si>
    <t>Rendimento Coletável</t>
  </si>
  <si>
    <r>
      <t>Rendimento coletável liquido</t>
    </r>
    <r>
      <rPr>
        <b/>
        <sz val="9"/>
        <color theme="1"/>
        <rFont val="Calibri"/>
        <family val="2"/>
      </rPr>
      <t>→</t>
    </r>
  </si>
  <si>
    <t>Rendimento Total Anual</t>
  </si>
  <si>
    <t>Sujeito Pas. B</t>
  </si>
  <si>
    <t>Sujeito Pas. A</t>
  </si>
  <si>
    <r>
      <rPr>
        <b/>
        <sz val="12"/>
        <color rgb="FF333333"/>
        <rFont val="Georgia"/>
        <family val="1"/>
      </rPr>
      <t>Insira:</t>
    </r>
    <r>
      <rPr>
        <sz val="12"/>
        <color rgb="FF333333"/>
        <rFont val="Georgia"/>
        <family val="1"/>
      </rPr>
      <t xml:space="preserve"> Retenção na fonte </t>
    </r>
    <r>
      <rPr>
        <sz val="12"/>
        <color rgb="FF333333"/>
        <rFont val="Calibri"/>
        <family val="2"/>
      </rPr>
      <t>→</t>
    </r>
  </si>
  <si>
    <t>Rendimentos de categoria A e/ou pensões</t>
  </si>
  <si>
    <t>Até 7.091</t>
  </si>
  <si>
    <t>Mais de 7.091 até 20.261</t>
  </si>
  <si>
    <t>Mais de 20.261 até 40.522</t>
  </si>
  <si>
    <t>Mais de 40.522até 80.640</t>
  </si>
  <si>
    <t>Superior a 80.640</t>
  </si>
  <si>
    <t>Fim da Sobretaxa</t>
  </si>
  <si>
    <t>2º escalão - até 31 de março de 2017</t>
  </si>
  <si>
    <t>3º escalão - até 30 de junho de 2017</t>
  </si>
  <si>
    <t>4º escalão - até 30 de setembro de 2017</t>
  </si>
  <si>
    <t>5º escalão - até 30 de novembro de 2017</t>
  </si>
  <si>
    <t>Número de meses  →</t>
  </si>
  <si>
    <t>Rendimento coletável (Euros)</t>
  </si>
  <si>
    <t>Taxas (%)</t>
  </si>
  <si>
    <t>2º Escalão-De mais de 7.091 até 20.261</t>
  </si>
  <si>
    <t>3º Escalão-De mais de 20.261 até 40.522</t>
  </si>
  <si>
    <t>4º Escalão-De mais de 40.522 até 80.640</t>
  </si>
  <si>
    <t>5º Escalão-Superior a 80.640</t>
  </si>
  <si>
    <t>Taxas 2017</t>
  </si>
  <si>
    <t>Rendimento Anual</t>
  </si>
  <si>
    <r>
      <rPr>
        <b/>
        <sz val="12"/>
        <color rgb="FF333333"/>
        <rFont val="Georgia"/>
        <family val="1"/>
      </rPr>
      <t xml:space="preserve">Insira: </t>
    </r>
    <r>
      <rPr>
        <sz val="12"/>
        <color rgb="FF333333"/>
        <rFont val="Georgia"/>
        <family val="1"/>
      </rPr>
      <t>Rendimento Mensal Bruto  dos sujeitos passivos (Cat. A-Trabalho)</t>
    </r>
    <r>
      <rPr>
        <sz val="12"/>
        <color rgb="FF333333"/>
        <rFont val="Calibri"/>
        <family val="2"/>
      </rPr>
      <t>→</t>
    </r>
  </si>
  <si>
    <r>
      <rPr>
        <b/>
        <sz val="12"/>
        <color rgb="FF333333"/>
        <rFont val="Georgia"/>
        <family val="1"/>
      </rPr>
      <t xml:space="preserve">Insira: </t>
    </r>
    <r>
      <rPr>
        <sz val="12"/>
        <color rgb="FF333333"/>
        <rFont val="Georgia"/>
        <family val="1"/>
      </rPr>
      <t>Rendimento Mensal Bruto dos sujeitos passivos (Cat. H-Pensões)</t>
    </r>
    <r>
      <rPr>
        <sz val="12"/>
        <color rgb="FF333333"/>
        <rFont val="Calibri"/>
        <family val="2"/>
      </rPr>
      <t>→</t>
    </r>
  </si>
  <si>
    <t>Rendimento Anual Bruto dos Sujeitos Passivos (Cat. A-Trabalho)</t>
  </si>
  <si>
    <t>Deduções Específicas dos sujeitos passivos (Cat. A-Trabalho)</t>
  </si>
  <si>
    <t>Rendimento Anual Bruto dos Sujeitos Passivos (Cat. H-Pensões)</t>
  </si>
  <si>
    <t>Deduções Específicas dos sujeitos passivos  (Cat. H-Pensões)</t>
  </si>
  <si>
    <r>
      <rPr>
        <b/>
        <sz val="12"/>
        <color rgb="FF333333"/>
        <rFont val="Georgia"/>
        <family val="1"/>
      </rPr>
      <t>Insira:</t>
    </r>
    <r>
      <rPr>
        <sz val="12"/>
        <color rgb="FF333333"/>
        <rFont val="Georgia"/>
        <family val="1"/>
      </rPr>
      <t xml:space="preserve"> Descontos Obrigatórios para a Segurança Socil  (Cat. A-Trabalho)</t>
    </r>
    <r>
      <rPr>
        <sz val="12"/>
        <color rgb="FF333333"/>
        <rFont val="Calibri"/>
        <family val="2"/>
      </rPr>
      <t>→</t>
    </r>
  </si>
  <si>
    <r>
      <rPr>
        <b/>
        <sz val="12"/>
        <color rgb="FF333333"/>
        <rFont val="Georgia"/>
        <family val="1"/>
      </rPr>
      <t>Insira:</t>
    </r>
    <r>
      <rPr>
        <sz val="12"/>
        <color rgb="FF333333"/>
        <rFont val="Georgia"/>
        <family val="1"/>
      </rPr>
      <t xml:space="preserve"> Descontos Obrigatórios para a Segurança Socil (Cat. H-Pensões)</t>
    </r>
    <r>
      <rPr>
        <sz val="12"/>
        <color rgb="FF333333"/>
        <rFont val="Calibri"/>
        <family val="2"/>
      </rPr>
      <t>→</t>
    </r>
  </si>
  <si>
    <t>Sujeito Pas.B</t>
  </si>
  <si>
    <t>Taxas 2016</t>
  </si>
  <si>
    <t>Rendimento coletável 2017</t>
  </si>
  <si>
    <t>Remuneração Coletável 2017</t>
  </si>
  <si>
    <t>Rendimento coletável 2016</t>
  </si>
  <si>
    <t>Remuneração Coletável 2016</t>
  </si>
  <si>
    <t>Até 7.035</t>
  </si>
  <si>
    <t>Mais de 7.035 até 20.100</t>
  </si>
  <si>
    <t>Mais de 20.100 até 40.200</t>
  </si>
  <si>
    <t>Mais de 40.200até 80.000</t>
  </si>
  <si>
    <t>Superior a 80.000</t>
  </si>
  <si>
    <t xml:space="preserve">Sobretaxa do IRS </t>
  </si>
  <si>
    <r>
      <rPr>
        <b/>
        <sz val="12"/>
        <color rgb="FF333333"/>
        <rFont val="Georgia"/>
        <family val="1"/>
      </rPr>
      <t>Insira:</t>
    </r>
    <r>
      <rPr>
        <sz val="12"/>
        <color rgb="FF333333"/>
        <rFont val="Georgia"/>
        <family val="1"/>
      </rPr>
      <t xml:space="preserve"> Perdas a recuperar</t>
    </r>
    <r>
      <rPr>
        <sz val="12"/>
        <color rgb="FF333333"/>
        <rFont val="Calibri"/>
        <family val="2"/>
      </rPr>
      <t>→</t>
    </r>
  </si>
  <si>
    <r>
      <rPr>
        <b/>
        <sz val="12"/>
        <color rgb="FF333333"/>
        <rFont val="Georgia"/>
        <family val="1"/>
      </rPr>
      <t>Insira:</t>
    </r>
    <r>
      <rPr>
        <sz val="12"/>
        <color rgb="FF333333"/>
        <rFont val="Georgia"/>
        <family val="1"/>
      </rPr>
      <t xml:space="preserve"> Abatimentos</t>
    </r>
    <r>
      <rPr>
        <sz val="12"/>
        <color rgb="FF333333"/>
        <rFont val="Calibri"/>
        <family val="2"/>
      </rPr>
      <t>→</t>
    </r>
  </si>
  <si>
    <r>
      <rPr>
        <b/>
        <sz val="12"/>
        <color rgb="FF333333"/>
        <rFont val="Georgia"/>
        <family val="1"/>
      </rPr>
      <t>Insira:</t>
    </r>
    <r>
      <rPr>
        <sz val="12"/>
        <color rgb="FF333333"/>
        <rFont val="Georgia"/>
        <family val="1"/>
      </rPr>
      <t xml:space="preserve"> Quociente Rendimentos Anos Anteriores</t>
    </r>
    <r>
      <rPr>
        <sz val="12"/>
        <color rgb="FF333333"/>
        <rFont val="Calibri"/>
        <family val="2"/>
      </rPr>
      <t>→</t>
    </r>
    <r>
      <rPr>
        <sz val="12"/>
        <color rgb="FF333333"/>
        <rFont val="Georgia"/>
        <family val="1"/>
      </rPr>
      <t xml:space="preserve"> </t>
    </r>
  </si>
  <si>
    <t xml:space="preserve">Retenção na fonte da Sobretaxa Mensal </t>
  </si>
  <si>
    <t>2017 ?</t>
  </si>
  <si>
    <t>Rendimento Coletável →</t>
  </si>
  <si>
    <t>RMMG  530,00€  x 14 →</t>
  </si>
  <si>
    <t>Insira o número de filhos →</t>
  </si>
  <si>
    <t>Salário Mínimo Nacional Garantido →</t>
  </si>
  <si>
    <r>
      <t xml:space="preserve">Rendimento final do agregado familiar </t>
    </r>
    <r>
      <rPr>
        <i/>
        <sz val="12"/>
        <color rgb="FF333333"/>
        <rFont val="Calibri"/>
        <family val="2"/>
      </rPr>
      <t>→</t>
    </r>
  </si>
  <si>
    <r>
      <t xml:space="preserve">Insira a retenção na fonte anual da sobretaxa </t>
    </r>
    <r>
      <rPr>
        <i/>
        <sz val="12"/>
        <color rgb="FF333333"/>
        <rFont val="Georgia"/>
        <family val="1"/>
      </rPr>
      <t>→</t>
    </r>
  </si>
  <si>
    <t xml:space="preserve">Rendimento anual para calcular a sobretaxa </t>
  </si>
  <si>
    <t xml:space="preserve">Rendimento mensal para calcular a sobretaxa </t>
  </si>
  <si>
    <t>Rendimento mensal</t>
  </si>
  <si>
    <r>
      <rPr>
        <sz val="11"/>
        <color theme="1"/>
        <rFont val="Calibri"/>
        <family val="2"/>
      </rPr>
      <t>←</t>
    </r>
    <r>
      <rPr>
        <sz val="11"/>
        <color theme="1"/>
        <rFont val="Calibri"/>
        <family val="2"/>
        <scheme val="minor"/>
      </rPr>
      <t>Não escreva nas Células com esta côr</t>
    </r>
  </si>
  <si>
    <r>
      <rPr>
        <sz val="11"/>
        <color theme="1"/>
        <rFont val="Calibri"/>
        <family val="2"/>
      </rPr>
      <t>←E</t>
    </r>
    <r>
      <rPr>
        <sz val="11"/>
        <color theme="1"/>
        <rFont val="Calibri"/>
        <family val="2"/>
        <scheme val="minor"/>
      </rPr>
      <t>screva  nas Células com esta côr</t>
    </r>
  </si>
  <si>
    <r>
      <rPr>
        <b/>
        <sz val="12"/>
        <color rgb="FF333333"/>
        <rFont val="Georgia"/>
        <family val="1"/>
      </rPr>
      <t>Insira:</t>
    </r>
    <r>
      <rPr>
        <sz val="12"/>
        <color rgb="FF333333"/>
        <rFont val="Georgia"/>
        <family val="1"/>
      </rPr>
      <t xml:space="preserve"> Descontos Obrigatórios para subsistema saúde ADSE SAD </t>
    </r>
    <r>
      <rPr>
        <sz val="12"/>
        <color rgb="FF333333"/>
        <rFont val="Calibri"/>
        <family val="2"/>
      </rPr>
      <t>→</t>
    </r>
  </si>
  <si>
    <t>Resultado Final da Sobretaxa →</t>
  </si>
  <si>
    <t>TRIBUTAÇÃO SEPARADA: Casados, Unidos de Facto (Suj. Passivo A)</t>
  </si>
  <si>
    <t>TRIBUTAÇÃO SEPARADA: Casados, Unidos de Facto (Suj. Passivo B)</t>
  </si>
  <si>
    <t>TRIBUTAÇÃO CONJUNTA: Casados, Unidos de Facto (Suj. Passivo A + B)</t>
  </si>
  <si>
    <t>TRIBUTAÇÃO DOS: Não Casados</t>
  </si>
  <si>
    <t>Indique ali se pretende a tributação conjunta ou separada →</t>
  </si>
  <si>
    <t>SP B</t>
  </si>
  <si>
    <t xml:space="preserve">SP A </t>
  </si>
  <si>
    <t>2º Escalão-De mais de 7.035 até 20.100</t>
  </si>
  <si>
    <t>3º Escalão-De mais de 20.100 até 40.200</t>
  </si>
  <si>
    <t>4º Escalão-De mais de 40.200até 80.000</t>
  </si>
  <si>
    <t>5º Escalão-Superior a 80.000</t>
  </si>
  <si>
    <r>
      <t xml:space="preserve">Fim da Sobretaxa </t>
    </r>
    <r>
      <rPr>
        <b/>
        <sz val="11"/>
        <color rgb="FFFF0000"/>
        <rFont val="Calibri"/>
        <family val="2"/>
        <scheme val="minor"/>
      </rPr>
      <t>(Proposta)</t>
    </r>
  </si>
  <si>
    <r>
      <t xml:space="preserve">Sobretaxa do IRS </t>
    </r>
    <r>
      <rPr>
        <b/>
        <sz val="11"/>
        <color rgb="FFFF0000"/>
        <rFont val="Calibri"/>
        <family val="2"/>
        <scheme val="minor"/>
      </rPr>
      <t xml:space="preserve">(Proposta)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</si>
</sst>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#,##0.00\ &quot;€&quot;;[Red]\-#,##0.00\ &quot;€&quot;"/>
    <numFmt numFmtId="164" formatCode="_-* #,##0.00\ [$€-816]_-;\-* #,##0.00\ [$€-816]_-;_-* &quot;-&quot;??\ [$€-816]_-;_-@_-"/>
    <numFmt numFmtId="165" formatCode="_-* #,##0.0000\ [$€-816]_-;\-* #,##0.0000\ [$€-816]_-;_-* &quot;-&quot;????\ [$€-816]_-;_-@_-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B050"/>
      <name val="Calibri"/>
      <family val="2"/>
      <scheme val="minor"/>
    </font>
    <font>
      <sz val="12"/>
      <color rgb="FF333333"/>
      <name val="Georgia"/>
      <family val="1"/>
    </font>
    <font>
      <b/>
      <sz val="12"/>
      <color rgb="FF333333"/>
      <name val="Georgia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Arial Black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0"/>
      <color theme="1"/>
      <name val="Georgia"/>
      <family val="1"/>
    </font>
    <font>
      <b/>
      <sz val="9"/>
      <color theme="1"/>
      <name val="Arial"/>
      <family val="2"/>
    </font>
    <font>
      <b/>
      <sz val="9"/>
      <color theme="1"/>
      <name val="Calibri"/>
      <family val="2"/>
    </font>
    <font>
      <b/>
      <sz val="10"/>
      <color rgb="FF0000FF"/>
      <name val="Calibri"/>
      <family val="2"/>
      <scheme val="minor"/>
    </font>
    <font>
      <sz val="12"/>
      <color rgb="FF333333"/>
      <name val="Calibri"/>
      <family val="2"/>
    </font>
    <font>
      <b/>
      <sz val="9"/>
      <color rgb="FF0000FF"/>
      <name val="Times New Roman"/>
      <family val="1"/>
    </font>
    <font>
      <b/>
      <sz val="12"/>
      <color rgb="FF002060"/>
      <name val="Georgia"/>
      <family val="1"/>
    </font>
    <font>
      <b/>
      <sz val="12"/>
      <color rgb="FFC00000"/>
      <name val="Calibri"/>
      <family val="2"/>
      <scheme val="minor"/>
    </font>
    <font>
      <b/>
      <sz val="14"/>
      <color rgb="FF0000FF"/>
      <name val="Calibri"/>
      <family val="2"/>
      <scheme val="minor"/>
    </font>
    <font>
      <sz val="12"/>
      <color rgb="FF0000FF"/>
      <name val="Georgia"/>
      <family val="1"/>
    </font>
    <font>
      <i/>
      <sz val="12"/>
      <color rgb="FF333333"/>
      <name val="Georgia"/>
      <family val="1"/>
    </font>
    <font>
      <i/>
      <sz val="12"/>
      <color rgb="FF333333"/>
      <name val="Calibri"/>
      <family val="2"/>
    </font>
    <font>
      <i/>
      <sz val="12"/>
      <color theme="1"/>
      <name val="Georgia"/>
      <family val="1"/>
    </font>
    <font>
      <i/>
      <sz val="12"/>
      <color rgb="FF0000FF"/>
      <name val="Georgia"/>
      <family val="1"/>
    </font>
    <font>
      <b/>
      <i/>
      <sz val="12"/>
      <color rgb="FFFF0000"/>
      <name val="Georgia"/>
      <family val="1"/>
    </font>
    <font>
      <b/>
      <sz val="12"/>
      <color rgb="FFFF0000"/>
      <name val="Calibri"/>
      <family val="2"/>
      <scheme val="minor"/>
    </font>
    <font>
      <b/>
      <i/>
      <sz val="11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darkTrellis">
        <fgColor theme="3" tint="0.59996337778862885"/>
        <bgColor theme="9" tint="0.5999938962981048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ck">
        <color auto="1"/>
      </top>
      <bottom/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ck">
        <color auto="1"/>
      </bottom>
      <diagonal/>
    </border>
    <border>
      <left/>
      <right style="double">
        <color auto="1"/>
      </right>
      <top style="thick">
        <color auto="1"/>
      </top>
      <bottom style="thick">
        <color auto="1"/>
      </bottom>
      <diagonal/>
    </border>
    <border>
      <left/>
      <right style="double">
        <color auto="1"/>
      </right>
      <top style="thick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medium">
        <color indexed="64"/>
      </bottom>
      <diagonal/>
    </border>
    <border>
      <left/>
      <right style="double">
        <color auto="1"/>
      </right>
      <top style="double">
        <color auto="1"/>
      </top>
      <bottom style="medium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/>
      <right style="double">
        <color auto="1"/>
      </right>
      <top style="thick">
        <color auto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double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double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 style="thick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175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center"/>
    </xf>
    <xf numFmtId="8" fontId="0" fillId="0" borderId="0" xfId="0" applyNumberFormat="1"/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164" fontId="0" fillId="2" borderId="6" xfId="0" applyNumberFormat="1" applyFill="1" applyBorder="1"/>
    <xf numFmtId="10" fontId="9" fillId="0" borderId="7" xfId="0" applyNumberFormat="1" applyFont="1" applyBorder="1" applyAlignment="1">
      <alignment horizontal="center" vertical="center" wrapText="1"/>
    </xf>
    <xf numFmtId="0" fontId="2" fillId="0" borderId="0" xfId="0" applyFont="1"/>
    <xf numFmtId="0" fontId="7" fillId="4" borderId="5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164" fontId="0" fillId="4" borderId="8" xfId="0" applyNumberFormat="1" applyFill="1" applyBorder="1"/>
    <xf numFmtId="164" fontId="3" fillId="4" borderId="8" xfId="0" applyNumberFormat="1" applyFont="1" applyFill="1" applyBorder="1"/>
    <xf numFmtId="0" fontId="0" fillId="4" borderId="8" xfId="0" applyFill="1" applyBorder="1"/>
    <xf numFmtId="10" fontId="0" fillId="3" borderId="1" xfId="0" applyNumberFormat="1" applyFill="1" applyBorder="1"/>
    <xf numFmtId="10" fontId="1" fillId="3" borderId="1" xfId="0" applyNumberFormat="1" applyFont="1" applyFill="1" applyBorder="1" applyAlignment="1">
      <alignment horizontal="center" vertical="center"/>
    </xf>
    <xf numFmtId="10" fontId="0" fillId="3" borderId="1" xfId="0" applyNumberFormat="1" applyFont="1" applyFill="1" applyBorder="1" applyAlignment="1">
      <alignment horizontal="center" vertical="center"/>
    </xf>
    <xf numFmtId="10" fontId="8" fillId="3" borderId="1" xfId="1" applyNumberFormat="1" applyFont="1" applyFill="1" applyBorder="1"/>
    <xf numFmtId="10" fontId="1" fillId="3" borderId="1" xfId="1" applyNumberFormat="1" applyFont="1" applyFill="1" applyBorder="1"/>
    <xf numFmtId="164" fontId="10" fillId="4" borderId="8" xfId="0" applyNumberFormat="1" applyFont="1" applyFill="1" applyBorder="1" applyAlignment="1">
      <alignment horizontal="center" vertical="center"/>
    </xf>
    <xf numFmtId="164" fontId="11" fillId="2" borderId="11" xfId="0" applyNumberFormat="1" applyFont="1" applyFill="1" applyBorder="1"/>
    <xf numFmtId="164" fontId="0" fillId="4" borderId="12" xfId="0" applyNumberFormat="1" applyFill="1" applyBorder="1"/>
    <xf numFmtId="164" fontId="0" fillId="0" borderId="0" xfId="0" applyNumberFormat="1" applyAlignment="1">
      <alignment horizontal="center" vertical="center"/>
    </xf>
    <xf numFmtId="10" fontId="10" fillId="3" borderId="10" xfId="0" applyNumberFormat="1" applyFont="1" applyFill="1" applyBorder="1" applyAlignment="1">
      <alignment horizontal="center" vertical="center"/>
    </xf>
    <xf numFmtId="164" fontId="11" fillId="0" borderId="0" xfId="0" applyNumberFormat="1" applyFont="1"/>
    <xf numFmtId="0" fontId="0" fillId="4" borderId="9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4" fontId="0" fillId="2" borderId="16" xfId="0" applyNumberFormat="1" applyFill="1" applyBorder="1"/>
    <xf numFmtId="164" fontId="0" fillId="2" borderId="16" xfId="0" applyNumberFormat="1" applyFont="1" applyFill="1" applyBorder="1"/>
    <xf numFmtId="0" fontId="0" fillId="0" borderId="0" xfId="0"/>
    <xf numFmtId="164" fontId="0" fillId="2" borderId="18" xfId="0" applyNumberFormat="1" applyFont="1" applyFill="1" applyBorder="1"/>
    <xf numFmtId="10" fontId="0" fillId="3" borderId="3" xfId="0" applyNumberFormat="1" applyFill="1" applyBorder="1"/>
    <xf numFmtId="10" fontId="0" fillId="3" borderId="3" xfId="0" applyNumberFormat="1" applyFont="1" applyFill="1" applyBorder="1" applyAlignment="1">
      <alignment horizontal="center" vertical="center"/>
    </xf>
    <xf numFmtId="10" fontId="8" fillId="3" borderId="3" xfId="1" applyNumberFormat="1" applyFont="1" applyFill="1" applyBorder="1"/>
    <xf numFmtId="0" fontId="17" fillId="0" borderId="0" xfId="0" applyFont="1" applyAlignment="1">
      <alignment vertical="center"/>
    </xf>
    <xf numFmtId="164" fontId="0" fillId="2" borderId="28" xfId="0" applyNumberFormat="1" applyFill="1" applyBorder="1"/>
    <xf numFmtId="0" fontId="1" fillId="0" borderId="0" xfId="0" applyFont="1"/>
    <xf numFmtId="0" fontId="0" fillId="0" borderId="0" xfId="0" applyProtection="1">
      <protection locked="0"/>
    </xf>
    <xf numFmtId="0" fontId="0" fillId="0" borderId="0" xfId="0"/>
    <xf numFmtId="0" fontId="1" fillId="2" borderId="10" xfId="0" applyFont="1" applyFill="1" applyBorder="1" applyAlignment="1">
      <alignment horizontal="center" vertical="center"/>
    </xf>
    <xf numFmtId="0" fontId="0" fillId="2" borderId="31" xfId="0" applyNumberFormat="1" applyFill="1" applyBorder="1" applyAlignment="1" applyProtection="1">
      <alignment horizontal="center" vertical="center"/>
      <protection locked="0"/>
    </xf>
    <xf numFmtId="0" fontId="0" fillId="2" borderId="32" xfId="0" applyNumberFormat="1" applyFill="1" applyBorder="1" applyAlignment="1" applyProtection="1">
      <alignment horizontal="center" vertical="center"/>
      <protection locked="0"/>
    </xf>
    <xf numFmtId="164" fontId="11" fillId="2" borderId="33" xfId="0" applyNumberFormat="1" applyFont="1" applyFill="1" applyBorder="1"/>
    <xf numFmtId="164" fontId="1" fillId="0" borderId="0" xfId="0" applyNumberFormat="1" applyFont="1"/>
    <xf numFmtId="0" fontId="1" fillId="6" borderId="1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/>
    <xf numFmtId="0" fontId="0" fillId="2" borderId="0" xfId="0" applyFill="1"/>
    <xf numFmtId="10" fontId="0" fillId="0" borderId="0" xfId="0" applyNumberFormat="1"/>
    <xf numFmtId="164" fontId="0" fillId="0" borderId="1" xfId="0" applyNumberFormat="1" applyBorder="1"/>
    <xf numFmtId="0" fontId="0" fillId="0" borderId="1" xfId="0" applyBorder="1"/>
    <xf numFmtId="10" fontId="1" fillId="3" borderId="2" xfId="0" applyNumberFormat="1" applyFont="1" applyFill="1" applyBorder="1" applyAlignment="1">
      <alignment horizontal="center" vertical="center"/>
    </xf>
    <xf numFmtId="10" fontId="9" fillId="0" borderId="0" xfId="0" applyNumberFormat="1" applyFont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right" vertical="center" wrapText="1"/>
    </xf>
    <xf numFmtId="164" fontId="15" fillId="0" borderId="10" xfId="0" applyNumberFormat="1" applyFont="1" applyBorder="1" applyAlignment="1">
      <alignment horizontal="center" vertical="center"/>
    </xf>
    <xf numFmtId="164" fontId="10" fillId="0" borderId="0" xfId="0" applyNumberFormat="1" applyFont="1"/>
    <xf numFmtId="10" fontId="0" fillId="0" borderId="1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0" fontId="0" fillId="0" borderId="35" xfId="0" applyBorder="1"/>
    <xf numFmtId="164" fontId="0" fillId="0" borderId="0" xfId="0" applyNumberFormat="1" applyAlignment="1">
      <alignment horizontal="left" vertical="center"/>
    </xf>
    <xf numFmtId="164" fontId="11" fillId="2" borderId="16" xfId="0" applyNumberFormat="1" applyFont="1" applyFill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0" fillId="0" borderId="37" xfId="0" applyBorder="1"/>
    <xf numFmtId="0" fontId="0" fillId="0" borderId="38" xfId="0" applyBorder="1"/>
    <xf numFmtId="0" fontId="0" fillId="0" borderId="37" xfId="0" applyBorder="1" applyAlignment="1">
      <alignment vertical="center" wrapText="1"/>
    </xf>
    <xf numFmtId="10" fontId="0" fillId="0" borderId="37" xfId="0" applyNumberFormat="1" applyBorder="1" applyAlignment="1">
      <alignment horizontal="center" vertical="center" wrapText="1"/>
    </xf>
    <xf numFmtId="0" fontId="0" fillId="0" borderId="38" xfId="0" applyBorder="1" applyAlignment="1">
      <alignment vertical="center" wrapText="1"/>
    </xf>
    <xf numFmtId="10" fontId="0" fillId="0" borderId="38" xfId="0" applyNumberForma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7" xfId="0" applyFont="1" applyBorder="1" applyAlignment="1">
      <alignment vertical="center" wrapText="1"/>
    </xf>
    <xf numFmtId="0" fontId="0" fillId="7" borderId="0" xfId="0" applyFill="1"/>
    <xf numFmtId="164" fontId="0" fillId="8" borderId="16" xfId="0" applyNumberFormat="1" applyFill="1" applyBorder="1" applyProtection="1">
      <protection locked="0"/>
    </xf>
    <xf numFmtId="164" fontId="0" fillId="8" borderId="17" xfId="0" applyNumberFormat="1" applyFill="1" applyBorder="1" applyProtection="1">
      <protection locked="0"/>
    </xf>
    <xf numFmtId="0" fontId="0" fillId="8" borderId="16" xfId="0" applyNumberFormat="1" applyFill="1" applyBorder="1" applyAlignment="1" applyProtection="1">
      <alignment horizontal="center" vertical="center"/>
      <protection locked="0"/>
    </xf>
    <xf numFmtId="164" fontId="1" fillId="8" borderId="0" xfId="0" applyNumberFormat="1" applyFont="1" applyFill="1" applyAlignment="1">
      <alignment horizontal="center" vertical="center"/>
    </xf>
    <xf numFmtId="164" fontId="0" fillId="2" borderId="42" xfId="0" applyNumberFormat="1" applyFill="1" applyBorder="1"/>
    <xf numFmtId="164" fontId="0" fillId="4" borderId="33" xfId="0" applyNumberFormat="1" applyFill="1" applyBorder="1"/>
    <xf numFmtId="164" fontId="0" fillId="2" borderId="43" xfId="0" applyNumberFormat="1" applyFill="1" applyBorder="1"/>
    <xf numFmtId="0" fontId="11" fillId="0" borderId="15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right"/>
    </xf>
    <xf numFmtId="0" fontId="1" fillId="0" borderId="39" xfId="0" applyFont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164" fontId="0" fillId="0" borderId="1" xfId="0" applyNumberFormat="1" applyBorder="1"/>
    <xf numFmtId="0" fontId="0" fillId="0" borderId="12" xfId="0" applyBorder="1"/>
    <xf numFmtId="164" fontId="0" fillId="2" borderId="58" xfId="0" applyNumberFormat="1" applyFont="1" applyFill="1" applyBorder="1"/>
    <xf numFmtId="164" fontId="0" fillId="2" borderId="41" xfId="0" applyNumberFormat="1" applyFont="1" applyFill="1" applyBorder="1"/>
    <xf numFmtId="164" fontId="0" fillId="2" borderId="41" xfId="0" applyNumberFormat="1" applyFill="1" applyBorder="1"/>
    <xf numFmtId="0" fontId="0" fillId="8" borderId="41" xfId="0" applyNumberFormat="1" applyFill="1" applyBorder="1" applyAlignment="1" applyProtection="1">
      <alignment horizontal="center" vertical="center"/>
      <protection locked="0"/>
    </xf>
    <xf numFmtId="164" fontId="0" fillId="8" borderId="41" xfId="0" applyNumberFormat="1" applyFill="1" applyBorder="1" applyProtection="1">
      <protection locked="0"/>
    </xf>
    <xf numFmtId="164" fontId="0" fillId="2" borderId="59" xfId="0" applyNumberFormat="1" applyFill="1" applyBorder="1"/>
    <xf numFmtId="0" fontId="0" fillId="0" borderId="8" xfId="0" applyBorder="1"/>
    <xf numFmtId="0" fontId="0" fillId="0" borderId="9" xfId="0" applyBorder="1"/>
    <xf numFmtId="10" fontId="0" fillId="0" borderId="61" xfId="0" applyNumberFormat="1" applyFill="1" applyBorder="1" applyAlignment="1">
      <alignment horizontal="center" vertical="center"/>
    </xf>
    <xf numFmtId="10" fontId="0" fillId="3" borderId="10" xfId="0" applyNumberFormat="1" applyFill="1" applyBorder="1" applyAlignment="1">
      <alignment horizontal="center" vertical="center"/>
    </xf>
    <xf numFmtId="10" fontId="0" fillId="0" borderId="64" xfId="0" applyNumberFormat="1" applyBorder="1" applyAlignment="1">
      <alignment horizontal="center" vertical="center" wrapText="1"/>
    </xf>
    <xf numFmtId="10" fontId="0" fillId="0" borderId="65" xfId="0" applyNumberFormat="1" applyBorder="1" applyAlignment="1">
      <alignment horizontal="center" vertical="center" wrapText="1"/>
    </xf>
    <xf numFmtId="10" fontId="0" fillId="0" borderId="66" xfId="0" applyNumberFormat="1" applyBorder="1" applyAlignment="1">
      <alignment horizontal="center" vertical="center" wrapText="1"/>
    </xf>
    <xf numFmtId="10" fontId="0" fillId="0" borderId="67" xfId="0" applyNumberFormat="1" applyBorder="1" applyAlignment="1">
      <alignment horizontal="center" vertical="center" wrapText="1"/>
    </xf>
    <xf numFmtId="0" fontId="1" fillId="0" borderId="40" xfId="0" applyFont="1" applyBorder="1" applyAlignment="1">
      <alignment horizontal="center" wrapText="1"/>
    </xf>
    <xf numFmtId="0" fontId="0" fillId="0" borderId="0" xfId="0" applyFont="1"/>
    <xf numFmtId="164" fontId="11" fillId="2" borderId="41" xfId="0" applyNumberFormat="1" applyFont="1" applyFill="1" applyBorder="1"/>
    <xf numFmtId="164" fontId="27" fillId="2" borderId="41" xfId="0" applyNumberFormat="1" applyFont="1" applyFill="1" applyBorder="1" applyAlignment="1">
      <alignment horizontal="center" vertical="center"/>
    </xf>
    <xf numFmtId="164" fontId="27" fillId="2" borderId="16" xfId="0" applyNumberFormat="1" applyFont="1" applyFill="1" applyBorder="1" applyAlignment="1">
      <alignment horizontal="center" vertical="center"/>
    </xf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8" fillId="0" borderId="41" xfId="0" applyFont="1" applyBorder="1" applyAlignment="1">
      <alignment horizontal="center" vertical="center"/>
    </xf>
    <xf numFmtId="164" fontId="0" fillId="0" borderId="60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6" fillId="0" borderId="54" xfId="0" applyFont="1" applyBorder="1" applyAlignment="1">
      <alignment horizontal="center" vertical="center" textRotation="89" wrapText="1"/>
    </xf>
    <xf numFmtId="0" fontId="6" fillId="0" borderId="46" xfId="0" applyFont="1" applyBorder="1" applyAlignment="1">
      <alignment horizontal="center" vertical="center" textRotation="89" wrapText="1"/>
    </xf>
    <xf numFmtId="0" fontId="0" fillId="0" borderId="49" xfId="0" applyBorder="1" applyAlignment="1">
      <alignment horizontal="center"/>
    </xf>
    <xf numFmtId="0" fontId="0" fillId="0" borderId="55" xfId="0" applyBorder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2" xfId="0" applyBorder="1" applyAlignment="1">
      <alignment horizontal="center"/>
    </xf>
    <xf numFmtId="0" fontId="19" fillId="0" borderId="54" xfId="0" applyFont="1" applyBorder="1" applyAlignment="1">
      <alignment horizontal="left" vertical="center" textRotation="89" wrapText="1"/>
    </xf>
    <xf numFmtId="0" fontId="19" fillId="0" borderId="49" xfId="0" applyFont="1" applyBorder="1" applyAlignment="1">
      <alignment horizontal="left" vertical="center" textRotation="89" wrapText="1"/>
    </xf>
    <xf numFmtId="0" fontId="19" fillId="0" borderId="46" xfId="0" applyFont="1" applyBorder="1" applyAlignment="1">
      <alignment horizontal="left" vertical="center" textRotation="89" wrapText="1"/>
    </xf>
    <xf numFmtId="0" fontId="19" fillId="0" borderId="55" xfId="0" applyFont="1" applyBorder="1" applyAlignment="1">
      <alignment horizontal="left" vertical="center" textRotation="89" wrapText="1"/>
    </xf>
    <xf numFmtId="0" fontId="19" fillId="0" borderId="50" xfId="0" applyFont="1" applyBorder="1" applyAlignment="1">
      <alignment horizontal="left" vertical="center" textRotation="89"/>
    </xf>
    <xf numFmtId="0" fontId="19" fillId="0" borderId="49" xfId="0" applyFont="1" applyBorder="1" applyAlignment="1">
      <alignment horizontal="left" vertical="center" textRotation="89"/>
    </xf>
    <xf numFmtId="0" fontId="19" fillId="0" borderId="46" xfId="0" applyFont="1" applyBorder="1" applyAlignment="1">
      <alignment horizontal="left" vertical="center" textRotation="89"/>
    </xf>
    <xf numFmtId="0" fontId="4" fillId="0" borderId="23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24" fillId="0" borderId="23" xfId="0" applyFont="1" applyBorder="1" applyAlignment="1">
      <alignment horizontal="right"/>
    </xf>
    <xf numFmtId="0" fontId="24" fillId="0" borderId="13" xfId="0" applyFont="1" applyBorder="1" applyAlignment="1">
      <alignment horizontal="right"/>
    </xf>
    <xf numFmtId="0" fontId="1" fillId="0" borderId="1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2" fillId="0" borderId="62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6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left"/>
    </xf>
    <xf numFmtId="0" fontId="4" fillId="0" borderId="26" xfId="0" applyFont="1" applyBorder="1" applyAlignment="1">
      <alignment horizontal="left"/>
    </xf>
    <xf numFmtId="0" fontId="26" fillId="0" borderId="23" xfId="0" applyFont="1" applyBorder="1" applyAlignment="1">
      <alignment horizontal="right" vertical="center"/>
    </xf>
    <xf numFmtId="0" fontId="26" fillId="0" borderId="13" xfId="0" applyFont="1" applyBorder="1" applyAlignment="1">
      <alignment horizontal="right" vertical="center"/>
    </xf>
    <xf numFmtId="0" fontId="21" fillId="0" borderId="48" xfId="0" applyFont="1" applyBorder="1" applyAlignment="1">
      <alignment horizontal="left"/>
    </xf>
    <xf numFmtId="0" fontId="21" fillId="0" borderId="22" xfId="0" applyFont="1" applyBorder="1" applyAlignment="1">
      <alignment horizontal="left"/>
    </xf>
    <xf numFmtId="0" fontId="18" fillId="5" borderId="51" xfId="0" applyFont="1" applyFill="1" applyBorder="1" applyAlignment="1">
      <alignment horizontal="center" vertical="center"/>
    </xf>
    <xf numFmtId="0" fontId="18" fillId="5" borderId="20" xfId="0" applyFont="1" applyFill="1" applyBorder="1" applyAlignment="1">
      <alignment horizontal="center" vertical="center"/>
    </xf>
    <xf numFmtId="0" fontId="4" fillId="0" borderId="52" xfId="0" applyFont="1" applyBorder="1" applyAlignment="1">
      <alignment horizontal="left"/>
    </xf>
    <xf numFmtId="0" fontId="4" fillId="0" borderId="44" xfId="0" applyFont="1" applyBorder="1" applyAlignment="1">
      <alignment horizontal="left"/>
    </xf>
    <xf numFmtId="0" fontId="20" fillId="0" borderId="45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18" fillId="5" borderId="47" xfId="0" applyFont="1" applyFill="1" applyBorder="1" applyAlignment="1">
      <alignment horizontal="center" vertical="center"/>
    </xf>
    <xf numFmtId="0" fontId="18" fillId="5" borderId="19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right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0" fillId="0" borderId="1" xfId="0" applyBorder="1" applyAlignment="1">
      <alignment horizontal="right"/>
    </xf>
    <xf numFmtId="164" fontId="0" fillId="0" borderId="1" xfId="0" applyNumberFormat="1" applyBorder="1"/>
    <xf numFmtId="0" fontId="1" fillId="2" borderId="31" xfId="0" applyNumberFormat="1" applyFont="1" applyFill="1" applyBorder="1" applyAlignment="1" applyProtection="1">
      <alignment horizontal="left" vertical="center"/>
      <protection locked="0"/>
    </xf>
    <xf numFmtId="0" fontId="24" fillId="0" borderId="24" xfId="0" applyFont="1" applyBorder="1" applyAlignment="1">
      <alignment horizontal="right" vertical="center"/>
    </xf>
    <xf numFmtId="0" fontId="24" fillId="0" borderId="25" xfId="0" applyFont="1" applyBorder="1" applyAlignment="1">
      <alignment horizontal="right" vertical="center"/>
    </xf>
    <xf numFmtId="0" fontId="22" fillId="0" borderId="45" xfId="0" applyFont="1" applyBorder="1" applyAlignment="1">
      <alignment horizontal="right"/>
    </xf>
    <xf numFmtId="0" fontId="22" fillId="0" borderId="21" xfId="0" applyFont="1" applyBorder="1" applyAlignment="1">
      <alignment horizontal="right"/>
    </xf>
    <xf numFmtId="0" fontId="25" fillId="0" borderId="23" xfId="0" applyFont="1" applyBorder="1" applyAlignment="1">
      <alignment horizontal="right"/>
    </xf>
    <xf numFmtId="0" fontId="25" fillId="0" borderId="13" xfId="0" applyFont="1" applyBorder="1" applyAlignment="1">
      <alignment horizontal="right"/>
    </xf>
    <xf numFmtId="0" fontId="24" fillId="0" borderId="23" xfId="0" applyFont="1" applyBorder="1" applyAlignment="1">
      <alignment horizontal="right" vertical="center"/>
    </xf>
    <xf numFmtId="0" fontId="24" fillId="0" borderId="13" xfId="0" applyFont="1" applyBorder="1" applyAlignment="1">
      <alignment horizontal="right" vertical="center"/>
    </xf>
    <xf numFmtId="0" fontId="1" fillId="0" borderId="36" xfId="0" applyFont="1" applyBorder="1" applyAlignment="1">
      <alignment horizontal="center" wrapText="1"/>
    </xf>
    <xf numFmtId="0" fontId="1" fillId="0" borderId="68" xfId="0" applyFont="1" applyBorder="1" applyAlignment="1">
      <alignment horizontal="center" vertical="center"/>
    </xf>
    <xf numFmtId="0" fontId="0" fillId="0" borderId="68" xfId="0" applyBorder="1" applyAlignment="1">
      <alignment horizontal="center"/>
    </xf>
  </cellXfs>
  <cellStyles count="2">
    <cellStyle name="Normal" xfId="0" builtinId="0"/>
    <cellStyle name="Percentagem" xfId="1" builtinId="5"/>
  </cellStyles>
  <dxfs count="0"/>
  <tableStyles count="0" defaultTableStyle="TableStyleMedium9" defaultPivotStyle="PivotStyleLight16"/>
  <colors>
    <mruColors>
      <color rgb="FF0000FF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4" dropStyle="combo" dx="26" fmlaLink="$F$81" fmlaRange="$E$77:$E$80" sel="1" val="0"/>
</file>

<file path=xl/ctrlProps/ctrlProp2.xml><?xml version="1.0" encoding="utf-8"?>
<formControlPr xmlns="http://schemas.microsoft.com/office/spreadsheetml/2009/9/main" objectType="Drop" dropLines="4" dropStyle="combo" dx="26" fmlaLink="$F$85" fmlaRange="$E$82:$E$84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3345180</xdr:colOff>
          <xdr:row>28</xdr:row>
          <xdr:rowOff>30480</xdr:rowOff>
        </xdr:from>
        <xdr:to>
          <xdr:col>4</xdr:col>
          <xdr:colOff>822960</xdr:colOff>
          <xdr:row>28</xdr:row>
          <xdr:rowOff>266700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22860</xdr:colOff>
          <xdr:row>28</xdr:row>
          <xdr:rowOff>22860</xdr:rowOff>
        </xdr:from>
        <xdr:to>
          <xdr:col>6</xdr:col>
          <xdr:colOff>853440</xdr:colOff>
          <xdr:row>28</xdr:row>
          <xdr:rowOff>274320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lha1"/>
  <dimension ref="A1:Q105"/>
  <sheetViews>
    <sheetView tabSelected="1" topLeftCell="A13" workbookViewId="0">
      <selection activeCell="K10" sqref="K10"/>
    </sheetView>
  </sheetViews>
  <sheetFormatPr defaultRowHeight="15" customHeight="1" x14ac:dyDescent="0.3"/>
  <cols>
    <col min="1" max="1" width="4.77734375" customWidth="1"/>
    <col min="2" max="2" width="52.5546875" customWidth="1"/>
    <col min="3" max="3" width="24.44140625" customWidth="1"/>
    <col min="4" max="4" width="12.77734375" style="42" customWidth="1"/>
    <col min="5" max="5" width="12.77734375" customWidth="1"/>
    <col min="6" max="6" width="2.77734375" customWidth="1"/>
    <col min="7" max="8" width="12.77734375" customWidth="1"/>
    <col min="9" max="9" width="4.88671875" customWidth="1"/>
    <col min="10" max="10" width="12" bestFit="1" customWidth="1"/>
    <col min="11" max="11" width="12.6640625" bestFit="1" customWidth="1"/>
    <col min="12" max="12" width="34.88671875" customWidth="1"/>
    <col min="13" max="13" width="11.44140625" bestFit="1" customWidth="1"/>
    <col min="14" max="14" width="12.6640625" bestFit="1" customWidth="1"/>
    <col min="15" max="16" width="10.77734375" customWidth="1"/>
    <col min="17" max="17" width="15.5546875" customWidth="1"/>
  </cols>
  <sheetData>
    <row r="1" spans="1:16" ht="15" customHeight="1" thickTop="1" thickBot="1" x14ac:dyDescent="0.35">
      <c r="A1" s="116"/>
      <c r="B1" s="154" t="s">
        <v>78</v>
      </c>
      <c r="C1" s="155"/>
      <c r="D1" s="159">
        <v>2016</v>
      </c>
      <c r="E1" s="160"/>
      <c r="F1" s="10"/>
      <c r="G1" s="157" t="s">
        <v>70</v>
      </c>
      <c r="H1" s="158"/>
      <c r="J1" s="1"/>
      <c r="P1" s="27"/>
    </row>
    <row r="2" spans="1:16" ht="15" customHeight="1" thickTop="1" thickBot="1" x14ac:dyDescent="0.35">
      <c r="A2" s="117"/>
      <c r="B2" s="152" t="s">
        <v>26</v>
      </c>
      <c r="C2" s="153"/>
      <c r="D2" s="82" t="s">
        <v>24</v>
      </c>
      <c r="E2" s="82" t="s">
        <v>54</v>
      </c>
      <c r="F2" s="11"/>
      <c r="G2" s="82" t="s">
        <v>24</v>
      </c>
      <c r="H2" s="82" t="s">
        <v>23</v>
      </c>
      <c r="I2" s="74"/>
      <c r="J2" s="103" t="s">
        <v>80</v>
      </c>
      <c r="P2" s="27"/>
    </row>
    <row r="3" spans="1:16" ht="15" customHeight="1" thickTop="1" x14ac:dyDescent="0.3">
      <c r="A3" s="129" t="s">
        <v>79</v>
      </c>
      <c r="B3" s="132" t="s">
        <v>46</v>
      </c>
      <c r="C3" s="133"/>
      <c r="D3" s="75">
        <v>0</v>
      </c>
      <c r="E3" s="75">
        <v>0</v>
      </c>
      <c r="F3" s="12"/>
      <c r="G3" s="75">
        <v>0</v>
      </c>
      <c r="H3" s="75">
        <v>0</v>
      </c>
      <c r="I3" s="78"/>
      <c r="J3" s="103" t="s">
        <v>81</v>
      </c>
    </row>
    <row r="4" spans="1:16" s="42" customFormat="1" ht="15" customHeight="1" x14ac:dyDescent="0.3">
      <c r="A4" s="130"/>
      <c r="B4" s="132" t="s">
        <v>47</v>
      </c>
      <c r="C4" s="133"/>
      <c r="D4" s="75">
        <v>0</v>
      </c>
      <c r="E4" s="75">
        <v>0</v>
      </c>
      <c r="F4" s="12"/>
      <c r="G4" s="75">
        <v>0</v>
      </c>
      <c r="H4" s="75">
        <v>0</v>
      </c>
      <c r="I4" s="1"/>
      <c r="J4" s="40"/>
    </row>
    <row r="5" spans="1:16" s="42" customFormat="1" ht="15" customHeight="1" x14ac:dyDescent="0.3">
      <c r="A5" s="130"/>
      <c r="B5" s="132" t="s">
        <v>52</v>
      </c>
      <c r="C5" s="133"/>
      <c r="D5" s="75">
        <v>0</v>
      </c>
      <c r="E5" s="75">
        <v>0</v>
      </c>
      <c r="F5" s="12"/>
      <c r="G5" s="75">
        <v>0</v>
      </c>
      <c r="H5" s="75">
        <v>0</v>
      </c>
      <c r="I5" s="1"/>
      <c r="J5" s="40"/>
    </row>
    <row r="6" spans="1:16" ht="15" customHeight="1" x14ac:dyDescent="0.3">
      <c r="A6" s="130"/>
      <c r="B6" s="132" t="s">
        <v>53</v>
      </c>
      <c r="C6" s="133"/>
      <c r="D6" s="75">
        <v>0</v>
      </c>
      <c r="E6" s="75">
        <v>0</v>
      </c>
      <c r="F6" s="12"/>
      <c r="G6" s="75">
        <v>0</v>
      </c>
      <c r="H6" s="75">
        <v>0</v>
      </c>
      <c r="I6" s="2"/>
      <c r="J6" s="2"/>
      <c r="K6" s="60"/>
    </row>
    <row r="7" spans="1:16" ht="15" customHeight="1" x14ac:dyDescent="0.3">
      <c r="A7" s="130"/>
      <c r="B7" s="132" t="s">
        <v>82</v>
      </c>
      <c r="C7" s="133"/>
      <c r="D7" s="75">
        <v>0</v>
      </c>
      <c r="E7" s="75">
        <v>0</v>
      </c>
      <c r="F7" s="12"/>
      <c r="G7" s="75">
        <v>0</v>
      </c>
      <c r="H7" s="75">
        <v>0</v>
      </c>
      <c r="I7" s="1"/>
      <c r="J7" s="2"/>
      <c r="K7" s="61"/>
    </row>
    <row r="8" spans="1:16" ht="15" customHeight="1" x14ac:dyDescent="0.3">
      <c r="A8" s="130"/>
      <c r="B8" s="132" t="s">
        <v>25</v>
      </c>
      <c r="C8" s="133"/>
      <c r="D8" s="75">
        <v>0</v>
      </c>
      <c r="E8" s="75">
        <v>0</v>
      </c>
      <c r="F8" s="12"/>
      <c r="G8" s="75">
        <v>0</v>
      </c>
      <c r="H8" s="75">
        <v>0</v>
      </c>
      <c r="J8" s="23"/>
      <c r="K8" s="61"/>
      <c r="O8" s="1"/>
    </row>
    <row r="9" spans="1:16" ht="15" customHeight="1" x14ac:dyDescent="0.3">
      <c r="A9" s="130"/>
      <c r="B9" s="132" t="s">
        <v>0</v>
      </c>
      <c r="C9" s="133"/>
      <c r="D9" s="7">
        <f>IF(D3+D4&gt;1,D27,)</f>
        <v>0</v>
      </c>
      <c r="E9" s="7">
        <f>IF(E3+E4&gt;1,D27,)</f>
        <v>0</v>
      </c>
      <c r="F9" s="12"/>
      <c r="G9" s="7">
        <f>IF(G3+G4&gt;1,G27,)</f>
        <v>0</v>
      </c>
      <c r="H9" s="31">
        <f>IF(H3+H4&gt;1,G27,)</f>
        <v>0</v>
      </c>
      <c r="J9" s="2"/>
      <c r="K9" s="61"/>
    </row>
    <row r="10" spans="1:16" ht="15" customHeight="1" thickBot="1" x14ac:dyDescent="0.35">
      <c r="A10" s="131"/>
      <c r="B10" s="146" t="s">
        <v>69</v>
      </c>
      <c r="C10" s="147"/>
      <c r="D10" s="21">
        <f>+IF(INT((D3+D4-D5-D6-D7-D8-D9)*1%)&lt;0,0,INT((D3+D4-D5-D7-D6-D8-D9)*1%))</f>
        <v>0</v>
      </c>
      <c r="E10" s="21">
        <f>+IF(INT((E3+E4-E5-E6-E7-E8-E9)*1%)&lt;0,0,INT((E3+E4-E5-E7-E6-E8-E9)*1%))</f>
        <v>0</v>
      </c>
      <c r="F10" s="13"/>
      <c r="G10" s="21">
        <f>+IF(INT((G3+G4-G5-G6-G7-G8-G9)*J29)&lt;0,0,INT((G3+G4-G5-G6-G7-G8-G9)*J29))</f>
        <v>0</v>
      </c>
      <c r="H10" s="46">
        <f>+IF(INT((H3+H4-H5-H6-H7-H8-H9)*J29)&lt;0,0,INT((H3+H4-H5-H6-H7-H8-H9)*J29))</f>
        <v>0</v>
      </c>
      <c r="J10" s="2"/>
      <c r="K10" s="61"/>
    </row>
    <row r="11" spans="1:16" ht="15" customHeight="1" thickTop="1" thickBot="1" x14ac:dyDescent="0.35">
      <c r="A11" s="114"/>
      <c r="B11" s="148" t="s">
        <v>77</v>
      </c>
      <c r="C11" s="149"/>
      <c r="D11" s="22"/>
      <c r="E11" s="22"/>
      <c r="F11" s="22"/>
      <c r="G11" s="22"/>
      <c r="H11" s="22"/>
      <c r="I11" s="9"/>
    </row>
    <row r="12" spans="1:16" ht="15" customHeight="1" thickTop="1" thickBot="1" x14ac:dyDescent="0.35">
      <c r="A12" s="115"/>
      <c r="B12" s="152" t="s">
        <v>26</v>
      </c>
      <c r="C12" s="153"/>
      <c r="D12" s="80"/>
      <c r="E12" s="80"/>
      <c r="F12" s="12"/>
      <c r="G12" s="80"/>
      <c r="H12" s="80"/>
      <c r="I12" s="9"/>
    </row>
    <row r="13" spans="1:16" ht="15" customHeight="1" thickTop="1" x14ac:dyDescent="0.3">
      <c r="A13" s="125" t="s">
        <v>45</v>
      </c>
      <c r="B13" s="150" t="s">
        <v>48</v>
      </c>
      <c r="C13" s="151"/>
      <c r="D13" s="79">
        <f>IF(F29=3,0,(D3)*14)</f>
        <v>0</v>
      </c>
      <c r="E13" s="79">
        <f>IF(F29=2,0,(E3)*14)</f>
        <v>0</v>
      </c>
      <c r="F13" s="12"/>
      <c r="G13" s="81">
        <f>IF(F29=3,0,(G3)*14)</f>
        <v>0</v>
      </c>
      <c r="H13" s="81">
        <f>IF(F29=2,0,(H3)*14)</f>
        <v>0</v>
      </c>
      <c r="I13" s="3"/>
    </row>
    <row r="14" spans="1:16" ht="15" customHeight="1" x14ac:dyDescent="0.3">
      <c r="A14" s="126"/>
      <c r="B14" s="132" t="s">
        <v>50</v>
      </c>
      <c r="C14" s="133"/>
      <c r="D14" s="79">
        <f>IF(F29=3,0,(D4)*14)</f>
        <v>0</v>
      </c>
      <c r="E14" s="79">
        <f>IF(F29=2,0,(E4)*14)</f>
        <v>0</v>
      </c>
      <c r="F14" s="12"/>
      <c r="G14" s="81">
        <f>IF(F29=3,0,(G4)*14)</f>
        <v>0</v>
      </c>
      <c r="H14" s="81">
        <f>IF(F29=2,0,(H4)*14)</f>
        <v>0</v>
      </c>
      <c r="I14" s="3"/>
    </row>
    <row r="15" spans="1:16" ht="15" customHeight="1" x14ac:dyDescent="0.3">
      <c r="A15" s="126"/>
      <c r="B15" s="132" t="s">
        <v>49</v>
      </c>
      <c r="C15" s="133"/>
      <c r="D15" s="7">
        <f>IF(F29=3,0,ABS(IF(D13&lt;4104,D13,IF(D13*0.11&lt;4104,4104,+D13*0.11))))</f>
        <v>0</v>
      </c>
      <c r="E15" s="7">
        <f>IF(F29=2,0,ABS(IF(E13&lt;4104,E13,IF(E13*0.11&lt;4104,4104,+E13*0.11))))</f>
        <v>0</v>
      </c>
      <c r="F15" s="12"/>
      <c r="G15" s="31">
        <f>IF(F29=3,0,(IF(G13&lt;4104,G13,IF(G13*0.11&lt;4104,4104,+G13*0.11))))</f>
        <v>0</v>
      </c>
      <c r="H15" s="31">
        <f>IF(F29=2,0,ABS(IF(H13&lt;4104,H13,IF(H13*0.11&lt;4104,4104,+H13*0.11))))</f>
        <v>0</v>
      </c>
      <c r="I15" s="3"/>
    </row>
    <row r="16" spans="1:16" ht="15" customHeight="1" x14ac:dyDescent="0.3">
      <c r="A16" s="126"/>
      <c r="B16" s="132" t="s">
        <v>51</v>
      </c>
      <c r="C16" s="133"/>
      <c r="D16" s="7">
        <f>IF(F29=3,0,SUM(G90))</f>
        <v>0</v>
      </c>
      <c r="E16" s="7">
        <f>IF(F29=2,0,SUM(H90))</f>
        <v>0</v>
      </c>
      <c r="F16" s="12"/>
      <c r="G16" s="31">
        <f>IF(F29=3,0,SUM(G88))</f>
        <v>0</v>
      </c>
      <c r="H16" s="31">
        <f>IF(F29=2,0,SUM(H88))</f>
        <v>0</v>
      </c>
      <c r="J16" s="1"/>
      <c r="K16" s="41"/>
    </row>
    <row r="17" spans="1:15" ht="15" customHeight="1" x14ac:dyDescent="0.3">
      <c r="A17" s="126"/>
      <c r="B17" s="132" t="s">
        <v>66</v>
      </c>
      <c r="C17" s="133"/>
      <c r="D17" s="75">
        <v>0</v>
      </c>
      <c r="E17" s="75">
        <v>0</v>
      </c>
      <c r="F17" s="12"/>
      <c r="G17" s="75">
        <v>0</v>
      </c>
      <c r="H17" s="75">
        <v>0</v>
      </c>
      <c r="J17" s="1"/>
    </row>
    <row r="18" spans="1:15" ht="15" customHeight="1" x14ac:dyDescent="0.3">
      <c r="A18" s="126"/>
      <c r="B18" s="132" t="s">
        <v>67</v>
      </c>
      <c r="C18" s="133"/>
      <c r="D18" s="75">
        <v>0</v>
      </c>
      <c r="E18" s="75">
        <v>0</v>
      </c>
      <c r="F18" s="12"/>
      <c r="G18" s="75">
        <v>0</v>
      </c>
      <c r="H18" s="75">
        <v>0</v>
      </c>
      <c r="I18" s="6"/>
    </row>
    <row r="19" spans="1:15" ht="15" customHeight="1" thickBot="1" x14ac:dyDescent="0.35">
      <c r="A19" s="127"/>
      <c r="B19" s="142" t="s">
        <v>68</v>
      </c>
      <c r="C19" s="143"/>
      <c r="D19" s="76">
        <v>0</v>
      </c>
      <c r="E19" s="76">
        <v>0</v>
      </c>
      <c r="F19" s="12"/>
      <c r="G19" s="76">
        <v>0</v>
      </c>
      <c r="H19" s="76">
        <v>0</v>
      </c>
      <c r="I19" s="2"/>
      <c r="J19" s="23"/>
      <c r="K19" s="2"/>
    </row>
    <row r="20" spans="1:15" s="29" customFormat="1" ht="15" customHeight="1" thickTop="1" x14ac:dyDescent="0.3">
      <c r="A20" s="125" t="s">
        <v>9</v>
      </c>
      <c r="B20" s="166" t="s">
        <v>75</v>
      </c>
      <c r="C20" s="167"/>
      <c r="D20" s="88">
        <f>G70</f>
        <v>0</v>
      </c>
      <c r="E20" s="87"/>
      <c r="F20" s="22"/>
      <c r="G20" s="34">
        <f>H70</f>
        <v>0</v>
      </c>
      <c r="H20" s="62"/>
      <c r="I20" s="2"/>
      <c r="J20" s="2"/>
      <c r="K20" s="2"/>
    </row>
    <row r="21" spans="1:15" ht="15" customHeight="1" x14ac:dyDescent="0.3">
      <c r="A21" s="126"/>
      <c r="B21" s="134" t="s">
        <v>71</v>
      </c>
      <c r="C21" s="135"/>
      <c r="D21" s="89">
        <f>G72</f>
        <v>0</v>
      </c>
      <c r="E21" s="94"/>
      <c r="F21" s="12"/>
      <c r="G21" s="32">
        <f>H72</f>
        <v>0</v>
      </c>
      <c r="H21" s="29"/>
      <c r="I21" s="1"/>
      <c r="J21" s="23"/>
    </row>
    <row r="22" spans="1:15" ht="15" customHeight="1" x14ac:dyDescent="0.3">
      <c r="A22" s="126"/>
      <c r="B22" s="134" t="s">
        <v>72</v>
      </c>
      <c r="C22" s="135"/>
      <c r="D22" s="90">
        <f>G73</f>
        <v>0</v>
      </c>
      <c r="E22" s="94"/>
      <c r="F22" s="12"/>
      <c r="G22" s="31">
        <f>H73</f>
        <v>0</v>
      </c>
      <c r="H22" s="29"/>
      <c r="I22" s="1"/>
      <c r="J22" s="1"/>
      <c r="O22" s="1"/>
    </row>
    <row r="23" spans="1:15" s="29" customFormat="1" ht="15" customHeight="1" x14ac:dyDescent="0.3">
      <c r="A23" s="126"/>
      <c r="B23" s="134" t="s">
        <v>73</v>
      </c>
      <c r="C23" s="135"/>
      <c r="D23" s="91"/>
      <c r="E23" s="94"/>
      <c r="F23" s="12"/>
      <c r="G23" s="77"/>
      <c r="H23" s="1"/>
      <c r="I23" s="1"/>
      <c r="J23" s="1"/>
      <c r="K23" s="1"/>
      <c r="O23" s="1"/>
    </row>
    <row r="24" spans="1:15" ht="15" customHeight="1" x14ac:dyDescent="0.3">
      <c r="A24" s="126"/>
      <c r="B24" s="168" t="s">
        <v>83</v>
      </c>
      <c r="C24" s="169"/>
      <c r="D24" s="104">
        <f>E70</f>
        <v>0</v>
      </c>
      <c r="E24" s="94"/>
      <c r="F24" s="13"/>
      <c r="G24" s="64">
        <f>J70</f>
        <v>0</v>
      </c>
      <c r="H24" s="29"/>
      <c r="I24" s="25"/>
      <c r="J24" s="1"/>
      <c r="K24" s="1"/>
    </row>
    <row r="25" spans="1:15" ht="15" customHeight="1" x14ac:dyDescent="0.3">
      <c r="A25" s="126"/>
      <c r="B25" s="170" t="s">
        <v>76</v>
      </c>
      <c r="C25" s="171"/>
      <c r="D25" s="92">
        <v>0</v>
      </c>
      <c r="E25" s="94"/>
      <c r="F25" s="12"/>
      <c r="G25" s="75">
        <v>0</v>
      </c>
      <c r="H25" s="29"/>
    </row>
    <row r="26" spans="1:15" ht="15" customHeight="1" x14ac:dyDescent="0.3">
      <c r="A26" s="126"/>
      <c r="B26" s="144" t="str">
        <f>IF(G76&gt;1,"Acerto final da sobretaxa: A Pagar →",IF(G76&lt;0,"Acerto final da sobretaxa: A Receber →",IF(G76=0,"Acerto final da sobretaxa: Nulo →",)))</f>
        <v>Acerto final da sobretaxa: Nulo →</v>
      </c>
      <c r="C26" s="145"/>
      <c r="D26" s="105">
        <f>ABS(D24-D25)</f>
        <v>0</v>
      </c>
      <c r="E26" s="111" t="str">
        <f>IF(H76&gt;1,"A Pagar → ",IF(H76&lt;0,"A Receber →",IF(H76=0,"Nulo →",)))</f>
        <v>Nulo →</v>
      </c>
      <c r="F26" s="14"/>
      <c r="G26" s="106">
        <f>ABS(G24-G25)</f>
        <v>0</v>
      </c>
      <c r="I26" s="1"/>
      <c r="J26" s="1"/>
      <c r="K26" s="1"/>
    </row>
    <row r="27" spans="1:15" ht="15" customHeight="1" x14ac:dyDescent="0.3">
      <c r="A27" s="126"/>
      <c r="B27" s="170" t="s">
        <v>74</v>
      </c>
      <c r="C27" s="171"/>
      <c r="D27" s="90">
        <f>IF(D3+D4+E3+E4&gt;1,530,)</f>
        <v>0</v>
      </c>
      <c r="E27" s="94"/>
      <c r="F27" s="20"/>
      <c r="G27" s="31">
        <f>IF(G3+G4+H3+H4&gt;1,530,)</f>
        <v>0</v>
      </c>
      <c r="H27" s="29"/>
    </row>
    <row r="28" spans="1:15" ht="15" customHeight="1" thickBot="1" x14ac:dyDescent="0.35">
      <c r="A28" s="128"/>
      <c r="B28" s="164" t="s">
        <v>37</v>
      </c>
      <c r="C28" s="165"/>
      <c r="D28" s="93">
        <f>IF(D20&gt;1,14,)</f>
        <v>0</v>
      </c>
      <c r="E28" s="95"/>
      <c r="F28" s="26"/>
      <c r="G28" s="39">
        <f>IF(G20&gt;1,14,)</f>
        <v>0</v>
      </c>
      <c r="H28" s="6" t="s">
        <v>55</v>
      </c>
      <c r="J28" s="6" t="s">
        <v>44</v>
      </c>
    </row>
    <row r="29" spans="1:15" ht="23.4" customHeight="1" thickTop="1" thickBot="1" x14ac:dyDescent="0.35">
      <c r="A29" s="163" t="s">
        <v>88</v>
      </c>
      <c r="B29" s="163"/>
      <c r="C29" s="44"/>
      <c r="D29" s="44"/>
      <c r="E29" s="45"/>
      <c r="F29" s="43">
        <f>F81</f>
        <v>1</v>
      </c>
      <c r="G29" s="50"/>
      <c r="H29" s="24">
        <f>K75</f>
        <v>0</v>
      </c>
      <c r="I29" s="42"/>
      <c r="J29" s="24">
        <f>K73</f>
        <v>0</v>
      </c>
      <c r="K29" s="42"/>
    </row>
    <row r="30" spans="1:15" ht="15" customHeight="1" thickTop="1" x14ac:dyDescent="0.3">
      <c r="G30" s="9"/>
      <c r="H30" s="2" t="str">
        <f>TEXT(J75,)</f>
        <v/>
      </c>
      <c r="J30" s="2" t="str">
        <f>TEXT(J73,)</f>
        <v/>
      </c>
    </row>
    <row r="31" spans="1:15" s="42" customFormat="1" ht="15" customHeight="1" x14ac:dyDescent="0.3">
      <c r="G31" s="9"/>
      <c r="H31" s="2"/>
      <c r="J31" s="2"/>
    </row>
    <row r="32" spans="1:15" s="42" customFormat="1" ht="15" customHeight="1" x14ac:dyDescent="0.3">
      <c r="B32" s="84" t="s">
        <v>96</v>
      </c>
      <c r="C32" s="172">
        <v>2017</v>
      </c>
      <c r="E32" s="173" t="s">
        <v>95</v>
      </c>
      <c r="F32" s="173"/>
      <c r="G32" s="173"/>
      <c r="H32" s="173"/>
      <c r="J32" s="2"/>
    </row>
    <row r="33" spans="2:10" s="42" customFormat="1" ht="15" customHeight="1" x14ac:dyDescent="0.3">
      <c r="B33" s="72" t="s">
        <v>38</v>
      </c>
      <c r="C33" s="72" t="s">
        <v>39</v>
      </c>
      <c r="E33" s="174" t="s">
        <v>33</v>
      </c>
      <c r="F33" s="174"/>
      <c r="G33" s="174"/>
      <c r="H33" s="174"/>
      <c r="J33" s="2"/>
    </row>
    <row r="34" spans="2:10" s="42" customFormat="1" ht="15" customHeight="1" x14ac:dyDescent="0.3">
      <c r="B34" s="68" t="s">
        <v>40</v>
      </c>
      <c r="C34" s="69">
        <v>2.5000000000000001E-3</v>
      </c>
      <c r="E34" s="174" t="s">
        <v>34</v>
      </c>
      <c r="F34" s="174"/>
      <c r="G34" s="174"/>
      <c r="H34" s="174"/>
      <c r="J34" s="2"/>
    </row>
    <row r="35" spans="2:10" s="42" customFormat="1" ht="15" customHeight="1" x14ac:dyDescent="0.3">
      <c r="B35" s="68" t="s">
        <v>41</v>
      </c>
      <c r="C35" s="69">
        <v>8.8000000000000005E-3</v>
      </c>
      <c r="E35" s="174" t="s">
        <v>35</v>
      </c>
      <c r="F35" s="174"/>
      <c r="G35" s="174"/>
      <c r="H35" s="174"/>
      <c r="J35" s="2"/>
    </row>
    <row r="36" spans="2:10" s="42" customFormat="1" ht="15" customHeight="1" x14ac:dyDescent="0.3">
      <c r="B36" s="68" t="s">
        <v>42</v>
      </c>
      <c r="C36" s="69">
        <v>2.2499999999999999E-2</v>
      </c>
      <c r="E36" s="174" t="s">
        <v>36</v>
      </c>
      <c r="F36" s="174"/>
      <c r="G36" s="174"/>
      <c r="H36" s="174"/>
      <c r="J36" s="2"/>
    </row>
    <row r="37" spans="2:10" s="42" customFormat="1" ht="15" customHeight="1" x14ac:dyDescent="0.3">
      <c r="B37" s="70" t="s">
        <v>43</v>
      </c>
      <c r="C37" s="71">
        <v>3.2099999999999997E-2</v>
      </c>
      <c r="G37" s="9"/>
      <c r="H37" s="2"/>
      <c r="J37" s="2"/>
    </row>
    <row r="38" spans="2:10" s="42" customFormat="1" ht="15" customHeight="1" x14ac:dyDescent="0.3">
      <c r="G38" s="9"/>
      <c r="H38" s="2"/>
      <c r="J38" s="2"/>
    </row>
    <row r="39" spans="2:10" s="42" customFormat="1" ht="15" customHeight="1" x14ac:dyDescent="0.3">
      <c r="B39" s="84" t="s">
        <v>65</v>
      </c>
      <c r="C39" s="107">
        <v>2016</v>
      </c>
      <c r="G39" s="9"/>
      <c r="H39" s="2"/>
      <c r="J39" s="2"/>
    </row>
    <row r="40" spans="2:10" s="42" customFormat="1" ht="15" customHeight="1" x14ac:dyDescent="0.3">
      <c r="B40" s="72" t="s">
        <v>38</v>
      </c>
      <c r="C40" s="108" t="s">
        <v>39</v>
      </c>
      <c r="G40" s="9"/>
      <c r="H40" s="2"/>
      <c r="J40" s="2"/>
    </row>
    <row r="41" spans="2:10" s="42" customFormat="1" ht="15" customHeight="1" x14ac:dyDescent="0.3">
      <c r="B41" s="68" t="s">
        <v>91</v>
      </c>
      <c r="C41" s="69">
        <v>0.01</v>
      </c>
      <c r="G41" s="9"/>
      <c r="H41" s="2"/>
      <c r="J41" s="2"/>
    </row>
    <row r="42" spans="2:10" s="42" customFormat="1" ht="15" customHeight="1" x14ac:dyDescent="0.3">
      <c r="B42" s="68" t="s">
        <v>92</v>
      </c>
      <c r="C42" s="69">
        <v>1.7500000000000002E-2</v>
      </c>
      <c r="G42" s="9"/>
      <c r="H42" s="2"/>
      <c r="J42" s="2"/>
    </row>
    <row r="43" spans="2:10" s="42" customFormat="1" ht="15" customHeight="1" x14ac:dyDescent="0.3">
      <c r="B43" s="68" t="s">
        <v>93</v>
      </c>
      <c r="C43" s="69">
        <v>0.03</v>
      </c>
      <c r="G43" s="9"/>
      <c r="H43" s="2"/>
      <c r="J43" s="2"/>
    </row>
    <row r="44" spans="2:10" s="42" customFormat="1" ht="15" customHeight="1" x14ac:dyDescent="0.3">
      <c r="B44" s="70" t="s">
        <v>94</v>
      </c>
      <c r="C44" s="71">
        <v>3.5000000000000003E-2</v>
      </c>
      <c r="G44" s="9"/>
      <c r="H44" s="2"/>
      <c r="J44" s="2"/>
    </row>
    <row r="45" spans="2:10" s="42" customFormat="1" ht="15" customHeight="1" x14ac:dyDescent="0.3">
      <c r="G45" s="9"/>
      <c r="H45" s="2"/>
      <c r="J45" s="2"/>
    </row>
    <row r="46" spans="2:10" s="42" customFormat="1" ht="15" hidden="1" customHeight="1" x14ac:dyDescent="0.3">
      <c r="G46" s="9"/>
      <c r="H46" s="2"/>
      <c r="J46" s="2"/>
    </row>
    <row r="47" spans="2:10" s="42" customFormat="1" ht="15" hidden="1" customHeight="1" x14ac:dyDescent="0.3">
      <c r="G47" s="9"/>
      <c r="H47" s="2"/>
      <c r="J47" s="2"/>
    </row>
    <row r="48" spans="2:10" s="42" customFormat="1" ht="15" hidden="1" customHeight="1" x14ac:dyDescent="0.3">
      <c r="G48" s="9"/>
      <c r="H48" s="2"/>
      <c r="J48" s="2"/>
    </row>
    <row r="49" spans="2:17" ht="15" hidden="1" customHeight="1" thickBot="1" x14ac:dyDescent="0.35">
      <c r="C49" s="33"/>
      <c r="E49" s="33"/>
      <c r="F49" s="33"/>
      <c r="G49" s="33"/>
      <c r="H49" s="33"/>
    </row>
    <row r="50" spans="2:17" ht="15" hidden="1" customHeight="1" thickBot="1" x14ac:dyDescent="0.35">
      <c r="C50" s="120" t="s">
        <v>58</v>
      </c>
      <c r="D50" s="120"/>
      <c r="E50" s="120"/>
      <c r="F50" s="120"/>
      <c r="G50" s="120" t="s">
        <v>14</v>
      </c>
      <c r="H50" s="121" t="s">
        <v>15</v>
      </c>
      <c r="I50" s="138" t="s">
        <v>16</v>
      </c>
      <c r="J50" s="139"/>
      <c r="K50" s="118" t="s">
        <v>2</v>
      </c>
      <c r="L50" s="118" t="s">
        <v>59</v>
      </c>
      <c r="M50" s="118" t="s">
        <v>3</v>
      </c>
      <c r="N50" s="136" t="s">
        <v>10</v>
      </c>
      <c r="O50" s="136" t="s">
        <v>11</v>
      </c>
      <c r="P50" s="136" t="s">
        <v>12</v>
      </c>
    </row>
    <row r="51" spans="2:17" ht="15" hidden="1" customHeight="1" thickBot="1" x14ac:dyDescent="0.35">
      <c r="C51" s="120"/>
      <c r="D51" s="120"/>
      <c r="E51" s="120"/>
      <c r="F51" s="120"/>
      <c r="G51" s="120"/>
      <c r="H51" s="122"/>
      <c r="I51" s="140"/>
      <c r="J51" s="141"/>
      <c r="K51" s="119"/>
      <c r="L51" s="119"/>
      <c r="M51" s="119"/>
      <c r="N51" s="137"/>
      <c r="O51" s="137"/>
      <c r="P51" s="137"/>
    </row>
    <row r="52" spans="2:17" ht="15" hidden="1" customHeight="1" thickBot="1" x14ac:dyDescent="0.35">
      <c r="C52" s="52">
        <v>0</v>
      </c>
      <c r="D52" s="86"/>
      <c r="E52" s="162">
        <v>7035</v>
      </c>
      <c r="F52" s="162"/>
      <c r="G52" s="59">
        <v>0</v>
      </c>
      <c r="H52" s="52">
        <v>0</v>
      </c>
      <c r="I52" s="112">
        <f>E52-H52</f>
        <v>7035</v>
      </c>
      <c r="J52" s="113"/>
      <c r="K52" s="4" t="s">
        <v>4</v>
      </c>
      <c r="L52" s="5" t="s">
        <v>60</v>
      </c>
      <c r="M52" s="8">
        <v>0</v>
      </c>
      <c r="N52" s="35">
        <f>IF(F85=1,IF(M57&lt;=I52,14.5%))</f>
        <v>0.14499999999999999</v>
      </c>
      <c r="O52" s="36" t="b">
        <f>IF(F85=2,IF(M57&lt;=I52,13.41%))</f>
        <v>0</v>
      </c>
      <c r="P52" s="37" t="b">
        <f>IF(F85=3,IF(M57&lt;=I52,10.15%))</f>
        <v>0</v>
      </c>
    </row>
    <row r="53" spans="2:17" ht="15" hidden="1" customHeight="1" thickBot="1" x14ac:dyDescent="0.35">
      <c r="B53" s="33"/>
      <c r="C53" s="52">
        <f>+E52+0.01</f>
        <v>7035.01</v>
      </c>
      <c r="D53" s="86"/>
      <c r="E53" s="156">
        <v>20100</v>
      </c>
      <c r="F53" s="156"/>
      <c r="G53" s="98">
        <v>0.01</v>
      </c>
      <c r="H53" s="52">
        <f>+(E53-(E52*F29))*G53-G75*G74</f>
        <v>130.65</v>
      </c>
      <c r="I53" s="112">
        <f>E53-H53</f>
        <v>19969.349999999999</v>
      </c>
      <c r="J53" s="113"/>
      <c r="K53" s="4" t="s">
        <v>5</v>
      </c>
      <c r="L53" s="5" t="s">
        <v>61</v>
      </c>
      <c r="M53" s="98">
        <v>0.01</v>
      </c>
      <c r="N53" s="15">
        <f>IF(F85=1,IF(M57&lt;=I53,28.5%))</f>
        <v>0.28499999999999998</v>
      </c>
      <c r="O53" s="18" t="b">
        <f>IF(F85=2,IF(M57&lt;=I53,28.5%))</f>
        <v>0</v>
      </c>
      <c r="P53" s="18" t="b">
        <f>IF(F85=3,IF(M57&lt;=I53,21.38%))</f>
        <v>0</v>
      </c>
    </row>
    <row r="54" spans="2:17" ht="15" hidden="1" customHeight="1" thickBot="1" x14ac:dyDescent="0.35">
      <c r="B54" s="33"/>
      <c r="C54" s="52">
        <f>E53</f>
        <v>20100</v>
      </c>
      <c r="D54" s="86"/>
      <c r="E54" s="156">
        <v>40200</v>
      </c>
      <c r="F54" s="156"/>
      <c r="G54" s="99">
        <v>1.7500000000000002E-2</v>
      </c>
      <c r="H54" s="52">
        <f>+(E54-(E52*F29))*G54-G75*G74</f>
        <v>580.38750000000005</v>
      </c>
      <c r="I54" s="112">
        <f>E54-H54</f>
        <v>39619.612500000003</v>
      </c>
      <c r="J54" s="113"/>
      <c r="K54" s="4" t="s">
        <v>6</v>
      </c>
      <c r="L54" s="5" t="s">
        <v>62</v>
      </c>
      <c r="M54" s="99">
        <v>1.7500000000000002E-2</v>
      </c>
      <c r="N54" s="15">
        <f>IF(F85=1,IF(M57&lt;=I54,37%))</f>
        <v>0.37</v>
      </c>
      <c r="O54" s="17" t="b">
        <f>IF(F85=2,IF(M57&lt;=I54,37%))</f>
        <v>0</v>
      </c>
      <c r="P54" s="18" t="b">
        <f>IF(F85=3,IF(M57&lt;=I54,29.6%))</f>
        <v>0</v>
      </c>
    </row>
    <row r="55" spans="2:17" ht="15" hidden="1" customHeight="1" thickBot="1" x14ac:dyDescent="0.35">
      <c r="B55" s="33"/>
      <c r="C55" s="52">
        <f>E54</f>
        <v>40200</v>
      </c>
      <c r="D55" s="86"/>
      <c r="E55" s="156">
        <v>80000</v>
      </c>
      <c r="F55" s="156"/>
      <c r="G55" s="99">
        <v>0.03</v>
      </c>
      <c r="H55" s="52">
        <f>+(E55-(E52*F29))*G55-G75*G74</f>
        <v>2188.9499999999998</v>
      </c>
      <c r="I55" s="112">
        <f>E55-H55</f>
        <v>77811.05</v>
      </c>
      <c r="J55" s="113"/>
      <c r="K55" s="4" t="s">
        <v>7</v>
      </c>
      <c r="L55" s="5" t="s">
        <v>63</v>
      </c>
      <c r="M55" s="99">
        <v>0.03</v>
      </c>
      <c r="N55" s="15">
        <f>IF(F85=1,IF(M57&lt;=I55,45%))</f>
        <v>0.45</v>
      </c>
      <c r="O55" s="18" t="b">
        <f>IF(F85=2,IF(M57&lt;=I55,45%))</f>
        <v>0</v>
      </c>
      <c r="P55" s="18" t="b">
        <f>IF(F85=3,IF(M57&lt;=I55,36%))</f>
        <v>0</v>
      </c>
    </row>
    <row r="56" spans="2:17" ht="15" hidden="1" customHeight="1" thickBot="1" x14ac:dyDescent="0.35">
      <c r="B56" s="33"/>
      <c r="C56" s="52">
        <v>80000</v>
      </c>
      <c r="D56" s="86"/>
      <c r="E56" s="161">
        <v>9.9999999999999906E+70</v>
      </c>
      <c r="F56" s="161"/>
      <c r="G56" s="100">
        <v>3.5000000000000003E-2</v>
      </c>
      <c r="H56" s="53"/>
      <c r="I56" s="123"/>
      <c r="J56" s="124"/>
      <c r="K56" s="4" t="s">
        <v>8</v>
      </c>
      <c r="L56" s="5" t="s">
        <v>64</v>
      </c>
      <c r="M56" s="101">
        <v>3.5000000000000003E-2</v>
      </c>
      <c r="N56" s="15" t="b">
        <f>IF(F85=1,IF(M57&gt;I55,48%))</f>
        <v>0</v>
      </c>
      <c r="O56" s="17" t="b">
        <f>IF(F85=2,IF(M57&gt;I55,48%))</f>
        <v>0</v>
      </c>
      <c r="P56" s="18" t="b">
        <f>IF(F85=3,IF(M57&gt;I55,38.4%))</f>
        <v>0</v>
      </c>
    </row>
    <row r="57" spans="2:17" ht="15" hidden="1" customHeight="1" thickTop="1" thickBot="1" x14ac:dyDescent="0.35">
      <c r="B57" s="33"/>
      <c r="C57" s="42"/>
      <c r="E57" s="42"/>
      <c r="F57" s="42"/>
      <c r="G57" s="96"/>
      <c r="H57" s="42"/>
      <c r="I57" s="42"/>
      <c r="J57" s="30"/>
      <c r="L57" s="56" t="s">
        <v>21</v>
      </c>
      <c r="M57" s="57">
        <f>(G72)/H81</f>
        <v>0</v>
      </c>
      <c r="N57" s="54">
        <f>MIN(N52:N56)</f>
        <v>0.14499999999999999</v>
      </c>
      <c r="O57" s="19">
        <f>MIN(O52:O56)</f>
        <v>0</v>
      </c>
      <c r="P57" s="16">
        <f>MIN(P52:P56)</f>
        <v>0</v>
      </c>
    </row>
    <row r="58" spans="2:17" ht="15" hidden="1" customHeight="1" thickBot="1" x14ac:dyDescent="0.35">
      <c r="B58" s="33"/>
    </row>
    <row r="59" spans="2:17" ht="15" hidden="1" customHeight="1" thickBot="1" x14ac:dyDescent="0.35">
      <c r="B59" s="33"/>
      <c r="C59" s="120" t="s">
        <v>56</v>
      </c>
      <c r="D59" s="120"/>
      <c r="E59" s="120"/>
      <c r="F59" s="120"/>
      <c r="G59" s="120" t="s">
        <v>14</v>
      </c>
      <c r="H59" s="121" t="s">
        <v>15</v>
      </c>
      <c r="I59" s="138" t="s">
        <v>16</v>
      </c>
      <c r="J59" s="139"/>
      <c r="K59" s="118" t="s">
        <v>2</v>
      </c>
      <c r="L59" s="118" t="s">
        <v>57</v>
      </c>
      <c r="M59" s="118" t="s">
        <v>3</v>
      </c>
      <c r="N59" s="136" t="s">
        <v>10</v>
      </c>
      <c r="O59" s="136" t="s">
        <v>11</v>
      </c>
      <c r="P59" s="136" t="s">
        <v>12</v>
      </c>
    </row>
    <row r="60" spans="2:17" ht="15" hidden="1" customHeight="1" thickBot="1" x14ac:dyDescent="0.35">
      <c r="B60" s="33"/>
      <c r="C60" s="120"/>
      <c r="D60" s="120"/>
      <c r="E60" s="120"/>
      <c r="F60" s="120"/>
      <c r="G60" s="120"/>
      <c r="H60" s="122"/>
      <c r="I60" s="140"/>
      <c r="J60" s="141"/>
      <c r="K60" s="119"/>
      <c r="L60" s="119"/>
      <c r="M60" s="119"/>
      <c r="N60" s="137"/>
      <c r="O60" s="137"/>
      <c r="P60" s="137"/>
      <c r="Q60" s="51"/>
    </row>
    <row r="61" spans="2:17" ht="15" hidden="1" customHeight="1" thickBot="1" x14ac:dyDescent="0.35">
      <c r="B61" s="33"/>
      <c r="C61" s="86">
        <v>0</v>
      </c>
      <c r="D61" s="86"/>
      <c r="E61" s="86">
        <v>7091</v>
      </c>
      <c r="F61" s="86"/>
      <c r="G61" s="59">
        <v>0</v>
      </c>
      <c r="H61" s="86">
        <v>0</v>
      </c>
      <c r="I61" s="112">
        <f>E61-H61</f>
        <v>7091</v>
      </c>
      <c r="J61" s="113"/>
      <c r="K61" s="4" t="s">
        <v>4</v>
      </c>
      <c r="L61" s="5" t="s">
        <v>27</v>
      </c>
      <c r="M61" s="8">
        <v>0</v>
      </c>
      <c r="N61" s="35">
        <f>IF(F85=1,IF(M66&lt;=I61,14.5%))</f>
        <v>0.14499999999999999</v>
      </c>
      <c r="O61" s="36" t="b">
        <f>IF(F85=2,IF(M66&lt;=I61,13.41%))</f>
        <v>0</v>
      </c>
      <c r="P61" s="37" t="b">
        <f>IF(F85=3,IF(M66&lt;=I61,10.15%))</f>
        <v>0</v>
      </c>
    </row>
    <row r="62" spans="2:17" ht="15" hidden="1" customHeight="1" thickBot="1" x14ac:dyDescent="0.35">
      <c r="B62" s="63"/>
      <c r="C62" s="86">
        <f>+E61+0.01</f>
        <v>7091.01</v>
      </c>
      <c r="D62" s="86"/>
      <c r="E62" s="83">
        <v>20261</v>
      </c>
      <c r="F62" s="83"/>
      <c r="G62" s="59">
        <v>2.5000000000000001E-3</v>
      </c>
      <c r="H62" s="86">
        <f>+(E62-(E61*F50))*G62-G83*G82</f>
        <v>50.652500000000003</v>
      </c>
      <c r="I62" s="112">
        <f>E62-H62</f>
        <v>20210.3475</v>
      </c>
      <c r="J62" s="113"/>
      <c r="K62" s="4" t="s">
        <v>5</v>
      </c>
      <c r="L62" s="5" t="s">
        <v>28</v>
      </c>
      <c r="M62" s="8">
        <v>2.5000000000000001E-3</v>
      </c>
      <c r="N62" s="15">
        <f>IF(F85=1,IF(M66&lt;=I62,28.5%))</f>
        <v>0.28499999999999998</v>
      </c>
      <c r="O62" s="18" t="b">
        <f>IF(F85=2,IF(M66&lt;=I62,28.5%))</f>
        <v>0</v>
      </c>
      <c r="P62" s="18" t="b">
        <f>IF(F85=3,IF(M66&lt;=I62,21.38%))</f>
        <v>0</v>
      </c>
    </row>
    <row r="63" spans="2:17" ht="15" hidden="1" customHeight="1" thickBot="1" x14ac:dyDescent="0.35">
      <c r="B63" s="63"/>
      <c r="C63" s="86">
        <v>20261</v>
      </c>
      <c r="D63" s="86"/>
      <c r="E63" s="83">
        <v>40522</v>
      </c>
      <c r="F63" s="83"/>
      <c r="G63" s="59">
        <v>8.8000000000000005E-3</v>
      </c>
      <c r="H63" s="86">
        <f>+(E63-(E61*F50))*G63-G83*G82</f>
        <v>356.59360000000004</v>
      </c>
      <c r="I63" s="112">
        <f>E63-H63</f>
        <v>40165.4064</v>
      </c>
      <c r="J63" s="113"/>
      <c r="K63" s="4" t="s">
        <v>6</v>
      </c>
      <c r="L63" s="5" t="s">
        <v>29</v>
      </c>
      <c r="M63" s="8">
        <v>8.8000000000000005E-3</v>
      </c>
      <c r="N63" s="15">
        <f>IF(F85=1,IF(M66&lt;=I63,37%))</f>
        <v>0.37</v>
      </c>
      <c r="O63" s="17" t="b">
        <f>IF(F85=2,IF(M66&lt;=I63,37%))</f>
        <v>0</v>
      </c>
      <c r="P63" s="18" t="b">
        <f>IF(F85=3,IF(M66&lt;=I63,29.6%))</f>
        <v>0</v>
      </c>
      <c r="Q63" s="1"/>
    </row>
    <row r="64" spans="2:17" ht="15" hidden="1" customHeight="1" thickBot="1" x14ac:dyDescent="0.35">
      <c r="B64" s="33"/>
      <c r="C64" s="86">
        <v>40522</v>
      </c>
      <c r="D64" s="86"/>
      <c r="E64" s="83">
        <v>80640</v>
      </c>
      <c r="F64" s="83"/>
      <c r="G64" s="59">
        <v>2.2499999999999999E-2</v>
      </c>
      <c r="H64" s="86">
        <f>+(E64-(E61*F50))*G64-G83*G82</f>
        <v>1814.3999999999999</v>
      </c>
      <c r="I64" s="112">
        <f>E64-H64</f>
        <v>78825.600000000006</v>
      </c>
      <c r="J64" s="113"/>
      <c r="K64" s="4" t="s">
        <v>7</v>
      </c>
      <c r="L64" s="5" t="s">
        <v>30</v>
      </c>
      <c r="M64" s="8">
        <v>2.2499999999999999E-2</v>
      </c>
      <c r="N64" s="15">
        <f>IF(F85=1,IF(M66&lt;=I64,45%))</f>
        <v>0.45</v>
      </c>
      <c r="O64" s="18" t="b">
        <f>IF(F723=2,IF(M66&lt;=I64,45%))</f>
        <v>0</v>
      </c>
      <c r="P64" s="18" t="b">
        <f>IF(F85=3,IF(M66&lt;=I64,36%))</f>
        <v>0</v>
      </c>
    </row>
    <row r="65" spans="2:17" s="28" customFormat="1" ht="15" hidden="1" customHeight="1" thickBot="1" x14ac:dyDescent="0.35">
      <c r="B65" s="33"/>
      <c r="C65" s="86">
        <v>80640</v>
      </c>
      <c r="D65" s="86"/>
      <c r="E65" s="85">
        <v>9.9999999999999906E+70</v>
      </c>
      <c r="F65" s="85"/>
      <c r="G65" s="59">
        <v>3.2099999999999997E-2</v>
      </c>
      <c r="H65" s="53"/>
      <c r="I65" s="112"/>
      <c r="J65" s="113"/>
      <c r="K65" s="4" t="s">
        <v>8</v>
      </c>
      <c r="L65" s="5" t="s">
        <v>31</v>
      </c>
      <c r="M65" s="55">
        <v>3.2099999999999997E-2</v>
      </c>
      <c r="N65" s="15" t="b">
        <f>IF(F85=1,IF(M66&gt;I64,48%))</f>
        <v>0</v>
      </c>
      <c r="O65" s="17" t="b">
        <f>IF(F85=2,IF(M66&gt;I64,48%))</f>
        <v>0</v>
      </c>
      <c r="P65" s="18" t="b">
        <f>IF(F85=3,IF(M66&gt;I64,38.4%))</f>
        <v>0</v>
      </c>
    </row>
    <row r="66" spans="2:17" s="28" customFormat="1" ht="15" hidden="1" customHeight="1" thickTop="1" thickBot="1" x14ac:dyDescent="0.35">
      <c r="B66" s="33"/>
      <c r="K66" s="42"/>
      <c r="L66" s="56" t="s">
        <v>21</v>
      </c>
      <c r="M66" s="57">
        <f>(H72)/I81</f>
        <v>0</v>
      </c>
      <c r="N66" s="54">
        <f>MIN(N61:N65)</f>
        <v>0.14499999999999999</v>
      </c>
      <c r="O66" s="19">
        <f>MIN(O61:O65)</f>
        <v>0</v>
      </c>
      <c r="P66" s="16">
        <f>MIN(P61:P65)</f>
        <v>0</v>
      </c>
    </row>
    <row r="67" spans="2:17" ht="15" hidden="1" customHeight="1" x14ac:dyDescent="0.3">
      <c r="B67" s="33"/>
      <c r="K67" s="42"/>
      <c r="L67" s="42"/>
      <c r="M67" s="42"/>
      <c r="N67" s="42"/>
      <c r="Q67" s="38"/>
    </row>
    <row r="68" spans="2:17" ht="15" hidden="1" customHeight="1" x14ac:dyDescent="0.3">
      <c r="B68" s="33"/>
      <c r="G68" s="6">
        <v>2016</v>
      </c>
      <c r="H68" s="6">
        <v>2017</v>
      </c>
      <c r="K68" s="42"/>
      <c r="L68" s="42"/>
      <c r="M68" s="42"/>
      <c r="N68" s="42"/>
      <c r="Q68" s="38"/>
    </row>
    <row r="69" spans="2:17" ht="15" hidden="1" customHeight="1" x14ac:dyDescent="0.3">
      <c r="B69" s="33"/>
      <c r="C69" s="40" t="s">
        <v>13</v>
      </c>
      <c r="D69" s="40"/>
      <c r="E69" s="47">
        <f>(G72-G73)*H29-G75</f>
        <v>0</v>
      </c>
      <c r="F69" s="40"/>
      <c r="G69" s="58">
        <f>IF(IF(G70-((G72-(G73*F29))*H29-G75*G74)&lt;VLOOKUP(IF(H29-0.01&lt;0,0,H29-0.01),G52:I56,3,1),VLOOKUP(IF(H29-0.01&lt;0,0,H29-0.01),G52:I56,2,1),(G72-(G73*F29))*H29-G75*G74)&lt;0,0,IF(G70-((G72-(G73*F29))*H29-G75*G74)&lt;VLOOKUP(IF(H29-0.01&lt;0,0,H29-0.01),G52:I56,3,1),VLOOKUP(IF(H29-0.01&lt;0,0,H29-0.01),G52:I56,2,1),(G72-(G73*F29))*H29-G75*G74))</f>
        <v>0</v>
      </c>
      <c r="H69" s="58">
        <f>IF(IF(H70-((H72-(H73*F29))*J29-H75*H74)&lt;VLOOKUP(IF(J29-0.01&lt;0,0,J29-0.01),H61:J65,3,1),VLOOKUP(IF(J29-0.01&lt;0,0,J29-0.01),H61:J65,2,1),(H72-(H73*F29))*J29-H75*H74)&lt;0,0,IF(H70-((H72-(H73*F29))*J29-H75*H74)&lt;VLOOKUP(IF(J29-0.01&lt;0,0,J29-0.01),H61:J65,3,1),VLOOKUP(IF(J29-0.01&lt;0,0,J29-0.01),H61:J65,2,1),(H72-(H73*F29))*J29-H75*H74))</f>
        <v>0</v>
      </c>
      <c r="I69" s="30"/>
      <c r="J69" s="47">
        <f>(H72-H73)*J29-H75</f>
        <v>0</v>
      </c>
      <c r="K69" s="42"/>
      <c r="L69" s="42"/>
      <c r="M69" s="42"/>
      <c r="N69" s="42"/>
    </row>
    <row r="70" spans="2:17" ht="15" hidden="1" customHeight="1" x14ac:dyDescent="0.3">
      <c r="B70" s="33"/>
      <c r="C70" s="40" t="s">
        <v>22</v>
      </c>
      <c r="D70" s="40"/>
      <c r="E70" s="47">
        <f>IF(E69&lt;0,0,E69)</f>
        <v>0</v>
      </c>
      <c r="F70" s="40"/>
      <c r="G70" s="47">
        <f>D13+D14+E13+E14</f>
        <v>0</v>
      </c>
      <c r="H70" s="47">
        <f>G13+G14+H13+H14</f>
        <v>0</v>
      </c>
      <c r="J70" s="47">
        <f>IF(J69&lt;0,0,J69)</f>
        <v>0</v>
      </c>
      <c r="K70" s="42"/>
      <c r="L70" s="84" t="s">
        <v>65</v>
      </c>
      <c r="M70" s="102">
        <v>2017</v>
      </c>
      <c r="O70" s="42"/>
      <c r="P70" s="42"/>
      <c r="Q70" s="42"/>
    </row>
    <row r="71" spans="2:17" ht="15" hidden="1" customHeight="1" x14ac:dyDescent="0.3">
      <c r="B71" s="33"/>
      <c r="C71" s="40" t="s">
        <v>19</v>
      </c>
      <c r="D71" s="40"/>
      <c r="E71" s="40"/>
      <c r="F71" s="40"/>
      <c r="G71" s="47">
        <f>(D15+E15+D16+E16+D17+E17+D18+E18+D19+E19)-J82</f>
        <v>0</v>
      </c>
      <c r="H71" s="47">
        <f>(G15+H15+G16+H16+G17+H17+G18+H18+G19+H19)-K82</f>
        <v>0</v>
      </c>
      <c r="K71" s="42"/>
      <c r="L71" s="72" t="s">
        <v>38</v>
      </c>
      <c r="M71" s="73" t="s">
        <v>39</v>
      </c>
      <c r="O71" s="42"/>
      <c r="P71" s="42"/>
      <c r="Q71" s="42"/>
    </row>
    <row r="72" spans="2:17" ht="15" hidden="1" customHeight="1" thickBot="1" x14ac:dyDescent="0.35">
      <c r="B72" s="33"/>
      <c r="C72" s="40" t="s">
        <v>20</v>
      </c>
      <c r="D72" s="40"/>
      <c r="E72" s="40"/>
      <c r="F72" s="40"/>
      <c r="G72" s="47">
        <f>(G70-G71)</f>
        <v>0</v>
      </c>
      <c r="H72" s="47">
        <f>(H70-H71)</f>
        <v>0</v>
      </c>
      <c r="K72" s="42"/>
      <c r="L72" s="68" t="s">
        <v>40</v>
      </c>
      <c r="M72" s="69">
        <v>2.5000000000000001E-3</v>
      </c>
      <c r="O72" s="42"/>
      <c r="P72" s="42"/>
      <c r="Q72" s="42"/>
    </row>
    <row r="73" spans="2:17" ht="15" hidden="1" customHeight="1" thickTop="1" thickBot="1" x14ac:dyDescent="0.35">
      <c r="B73" s="33"/>
      <c r="C73" s="40" t="s">
        <v>1</v>
      </c>
      <c r="D73" s="40"/>
      <c r="E73" s="47">
        <f>530</f>
        <v>530</v>
      </c>
      <c r="F73" s="40">
        <f>IF(G70+H70&gt;1,14,)</f>
        <v>0</v>
      </c>
      <c r="G73" s="47">
        <f>(E73*F73)*H81</f>
        <v>0</v>
      </c>
      <c r="H73" s="47">
        <f>(E73*F73)*I81</f>
        <v>0</v>
      </c>
      <c r="J73" s="42">
        <f>IF(K73=0.25%,"2º Escalão",IF(K73=0.88%,"3º Escalão",IF(K73=2.25%,"4º Escalão",IF(K73=3.21%,"5º Escalão",))))</f>
        <v>0</v>
      </c>
      <c r="K73" s="97">
        <f>IF(N61=14.5%,0%,IF(N62=28.5%,0.25%,IF(N63=37%,0.88%,IF(N64=45%,2.25%,IF(N65=48%,3.21%,IF(O61=13.41%,0%,IF(O62=28.5%,0.25%,IF(O63=37%,0.88%,IF(O64=45%,2.25%,IF(O65=48%,3.21%,IF(P61=10.15%,0%,IF(P62=21.38%,0.25%,IF(P63=29.6%,0.88%,IF(P64=36%,2.25%,IF(P65=38.4%,3.21%)))))))))))))))</f>
        <v>0</v>
      </c>
      <c r="L73" s="68" t="s">
        <v>41</v>
      </c>
      <c r="M73" s="69">
        <v>8.8000000000000005E-3</v>
      </c>
      <c r="O73" s="42"/>
      <c r="P73" s="42"/>
      <c r="Q73" s="42"/>
    </row>
    <row r="74" spans="2:17" ht="15" hidden="1" customHeight="1" thickTop="1" thickBot="1" x14ac:dyDescent="0.35">
      <c r="B74" s="33"/>
      <c r="C74" s="40" t="s">
        <v>17</v>
      </c>
      <c r="D74" s="40"/>
      <c r="E74" s="47">
        <f>IF(F29=1,530,IF(F29=2,265,IF(F29=3,265,IF(F29=4,530,))))</f>
        <v>530</v>
      </c>
      <c r="F74" s="40"/>
      <c r="G74" s="40">
        <f>D23</f>
        <v>0</v>
      </c>
      <c r="H74" s="40">
        <f>G23</f>
        <v>0</v>
      </c>
      <c r="I74" s="40"/>
      <c r="L74" s="68" t="s">
        <v>42</v>
      </c>
      <c r="M74" s="69">
        <v>2.2499999999999999E-2</v>
      </c>
      <c r="O74" s="42"/>
      <c r="P74" s="42"/>
      <c r="Q74" s="42"/>
    </row>
    <row r="75" spans="2:17" ht="15" hidden="1" customHeight="1" thickTop="1" thickBot="1" x14ac:dyDescent="0.35">
      <c r="B75" s="33"/>
      <c r="C75" s="40" t="s">
        <v>18</v>
      </c>
      <c r="D75" s="40"/>
      <c r="E75" s="40"/>
      <c r="F75" s="40"/>
      <c r="G75" s="47">
        <f>ROUNDUP(E74*0.025,2)*G74</f>
        <v>0</v>
      </c>
      <c r="H75" s="47">
        <f>ROUNDUP(E74*0.025,2)*H74</f>
        <v>0</v>
      </c>
      <c r="I75" s="47"/>
      <c r="J75" s="42">
        <f>IF(K75=1%,"2º Escalão",IF(K75=1.75%,"3º Escalão",IF(K75=3%,"4º Escalão",IF(K75=3.5%,"5º Escalão",))))</f>
        <v>0</v>
      </c>
      <c r="K75" s="97">
        <f>IF(N52=14.5%,0%,IF(N53=28.5%,1%,IF(N54=37%,1.75%,IF(N55=45%,3%,IF(N56=48%,3.5%,IF(O52=13.41%,0%,IF(O53=28.5%,1%,IF(O54=37%,1.75%,IF(O55=45%,3%,IF(O432=48%,3.5%,IF(P52=10.15%,0%,IF(P53=21.38%,1%,IF(P54=29.6%,1.75%,IF(P55=36%,3%,IF(P56=38.4%,3.5%)))))))))))))))</f>
        <v>0</v>
      </c>
      <c r="L75" s="70" t="s">
        <v>43</v>
      </c>
      <c r="M75" s="71">
        <v>3.2099999999999997E-2</v>
      </c>
      <c r="O75" s="42"/>
      <c r="P75" s="42"/>
      <c r="Q75" s="42"/>
    </row>
    <row r="76" spans="2:17" ht="15" hidden="1" customHeight="1" thickTop="1" x14ac:dyDescent="0.3">
      <c r="B76" s="33"/>
      <c r="C76" s="40"/>
      <c r="D76" s="40"/>
      <c r="E76" s="42"/>
      <c r="F76" s="42"/>
      <c r="G76" s="1">
        <f>D24-D25</f>
        <v>0</v>
      </c>
      <c r="H76" s="1">
        <f>G24-G25</f>
        <v>0</v>
      </c>
      <c r="I76" s="1"/>
      <c r="J76" s="28"/>
      <c r="K76" s="42"/>
      <c r="O76" s="42"/>
      <c r="P76" s="42"/>
      <c r="Q76" s="42"/>
    </row>
    <row r="77" spans="2:17" ht="15" hidden="1" customHeight="1" x14ac:dyDescent="0.3">
      <c r="B77" s="33"/>
      <c r="C77" s="33"/>
      <c r="E77" s="42" t="s">
        <v>86</v>
      </c>
      <c r="F77" s="42">
        <v>1</v>
      </c>
      <c r="G77" s="42"/>
      <c r="H77" s="33"/>
      <c r="I77" s="28"/>
      <c r="L77" s="84" t="s">
        <v>65</v>
      </c>
      <c r="M77" s="107">
        <v>2016</v>
      </c>
      <c r="O77" s="42"/>
      <c r="P77" s="42"/>
      <c r="Q77" s="42"/>
    </row>
    <row r="78" spans="2:17" ht="15" hidden="1" customHeight="1" x14ac:dyDescent="0.3">
      <c r="B78" s="33"/>
      <c r="C78" s="33"/>
      <c r="E78" s="42" t="s">
        <v>84</v>
      </c>
      <c r="F78" s="42">
        <v>2</v>
      </c>
      <c r="G78" s="42"/>
      <c r="H78" s="6"/>
      <c r="I78" s="6"/>
      <c r="J78" s="110" t="s">
        <v>90</v>
      </c>
      <c r="K78" s="110" t="s">
        <v>89</v>
      </c>
      <c r="L78" s="72" t="s">
        <v>38</v>
      </c>
      <c r="M78" s="108" t="s">
        <v>39</v>
      </c>
    </row>
    <row r="79" spans="2:17" ht="15" hidden="1" customHeight="1" x14ac:dyDescent="0.3">
      <c r="B79" s="33"/>
      <c r="C79" s="33"/>
      <c r="E79" s="42" t="s">
        <v>85</v>
      </c>
      <c r="F79">
        <v>3</v>
      </c>
      <c r="G79" s="42"/>
      <c r="H79" s="6">
        <f>IF(F29=1,2,)</f>
        <v>2</v>
      </c>
      <c r="I79" s="6">
        <f>IF(F29=1,2,)</f>
        <v>2</v>
      </c>
      <c r="J79" s="1">
        <f t="shared" ref="J79:K81" si="0">D17</f>
        <v>0</v>
      </c>
      <c r="K79" s="1">
        <f t="shared" si="0"/>
        <v>0</v>
      </c>
      <c r="L79" s="68" t="s">
        <v>91</v>
      </c>
      <c r="M79" s="69">
        <v>0.01</v>
      </c>
    </row>
    <row r="80" spans="2:17" ht="15" hidden="1" customHeight="1" thickBot="1" x14ac:dyDescent="0.35">
      <c r="B80" s="33"/>
      <c r="C80" s="33"/>
      <c r="E80" s="42" t="s">
        <v>87</v>
      </c>
      <c r="F80">
        <v>4</v>
      </c>
      <c r="G80" s="42"/>
      <c r="H80" s="6">
        <f>IF(F29&gt;=2,1,)</f>
        <v>0</v>
      </c>
      <c r="I80" s="6">
        <f>IF(F29&gt;=2,1,)</f>
        <v>0</v>
      </c>
      <c r="J80" s="1">
        <f t="shared" si="0"/>
        <v>0</v>
      </c>
      <c r="K80" s="1">
        <f t="shared" si="0"/>
        <v>0</v>
      </c>
      <c r="L80" s="68" t="s">
        <v>92</v>
      </c>
      <c r="M80" s="69">
        <v>1.7500000000000002E-2</v>
      </c>
    </row>
    <row r="81" spans="2:14" ht="15" hidden="1" customHeight="1" thickTop="1" thickBot="1" x14ac:dyDescent="0.35">
      <c r="B81" s="33"/>
      <c r="C81" s="33"/>
      <c r="E81" s="33"/>
      <c r="F81" s="48">
        <v>1</v>
      </c>
      <c r="G81" s="33"/>
      <c r="H81" s="109">
        <f>MAX(H79:H80)</f>
        <v>2</v>
      </c>
      <c r="I81" s="109">
        <f>MAX(I79:I80)</f>
        <v>2</v>
      </c>
      <c r="J81" s="1">
        <f t="shared" si="0"/>
        <v>0</v>
      </c>
      <c r="K81" s="1">
        <f t="shared" si="0"/>
        <v>0</v>
      </c>
      <c r="L81" s="68" t="s">
        <v>93</v>
      </c>
      <c r="M81" s="69">
        <v>0.03</v>
      </c>
    </row>
    <row r="82" spans="2:14" ht="15" hidden="1" customHeight="1" thickTop="1" x14ac:dyDescent="0.3">
      <c r="B82" s="33"/>
      <c r="C82" s="33"/>
      <c r="E82" s="33" t="s">
        <v>10</v>
      </c>
      <c r="F82" s="49">
        <v>1</v>
      </c>
      <c r="G82" s="33"/>
      <c r="H82" s="33"/>
      <c r="J82" s="58" t="b">
        <f>IF(G70&gt;1,SUM(J79:J81))</f>
        <v>0</v>
      </c>
      <c r="K82" s="58" t="b">
        <f>IF(H70&gt;1,SUM(K79:K81,))</f>
        <v>0</v>
      </c>
      <c r="L82" s="70" t="s">
        <v>94</v>
      </c>
      <c r="M82" s="71">
        <v>3.5000000000000003E-2</v>
      </c>
    </row>
    <row r="83" spans="2:14" ht="15" hidden="1" customHeight="1" x14ac:dyDescent="0.3">
      <c r="B83" s="33"/>
      <c r="C83" s="33"/>
      <c r="E83" s="49" t="s">
        <v>11</v>
      </c>
      <c r="F83" s="49">
        <v>2</v>
      </c>
      <c r="G83" s="33"/>
      <c r="H83" s="33"/>
      <c r="M83" s="29"/>
      <c r="N83" s="29"/>
    </row>
    <row r="84" spans="2:14" ht="15" hidden="1" customHeight="1" thickBot="1" x14ac:dyDescent="0.35">
      <c r="B84" s="33"/>
      <c r="C84" s="33"/>
      <c r="E84" s="49" t="s">
        <v>12</v>
      </c>
      <c r="F84" s="49">
        <v>3</v>
      </c>
      <c r="G84" s="33"/>
      <c r="H84" s="33"/>
    </row>
    <row r="85" spans="2:14" ht="15" hidden="1" customHeight="1" thickTop="1" thickBot="1" x14ac:dyDescent="0.35">
      <c r="C85" s="33"/>
      <c r="E85" s="33"/>
      <c r="F85" s="48">
        <v>1</v>
      </c>
      <c r="G85" s="33"/>
      <c r="H85" s="33"/>
      <c r="M85" s="51"/>
    </row>
    <row r="86" spans="2:14" ht="15" hidden="1" customHeight="1" thickTop="1" x14ac:dyDescent="0.3">
      <c r="C86" s="33"/>
      <c r="E86" s="33"/>
      <c r="F86" s="33"/>
      <c r="G86" s="33"/>
      <c r="H86" s="33"/>
      <c r="M86" s="29"/>
      <c r="N86" s="29"/>
    </row>
    <row r="87" spans="2:14" ht="15" hidden="1" customHeight="1" x14ac:dyDescent="0.3">
      <c r="C87" s="33"/>
      <c r="E87" s="33"/>
      <c r="F87" s="33"/>
      <c r="G87" s="33"/>
      <c r="H87" s="33"/>
    </row>
    <row r="88" spans="2:14" ht="15" hidden="1" customHeight="1" x14ac:dyDescent="0.3">
      <c r="C88" s="33"/>
      <c r="E88" s="33"/>
      <c r="F88" s="33"/>
      <c r="G88" s="7" t="b">
        <f>IF(G4&gt;1,IF(G14&lt;4104,G14,IF(G6+G7&gt;=4104,G6+G7,4104)))</f>
        <v>0</v>
      </c>
      <c r="H88" s="31" t="b">
        <f>IF(H4&gt;1,IF(H14&lt;4104,H14,IF(H6+H7&gt;=4104,H6+H7,4104)))</f>
        <v>0</v>
      </c>
      <c r="J88" s="42"/>
    </row>
    <row r="89" spans="2:14" ht="15" hidden="1" customHeight="1" x14ac:dyDescent="0.3">
      <c r="C89" s="33"/>
      <c r="E89" s="33"/>
      <c r="F89" s="33"/>
      <c r="G89" s="33"/>
      <c r="H89" s="33"/>
      <c r="J89" s="42"/>
    </row>
    <row r="90" spans="2:14" ht="15" hidden="1" customHeight="1" x14ac:dyDescent="0.3">
      <c r="C90" s="33"/>
      <c r="E90" s="33"/>
      <c r="F90" s="33"/>
      <c r="G90" s="7" t="b">
        <f>IF(D4&gt;1,IF(D14&lt;4104,D14,IF(D6+D7&gt;=4104,D6+D7,4104)))</f>
        <v>0</v>
      </c>
      <c r="H90" s="31" t="b">
        <f>IF(E4&gt;1,IF(E14&lt;4104,E14,IF(E6+E7&gt;=4104,E6+E7,4104)))</f>
        <v>0</v>
      </c>
      <c r="I90" s="42"/>
      <c r="J90" s="42"/>
    </row>
    <row r="91" spans="2:14" ht="15" hidden="1" customHeight="1" x14ac:dyDescent="0.3">
      <c r="C91" s="33"/>
      <c r="E91" s="33"/>
      <c r="F91" s="33"/>
      <c r="G91" s="33"/>
      <c r="H91" s="33"/>
    </row>
    <row r="92" spans="2:14" ht="15" hidden="1" customHeight="1" x14ac:dyDescent="0.3"/>
    <row r="93" spans="2:14" ht="15" hidden="1" customHeight="1" x14ac:dyDescent="0.3"/>
    <row r="94" spans="2:14" ht="15" hidden="1" customHeight="1" x14ac:dyDescent="0.3">
      <c r="L94" s="65" t="s">
        <v>32</v>
      </c>
    </row>
    <row r="95" spans="2:14" ht="15" hidden="1" customHeight="1" x14ac:dyDescent="0.3">
      <c r="L95" s="66"/>
    </row>
    <row r="96" spans="2:14" ht="15" hidden="1" customHeight="1" x14ac:dyDescent="0.3">
      <c r="L96" s="66" t="s">
        <v>33</v>
      </c>
    </row>
    <row r="97" spans="12:12" ht="15" hidden="1" customHeight="1" x14ac:dyDescent="0.3">
      <c r="L97" s="66"/>
    </row>
    <row r="98" spans="12:12" ht="15" hidden="1" customHeight="1" x14ac:dyDescent="0.3">
      <c r="L98" s="66" t="s">
        <v>34</v>
      </c>
    </row>
    <row r="99" spans="12:12" ht="15" hidden="1" customHeight="1" x14ac:dyDescent="0.3">
      <c r="L99" s="66"/>
    </row>
    <row r="100" spans="12:12" ht="15" hidden="1" customHeight="1" x14ac:dyDescent="0.3">
      <c r="L100" s="66" t="s">
        <v>35</v>
      </c>
    </row>
    <row r="101" spans="12:12" ht="15" hidden="1" customHeight="1" x14ac:dyDescent="0.3">
      <c r="L101" s="66"/>
    </row>
    <row r="102" spans="12:12" ht="15" hidden="1" customHeight="1" x14ac:dyDescent="0.3">
      <c r="L102" s="67" t="s">
        <v>36</v>
      </c>
    </row>
    <row r="103" spans="12:12" ht="15" hidden="1" customHeight="1" x14ac:dyDescent="0.3"/>
    <row r="104" spans="12:12" ht="15" hidden="1" customHeight="1" x14ac:dyDescent="0.3"/>
    <row r="105" spans="12:12" ht="15" hidden="1" customHeight="1" x14ac:dyDescent="0.3"/>
  </sheetData>
  <sheetProtection algorithmName="SHA-512" hashValue="tiIfrghB65Q7EvA6gn6G/4eTqNGb62mXtpyZ9nbZJuqyyuN1zXpmNIuL+T94F82GngrIPNR0tEfZDbLEkj84tg==" saltValue="cid8Geqg03MlVkOK38Dk4A==" spinCount="100000" sheet="1" objects="1" scenarios="1"/>
  <mergeCells count="76">
    <mergeCell ref="E34:H34"/>
    <mergeCell ref="E35:H35"/>
    <mergeCell ref="E36:H36"/>
    <mergeCell ref="A29:B29"/>
    <mergeCell ref="B28:C28"/>
    <mergeCell ref="B20:C20"/>
    <mergeCell ref="B23:C23"/>
    <mergeCell ref="B24:C24"/>
    <mergeCell ref="B25:C25"/>
    <mergeCell ref="B27:C27"/>
    <mergeCell ref="E54:F54"/>
    <mergeCell ref="E55:F55"/>
    <mergeCell ref="E56:F56"/>
    <mergeCell ref="G50:G51"/>
    <mergeCell ref="C50:F51"/>
    <mergeCell ref="E52:F52"/>
    <mergeCell ref="O50:O51"/>
    <mergeCell ref="P50:P51"/>
    <mergeCell ref="E53:F53"/>
    <mergeCell ref="G1:H1"/>
    <mergeCell ref="K50:K51"/>
    <mergeCell ref="L50:L51"/>
    <mergeCell ref="M50:M51"/>
    <mergeCell ref="N50:N51"/>
    <mergeCell ref="H50:H51"/>
    <mergeCell ref="D1:E1"/>
    <mergeCell ref="I50:J51"/>
    <mergeCell ref="I52:J52"/>
    <mergeCell ref="I53:J53"/>
    <mergeCell ref="E32:H32"/>
    <mergeCell ref="E33:H33"/>
    <mergeCell ref="B1:C1"/>
    <mergeCell ref="B2:C2"/>
    <mergeCell ref="B3:C3"/>
    <mergeCell ref="B6:C6"/>
    <mergeCell ref="B7:C7"/>
    <mergeCell ref="B4:C4"/>
    <mergeCell ref="B18:C18"/>
    <mergeCell ref="B19:C19"/>
    <mergeCell ref="B26:C26"/>
    <mergeCell ref="B5:C5"/>
    <mergeCell ref="B22:C22"/>
    <mergeCell ref="B8:C8"/>
    <mergeCell ref="B9:C9"/>
    <mergeCell ref="B10:C10"/>
    <mergeCell ref="B11:C11"/>
    <mergeCell ref="B13:C13"/>
    <mergeCell ref="B14:C14"/>
    <mergeCell ref="B15:C15"/>
    <mergeCell ref="B16:C16"/>
    <mergeCell ref="B12:C12"/>
    <mergeCell ref="N59:N60"/>
    <mergeCell ref="O59:O60"/>
    <mergeCell ref="P59:P60"/>
    <mergeCell ref="I63:J63"/>
    <mergeCell ref="I64:J64"/>
    <mergeCell ref="K59:K60"/>
    <mergeCell ref="I59:J60"/>
    <mergeCell ref="I61:J61"/>
    <mergeCell ref="I62:J62"/>
    <mergeCell ref="I65:J65"/>
    <mergeCell ref="A11:A12"/>
    <mergeCell ref="A1:A2"/>
    <mergeCell ref="L59:L60"/>
    <mergeCell ref="M59:M60"/>
    <mergeCell ref="C59:F60"/>
    <mergeCell ref="G59:G60"/>
    <mergeCell ref="H59:H60"/>
    <mergeCell ref="I54:J54"/>
    <mergeCell ref="I55:J55"/>
    <mergeCell ref="I56:J56"/>
    <mergeCell ref="A13:A19"/>
    <mergeCell ref="A20:A28"/>
    <mergeCell ref="A3:A10"/>
    <mergeCell ref="B17:C17"/>
    <mergeCell ref="B21:C21"/>
  </mergeCells>
  <pageMargins left="0.7" right="0.7" top="0.75" bottom="0.75" header="0.3" footer="0.3"/>
  <pageSetup paperSize="9" orientation="portrait" horizontalDpi="1200" verticalDpi="1200" r:id="rId1"/>
  <ignoredErrors>
    <ignoredError sqref="M58:M65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Drop Down 2">
              <controlPr defaultSize="0" autoLine="0" autoPict="0">
                <anchor moveWithCells="1">
                  <from>
                    <xdr:col>1</xdr:col>
                    <xdr:colOff>3345180</xdr:colOff>
                    <xdr:row>28</xdr:row>
                    <xdr:rowOff>30480</xdr:rowOff>
                  </from>
                  <to>
                    <xdr:col>4</xdr:col>
                    <xdr:colOff>822960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Drop Down 3">
              <controlPr defaultSize="0" autoLine="0" autoPict="0">
                <anchor moveWithCells="1">
                  <from>
                    <xdr:col>6</xdr:col>
                    <xdr:colOff>22860</xdr:colOff>
                    <xdr:row>28</xdr:row>
                    <xdr:rowOff>22860</xdr:rowOff>
                  </from>
                  <to>
                    <xdr:col>6</xdr:col>
                    <xdr:colOff>853440</xdr:colOff>
                    <xdr:row>28</xdr:row>
                    <xdr:rowOff>274320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ACDE651F-EB96-46C3-87D1-BB9A5A8F8E07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E6E9456B-008E-41A6-8E20-78ED887EA86E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Sobretaxa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Mesquita</dc:creator>
  <cp:lastModifiedBy>Utilizador</cp:lastModifiedBy>
  <dcterms:created xsi:type="dcterms:W3CDTF">2013-12-31T15:46:17Z</dcterms:created>
  <dcterms:modified xsi:type="dcterms:W3CDTF">2016-11-14T21:08:06Z</dcterms:modified>
</cp:coreProperties>
</file>