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exandre\"/>
    </mc:Choice>
  </mc:AlternateContent>
  <bookViews>
    <workbookView xWindow="0" yWindow="0" windowWidth="20490" windowHeight="7530"/>
  </bookViews>
  <sheets>
    <sheet name="Demonstração resultados" sheetId="1" r:id="rId1"/>
    <sheet name="Mapa investimento" sheetId="2" r:id="rId2"/>
    <sheet name="Mapa finan. de investimento" sheetId="3" r:id="rId3"/>
    <sheet name="Taxa de atualização" sheetId="4" r:id="rId4"/>
    <sheet name="Mapa fluxo de caixa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5" l="1"/>
  <c r="D17" i="5" l="1"/>
  <c r="L12" i="5"/>
  <c r="L13" i="5"/>
  <c r="L11" i="5"/>
  <c r="C4" i="4" l="1"/>
  <c r="D10" i="5"/>
  <c r="E10" i="5"/>
  <c r="F10" i="5"/>
  <c r="F9" i="5"/>
  <c r="G9" i="5"/>
  <c r="E6" i="5"/>
  <c r="D3" i="5"/>
  <c r="P8" i="2"/>
  <c r="P7" i="2"/>
  <c r="G14" i="3" l="1"/>
  <c r="F7" i="3" l="1"/>
  <c r="F14" i="3"/>
  <c r="P6" i="3"/>
  <c r="D9" i="5"/>
  <c r="I16" i="1" l="1"/>
  <c r="J16" i="1"/>
  <c r="E6" i="3"/>
  <c r="F6" i="3"/>
  <c r="G6" i="5" l="1"/>
  <c r="E4" i="5"/>
  <c r="D4" i="5"/>
  <c r="D11" i="5" l="1"/>
  <c r="D13" i="5" s="1"/>
  <c r="D14" i="5" l="1"/>
  <c r="D4" i="4" l="1"/>
  <c r="D5" i="4"/>
  <c r="N8" i="3"/>
  <c r="M8" i="3"/>
  <c r="M7" i="3"/>
  <c r="G12" i="5" l="1"/>
  <c r="F12" i="5"/>
  <c r="E12" i="5"/>
  <c r="M17" i="3"/>
  <c r="G6" i="3"/>
  <c r="N6" i="3"/>
  <c r="O8" i="3"/>
  <c r="O7" i="3"/>
  <c r="O6" i="3"/>
  <c r="P7" i="3"/>
  <c r="P8" i="3"/>
  <c r="O4" i="3"/>
  <c r="O15" i="3"/>
  <c r="D15" i="3"/>
  <c r="D9" i="3"/>
  <c r="O17" i="3" l="1"/>
  <c r="O20" i="3" s="1"/>
  <c r="H16" i="1" s="1"/>
  <c r="P17" i="3"/>
  <c r="N17" i="3" s="1"/>
  <c r="F6" i="5"/>
  <c r="Q8" i="2" l="1"/>
  <c r="R8" i="2"/>
  <c r="I6" i="2" l="1"/>
  <c r="J6" i="2"/>
  <c r="H6" i="2"/>
  <c r="Q7" i="2"/>
  <c r="R7" i="2"/>
  <c r="G4" i="2" l="1"/>
  <c r="G10" i="2" s="1"/>
  <c r="G9" i="2"/>
  <c r="J4" i="2"/>
  <c r="I4" i="2"/>
  <c r="H4" i="2"/>
  <c r="I9" i="1"/>
  <c r="I11" i="1" s="1"/>
  <c r="I13" i="1" s="1"/>
  <c r="I15" i="1" s="1"/>
  <c r="I17" i="1" s="1"/>
  <c r="I18" i="1" s="1"/>
  <c r="J9" i="1"/>
  <c r="H9" i="1"/>
  <c r="H11" i="1" s="1"/>
  <c r="H13" i="1" s="1"/>
  <c r="I6" i="1"/>
  <c r="J6" i="1"/>
  <c r="H6" i="1"/>
  <c r="J11" i="1"/>
  <c r="J13" i="1" s="1"/>
  <c r="J15" i="1" s="1"/>
  <c r="J17" i="1" s="1"/>
  <c r="J18" i="1" s="1"/>
  <c r="H15" i="1" l="1"/>
  <c r="H17" i="1" s="1"/>
  <c r="J19" i="1"/>
  <c r="G13" i="3" s="1"/>
  <c r="G15" i="3" s="1"/>
  <c r="I19" i="1"/>
  <c r="F13" i="3" s="1"/>
  <c r="F15" i="3" s="1"/>
  <c r="G5" i="5" l="1"/>
  <c r="F5" i="5"/>
  <c r="H18" i="1"/>
  <c r="H19" i="1" s="1"/>
  <c r="E13" i="3" s="1"/>
  <c r="E5" i="5" s="1"/>
  <c r="E9" i="5" s="1"/>
  <c r="E15" i="3" l="1"/>
  <c r="R9" i="2"/>
  <c r="J7" i="2" s="1"/>
  <c r="J8" i="2" s="1"/>
  <c r="P9" i="2" l="1"/>
  <c r="H7" i="2" s="1"/>
  <c r="H8" i="2" s="1"/>
  <c r="H9" i="2" s="1"/>
  <c r="H10" i="2" s="1"/>
  <c r="E5" i="3" l="1"/>
  <c r="E9" i="3" s="1"/>
  <c r="E3" i="5"/>
  <c r="E11" i="5" s="1"/>
  <c r="Q9" i="2"/>
  <c r="I7" i="2" s="1"/>
  <c r="I8" i="2" s="1"/>
  <c r="J9" i="2" l="1"/>
  <c r="J10" i="2" s="1"/>
  <c r="I9" i="2"/>
  <c r="I10" i="2" s="1"/>
  <c r="E13" i="5"/>
  <c r="N7" i="3"/>
  <c r="F3" i="5" l="1"/>
  <c r="F11" i="5" s="1"/>
  <c r="F5" i="3"/>
  <c r="F9" i="3" s="1"/>
  <c r="G8" i="5"/>
  <c r="G11" i="5" s="1"/>
  <c r="G13" i="5" s="1"/>
  <c r="E14" i="5"/>
  <c r="G3" i="5"/>
  <c r="G10" i="5" s="1"/>
  <c r="G5" i="3"/>
  <c r="G9" i="3" s="1"/>
  <c r="F13" i="5" l="1"/>
  <c r="F14" i="5" l="1"/>
  <c r="G14" i="5" l="1"/>
  <c r="D15" i="5" s="1"/>
</calcChain>
</file>

<file path=xl/sharedStrings.xml><?xml version="1.0" encoding="utf-8"?>
<sst xmlns="http://schemas.openxmlformats.org/spreadsheetml/2006/main" count="91" uniqueCount="81">
  <si>
    <t>DEMONSTRAÇÃO DOS RESULTADOS PREVISIONAIS</t>
  </si>
  <si>
    <t>RENDIMENTOS</t>
  </si>
  <si>
    <t>Vendas em quantidades</t>
  </si>
  <si>
    <t xml:space="preserve">      Preço unitário de venda</t>
  </si>
  <si>
    <t>Vendas em valor</t>
  </si>
  <si>
    <t>GASTOS</t>
  </si>
  <si>
    <t>Custos variáveis</t>
  </si>
  <si>
    <t>Custos fixos</t>
  </si>
  <si>
    <t>Soma</t>
  </si>
  <si>
    <t>Resultado antes de Depreciações e Gastos de Financiamento</t>
  </si>
  <si>
    <t>Amortizações</t>
  </si>
  <si>
    <t>RESULTADO OPERACIONAL</t>
  </si>
  <si>
    <t>Juros suportados</t>
  </si>
  <si>
    <t>RESULTADOS ANTES DE IMPOSTO</t>
  </si>
  <si>
    <t>Impostos sobre o rendimento</t>
  </si>
  <si>
    <t>RESULTADO LÍQUIDO DO EXERCÍCIO</t>
  </si>
  <si>
    <t>INVESTIMENTO EM CAP. FIXO</t>
  </si>
  <si>
    <t>Infraestruturas</t>
  </si>
  <si>
    <t>Total</t>
  </si>
  <si>
    <t>INVESTIMENTO EM FUNDO DE MANEIO</t>
  </si>
  <si>
    <t>Crédito concedido</t>
  </si>
  <si>
    <t>Crédito obtido</t>
  </si>
  <si>
    <t>Variação Necessidades em Fundo de Maneio</t>
  </si>
  <si>
    <t>INVESTIMENTO TOTAL</t>
  </si>
  <si>
    <t>Prazo médio de recebimentos</t>
  </si>
  <si>
    <t>Tempo (ano)</t>
  </si>
  <si>
    <t>C. Fixos</t>
  </si>
  <si>
    <t>C. Variáveis</t>
  </si>
  <si>
    <t>Cálculo crédito concedido:</t>
  </si>
  <si>
    <t>O financiamento do investimento será de   por capital próprio e o restante por empréstimo bancário a 3 anos, pago através de uma renda inteira, anual, de termos normais e constantes, à taxa de 8%.
Se houver necessidade de mais financiamento, só poderá ser de curto prazo e à taxa anual de 9,5% (NOTA: arredonde o eventual pedido de financiamento para os milhares de euros).
Não se prevê a existência de IVA.
A taxa de impostos sobre os lucros é de 25%, havendo a possibilidade de reporte de prejuízos para os anos seguintes.</t>
  </si>
  <si>
    <t>Dias de um ano</t>
  </si>
  <si>
    <t>PLANO FINANCEIRO</t>
  </si>
  <si>
    <t>Aplicações de Fundo</t>
  </si>
  <si>
    <t>Investimentos</t>
  </si>
  <si>
    <t>Investimentos em Fundo de Maneio</t>
  </si>
  <si>
    <t>Reembolso de financiamentos</t>
  </si>
  <si>
    <t>Reembolso de financiamentos de curto prazo</t>
  </si>
  <si>
    <t>Disponibilidades e aplicações finais</t>
  </si>
  <si>
    <t>Origem de fundos</t>
  </si>
  <si>
    <t>Capital social</t>
  </si>
  <si>
    <t>Financiamentos</t>
  </si>
  <si>
    <t>Autofinanciamentos</t>
  </si>
  <si>
    <t>Disponibilidades e aplicações iniciais</t>
  </si>
  <si>
    <t>Plano Financiamento c/ prestações Constantes</t>
  </si>
  <si>
    <t xml:space="preserve">Taxa Juro = </t>
  </si>
  <si>
    <t>Anos</t>
  </si>
  <si>
    <t>Cap. Divida</t>
  </si>
  <si>
    <t>Amortização</t>
  </si>
  <si>
    <t>Juros</t>
  </si>
  <si>
    <t>Prest. Anual</t>
  </si>
  <si>
    <t>Plano Financiamento Amortizações Constantes</t>
  </si>
  <si>
    <t>Total de Juros ano 1</t>
  </si>
  <si>
    <t>C= (Emprestimo * i)/ 1-(1+i)^-n</t>
  </si>
  <si>
    <t>Valores utilizados:</t>
  </si>
  <si>
    <t>(Taxa atualização) COC = rf + Prémio de risco</t>
  </si>
  <si>
    <t>rf</t>
  </si>
  <si>
    <t>Prémio r.</t>
  </si>
  <si>
    <t>COC</t>
  </si>
  <si>
    <t>Mapa de fluxo de caixa (Cenário inicial)</t>
  </si>
  <si>
    <t>Estimativas de rendibilidade</t>
  </si>
  <si>
    <t>Fluxos de caixa de investimentos (-)</t>
  </si>
  <si>
    <t>Fluxos de caixa de financiamento (+)</t>
  </si>
  <si>
    <t>Fluxos de caixa de autofinanciamento (+)</t>
  </si>
  <si>
    <t>Fluxos de caixa de amortização do financiamento (-)</t>
  </si>
  <si>
    <t>Valor residual do capital fixo (+)</t>
  </si>
  <si>
    <t>Valor residual do Fundo de Maneio (+)</t>
  </si>
  <si>
    <t xml:space="preserve">Fluxo de entradas de caixa </t>
  </si>
  <si>
    <t>Fluxos de saídas de caixa</t>
  </si>
  <si>
    <t>Fluxos de caixa totais</t>
  </si>
  <si>
    <t>Casf flow total</t>
  </si>
  <si>
    <t>Fator de atualização</t>
  </si>
  <si>
    <t>taxa de atualização</t>
  </si>
  <si>
    <t>Fluxo de caixa actualizado</t>
  </si>
  <si>
    <t>Investimento realizado no ano t</t>
  </si>
  <si>
    <t>Fluxo de caixa actualizado acumulado</t>
  </si>
  <si>
    <t>Valor Actualizado Líquido (VAL)</t>
  </si>
  <si>
    <t>Taxa interna de rendibilidade (TIR)</t>
  </si>
  <si>
    <t>Índice de rendibilidade (IR)</t>
  </si>
  <si>
    <t>Vendas em valor/ dias de um ano (360) x PMR</t>
  </si>
  <si>
    <t>Período de Recuperação do Investimento (PRI)</t>
  </si>
  <si>
    <t>&gt;3 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</si>
</sst>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164" formatCode="0.0%"/>
    <numFmt numFmtId="165" formatCode="#,##0.0000"/>
    <numFmt numFmtId="166" formatCode="#,##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8">
    <xf numFmtId="0" fontId="0" fillId="0" borderId="0" xfId="0"/>
    <xf numFmtId="0" fontId="1" fillId="2" borderId="1" xfId="0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1" fillId="0" borderId="0" xfId="0" applyFont="1"/>
    <xf numFmtId="0" fontId="0" fillId="0" borderId="5" xfId="0" applyBorder="1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right" vertical="center"/>
    </xf>
    <xf numFmtId="2" fontId="0" fillId="0" borderId="5" xfId="0" applyNumberFormat="1" applyBorder="1"/>
    <xf numFmtId="0" fontId="1" fillId="0" borderId="0" xfId="0" applyFont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6" xfId="0" applyFont="1" applyBorder="1"/>
    <xf numFmtId="0" fontId="0" fillId="0" borderId="6" xfId="0" applyBorder="1"/>
    <xf numFmtId="0" fontId="0" fillId="0" borderId="7" xfId="0" applyBorder="1"/>
    <xf numFmtId="0" fontId="1" fillId="0" borderId="6" xfId="0" applyFon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/>
    </xf>
    <xf numFmtId="1" fontId="1" fillId="0" borderId="0" xfId="0" applyNumberFormat="1" applyFont="1" applyAlignment="1">
      <alignment horizontal="right" vertical="center"/>
    </xf>
    <xf numFmtId="10" fontId="0" fillId="0" borderId="5" xfId="0" applyNumberFormat="1" applyBorder="1"/>
    <xf numFmtId="1" fontId="1" fillId="0" borderId="6" xfId="0" applyNumberFormat="1" applyFont="1" applyBorder="1" applyAlignment="1">
      <alignment horizontal="right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1" fontId="0" fillId="0" borderId="0" xfId="0" applyNumberFormat="1" applyFill="1" applyBorder="1" applyAlignment="1">
      <alignment horizontal="right"/>
    </xf>
    <xf numFmtId="1" fontId="1" fillId="0" borderId="0" xfId="0" applyNumberFormat="1" applyFont="1" applyFill="1" applyBorder="1" applyAlignment="1">
      <alignment horizontal="right" vertical="center"/>
    </xf>
    <xf numFmtId="1" fontId="0" fillId="0" borderId="0" xfId="0" applyNumberFormat="1" applyFill="1" applyBorder="1" applyAlignment="1">
      <alignment horizontal="right" vertical="center"/>
    </xf>
    <xf numFmtId="0" fontId="0" fillId="0" borderId="0" xfId="0" applyFill="1" applyBorder="1"/>
    <xf numFmtId="0" fontId="0" fillId="0" borderId="8" xfId="0" applyBorder="1" applyAlignment="1">
      <alignment horizontal="right"/>
    </xf>
    <xf numFmtId="0" fontId="0" fillId="0" borderId="3" xfId="0" applyBorder="1" applyAlignment="1">
      <alignment horizontal="right" vertical="center"/>
    </xf>
    <xf numFmtId="1" fontId="0" fillId="0" borderId="3" xfId="0" applyNumberFormat="1" applyBorder="1" applyAlignment="1">
      <alignment horizontal="right" vertical="center"/>
    </xf>
    <xf numFmtId="1" fontId="0" fillId="0" borderId="3" xfId="0" applyNumberFormat="1" applyBorder="1" applyAlignment="1">
      <alignment horizontal="right"/>
    </xf>
    <xf numFmtId="0" fontId="1" fillId="0" borderId="3" xfId="0" applyFont="1" applyBorder="1"/>
    <xf numFmtId="0" fontId="0" fillId="0" borderId="3" xfId="0" applyBorder="1"/>
    <xf numFmtId="0" fontId="0" fillId="0" borderId="4" xfId="0" applyBorder="1"/>
    <xf numFmtId="0" fontId="1" fillId="0" borderId="3" xfId="0" applyFont="1" applyBorder="1" applyAlignment="1">
      <alignment horizontal="right"/>
    </xf>
    <xf numFmtId="1" fontId="1" fillId="0" borderId="3" xfId="0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1" fillId="0" borderId="11" xfId="0" applyFont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5" xfId="0" applyBorder="1"/>
    <xf numFmtId="0" fontId="1" fillId="0" borderId="0" xfId="0" applyFont="1" applyBorder="1"/>
    <xf numFmtId="1" fontId="0" fillId="0" borderId="0" xfId="0" applyNumberFormat="1" applyBorder="1"/>
    <xf numFmtId="0" fontId="0" fillId="0" borderId="16" xfId="0" applyBorder="1"/>
    <xf numFmtId="0" fontId="0" fillId="0" borderId="17" xfId="0" applyBorder="1"/>
    <xf numFmtId="1" fontId="0" fillId="0" borderId="17" xfId="0" applyNumberFormat="1" applyBorder="1"/>
    <xf numFmtId="1" fontId="0" fillId="0" borderId="18" xfId="0" applyNumberFormat="1" applyBorder="1"/>
    <xf numFmtId="0" fontId="0" fillId="0" borderId="11" xfId="0" applyBorder="1"/>
    <xf numFmtId="0" fontId="0" fillId="0" borderId="0" xfId="0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center"/>
    </xf>
    <xf numFmtId="1" fontId="0" fillId="0" borderId="0" xfId="0" applyNumberFormat="1"/>
    <xf numFmtId="0" fontId="0" fillId="0" borderId="20" xfId="0" applyBorder="1" applyAlignment="1">
      <alignment horizontal="center"/>
    </xf>
    <xf numFmtId="3" fontId="0" fillId="0" borderId="13" xfId="0" applyNumberFormat="1" applyBorder="1" applyAlignment="1">
      <alignment horizontal="center"/>
    </xf>
    <xf numFmtId="0" fontId="0" fillId="0" borderId="21" xfId="0" applyBorder="1"/>
    <xf numFmtId="0" fontId="0" fillId="0" borderId="1" xfId="0" applyBorder="1"/>
    <xf numFmtId="0" fontId="0" fillId="0" borderId="2" xfId="0" applyBorder="1"/>
    <xf numFmtId="1" fontId="0" fillId="0" borderId="22" xfId="0" applyNumberFormat="1" applyBorder="1"/>
    <xf numFmtId="0" fontId="0" fillId="0" borderId="0" xfId="0" applyBorder="1"/>
    <xf numFmtId="1" fontId="0" fillId="0" borderId="23" xfId="0" applyNumberFormat="1" applyBorder="1"/>
    <xf numFmtId="0" fontId="0" fillId="0" borderId="5" xfId="0" applyBorder="1" applyAlignment="1">
      <alignment horizontal="right"/>
    </xf>
    <xf numFmtId="1" fontId="1" fillId="3" borderId="0" xfId="0" applyNumberFormat="1" applyFont="1" applyFill="1" applyBorder="1"/>
    <xf numFmtId="0" fontId="0" fillId="0" borderId="24" xfId="0" applyBorder="1" applyAlignment="1">
      <alignment horizontal="right"/>
    </xf>
    <xf numFmtId="1" fontId="0" fillId="0" borderId="25" xfId="0" applyNumberFormat="1" applyBorder="1"/>
    <xf numFmtId="0" fontId="0" fillId="0" borderId="26" xfId="0" applyBorder="1"/>
    <xf numFmtId="8" fontId="0" fillId="0" borderId="26" xfId="0" applyNumberFormat="1" applyBorder="1"/>
    <xf numFmtId="2" fontId="0" fillId="0" borderId="17" xfId="0" applyNumberFormat="1" applyBorder="1"/>
    <xf numFmtId="0" fontId="0" fillId="0" borderId="18" xfId="0" applyBorder="1"/>
    <xf numFmtId="2" fontId="0" fillId="0" borderId="0" xfId="0" applyNumberFormat="1"/>
    <xf numFmtId="0" fontId="0" fillId="0" borderId="27" xfId="0" applyBorder="1"/>
    <xf numFmtId="0" fontId="0" fillId="0" borderId="28" xfId="0" applyBorder="1"/>
    <xf numFmtId="0" fontId="0" fillId="0" borderId="29" xfId="0" applyBorder="1"/>
    <xf numFmtId="1" fontId="1" fillId="0" borderId="0" xfId="0" applyNumberFormat="1" applyFont="1"/>
    <xf numFmtId="0" fontId="1" fillId="0" borderId="0" xfId="0" applyFont="1" applyAlignment="1">
      <alignment horizontal="right"/>
    </xf>
    <xf numFmtId="164" fontId="0" fillId="0" borderId="0" xfId="1" applyNumberFormat="1" applyFont="1"/>
    <xf numFmtId="9" fontId="0" fillId="0" borderId="0" xfId="1" applyFont="1"/>
    <xf numFmtId="0" fontId="1" fillId="0" borderId="9" xfId="0" applyFont="1" applyBorder="1"/>
    <xf numFmtId="0" fontId="1" fillId="0" borderId="30" xfId="0" applyFont="1" applyBorder="1"/>
    <xf numFmtId="164" fontId="1" fillId="0" borderId="11" xfId="1" applyNumberFormat="1" applyFont="1" applyBorder="1"/>
    <xf numFmtId="10" fontId="0" fillId="0" borderId="0" xfId="0" applyNumberFormat="1"/>
    <xf numFmtId="0" fontId="1" fillId="0" borderId="0" xfId="1" applyNumberFormat="1" applyFont="1"/>
    <xf numFmtId="0" fontId="0" fillId="0" borderId="28" xfId="0" applyBorder="1" applyAlignment="1">
      <alignment horizontal="center"/>
    </xf>
    <xf numFmtId="3" fontId="0" fillId="0" borderId="28" xfId="0" applyNumberFormat="1" applyBorder="1" applyAlignment="1">
      <alignment horizontal="center"/>
    </xf>
    <xf numFmtId="3" fontId="0" fillId="0" borderId="29" xfId="0" applyNumberFormat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3" fontId="0" fillId="0" borderId="27" xfId="0" applyNumberFormat="1" applyBorder="1"/>
    <xf numFmtId="3" fontId="0" fillId="0" borderId="28" xfId="0" applyNumberFormat="1" applyBorder="1"/>
    <xf numFmtId="3" fontId="0" fillId="0" borderId="29" xfId="0" applyNumberFormat="1" applyBorder="1"/>
    <xf numFmtId="3" fontId="0" fillId="0" borderId="15" xfId="0" applyNumberFormat="1" applyBorder="1"/>
    <xf numFmtId="3" fontId="0" fillId="0" borderId="0" xfId="0" applyNumberFormat="1" applyBorder="1"/>
    <xf numFmtId="3" fontId="0" fillId="0" borderId="26" xfId="0" applyNumberFormat="1" applyBorder="1"/>
    <xf numFmtId="3" fontId="0" fillId="0" borderId="16" xfId="0" applyNumberFormat="1" applyBorder="1"/>
    <xf numFmtId="3" fontId="0" fillId="0" borderId="17" xfId="0" applyNumberFormat="1" applyBorder="1"/>
    <xf numFmtId="3" fontId="0" fillId="0" borderId="18" xfId="0" applyNumberFormat="1" applyBorder="1"/>
    <xf numFmtId="3" fontId="0" fillId="0" borderId="11" xfId="0" applyNumberFormat="1" applyBorder="1"/>
    <xf numFmtId="165" fontId="0" fillId="0" borderId="27" xfId="0" applyNumberFormat="1" applyBorder="1"/>
    <xf numFmtId="165" fontId="0" fillId="0" borderId="28" xfId="0" applyNumberFormat="1" applyBorder="1"/>
    <xf numFmtId="165" fontId="0" fillId="0" borderId="29" xfId="0" applyNumberFormat="1" applyBorder="1"/>
    <xf numFmtId="4" fontId="0" fillId="0" borderId="15" xfId="0" applyNumberFormat="1" applyBorder="1"/>
    <xf numFmtId="10" fontId="0" fillId="0" borderId="15" xfId="0" applyNumberFormat="1" applyFill="1" applyBorder="1" applyAlignment="1">
      <alignment vertical="center"/>
    </xf>
    <xf numFmtId="166" fontId="0" fillId="0" borderId="16" xfId="0" applyNumberFormat="1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Fill="1" applyBorder="1" applyAlignment="1">
      <alignment horizontal="left"/>
    </xf>
    <xf numFmtId="0" fontId="0" fillId="0" borderId="17" xfId="0" applyFill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26" xfId="0" applyFill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16</xdr:row>
      <xdr:rowOff>76200</xdr:rowOff>
    </xdr:from>
    <xdr:to>
      <xdr:col>9</xdr:col>
      <xdr:colOff>247649</xdr:colOff>
      <xdr:row>28</xdr:row>
      <xdr:rowOff>9525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2F56C45B-D2A9-46E4-9481-15130AFBDAB0}"/>
            </a:ext>
          </a:extLst>
        </xdr:cNvPr>
        <xdr:cNvSpPr txBox="1"/>
      </xdr:nvSpPr>
      <xdr:spPr>
        <a:xfrm>
          <a:off x="276225" y="3190875"/>
          <a:ext cx="7096124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PT" sz="1100"/>
            <a:t>custos fixos: 60 000</a:t>
          </a:r>
        </a:p>
        <a:p>
          <a:r>
            <a:rPr lang="pt-PT" sz="1100"/>
            <a:t>amortizações:</a:t>
          </a:r>
          <a:r>
            <a:rPr lang="pt-PT" sz="1100" baseline="0"/>
            <a:t> 480000/ 4 anos= 120 000</a:t>
          </a:r>
        </a:p>
        <a:p>
          <a:r>
            <a:rPr lang="pt-PT" sz="1100" baseline="0"/>
            <a:t>A prestação anual dada pela formula à direita, em que:</a:t>
          </a:r>
        </a:p>
        <a:p>
          <a:pPr lvl="1"/>
          <a:r>
            <a:rPr lang="pt-PT" sz="1100" baseline="0"/>
            <a:t>  Emprestimo= 420 000</a:t>
          </a:r>
        </a:p>
        <a:p>
          <a:pPr lvl="1"/>
          <a:r>
            <a:rPr lang="pt-PT" sz="1100" baseline="0"/>
            <a:t>  i = 0,08</a:t>
          </a:r>
        </a:p>
        <a:p>
          <a:pPr lvl="1"/>
          <a:r>
            <a:rPr lang="pt-PT" sz="1100" baseline="0"/>
            <a:t>  n = 3 anos</a:t>
          </a:r>
        </a:p>
        <a:p>
          <a:pPr lvl="1"/>
          <a:r>
            <a:rPr lang="pt-PT" sz="1100" baseline="0"/>
            <a:t>  Sendo C o pretendido, a prestação anual.</a:t>
          </a:r>
        </a:p>
        <a:p>
          <a:pPr lvl="1"/>
          <a:endParaRPr lang="pt-PT" sz="1100" baseline="0"/>
        </a:p>
        <a:p>
          <a:r>
            <a:rPr lang="pt-PT" sz="1100" baseline="0"/>
            <a:t>Imposto sobre o rendimento: 25% sobre resultado antes do imposto. </a:t>
          </a:r>
        </a:p>
        <a:p>
          <a:endParaRPr lang="pt-PT" sz="1100" baseline="0"/>
        </a:p>
        <a:p>
          <a:endParaRPr lang="pt-PT" sz="1100" baseline="0"/>
        </a:p>
        <a:p>
          <a:endParaRPr lang="pt-PT" sz="1100"/>
        </a:p>
        <a:p>
          <a:endParaRPr lang="pt-PT" sz="1100"/>
        </a:p>
        <a:p>
          <a:endParaRPr lang="pt-PT" sz="1100"/>
        </a:p>
        <a:p>
          <a:endParaRPr lang="pt-PT" sz="1100"/>
        </a:p>
        <a:p>
          <a:endParaRPr lang="pt-PT" sz="1100"/>
        </a:p>
        <a:p>
          <a:endParaRPr lang="pt-PT" sz="1100"/>
        </a:p>
      </xdr:txBody>
    </xdr:sp>
    <xdr:clientData/>
  </xdr:twoCellAnchor>
  <xdr:twoCellAnchor editAs="oneCell">
    <xdr:from>
      <xdr:col>4</xdr:col>
      <xdr:colOff>381000</xdr:colOff>
      <xdr:row>19</xdr:row>
      <xdr:rowOff>9525</xdr:rowOff>
    </xdr:from>
    <xdr:to>
      <xdr:col>8</xdr:col>
      <xdr:colOff>117317</xdr:colOff>
      <xdr:row>22</xdr:row>
      <xdr:rowOff>66556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57FB6CF-CDBB-4597-B927-7BB04C29F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7700" y="3705225"/>
          <a:ext cx="2174717" cy="6285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0"/>
  <sheetViews>
    <sheetView tabSelected="1" workbookViewId="0">
      <selection activeCell="L11" sqref="L11"/>
    </sheetView>
  </sheetViews>
  <sheetFormatPr defaultRowHeight="15" x14ac:dyDescent="0.25"/>
  <sheetData>
    <row r="2" spans="1:12" x14ac:dyDescent="0.25">
      <c r="A2" s="1" t="s">
        <v>0</v>
      </c>
      <c r="B2" s="2"/>
      <c r="C2" s="2"/>
      <c r="D2" s="2"/>
      <c r="E2" s="2"/>
      <c r="F2" s="2"/>
      <c r="G2" s="3"/>
      <c r="H2" s="4">
        <v>1</v>
      </c>
      <c r="I2" s="4">
        <v>2</v>
      </c>
      <c r="J2" s="5">
        <v>3</v>
      </c>
      <c r="K2" s="24"/>
      <c r="L2" s="24"/>
    </row>
    <row r="3" spans="1:12" x14ac:dyDescent="0.25">
      <c r="A3" s="6" t="s">
        <v>1</v>
      </c>
      <c r="G3" s="7"/>
      <c r="H3" s="8"/>
      <c r="I3" s="9"/>
      <c r="J3" s="9"/>
      <c r="K3" s="25"/>
      <c r="L3" s="25"/>
    </row>
    <row r="4" spans="1:12" x14ac:dyDescent="0.25">
      <c r="B4" t="s">
        <v>2</v>
      </c>
      <c r="G4" s="7"/>
      <c r="H4" s="10">
        <v>6123</v>
      </c>
      <c r="I4" s="9">
        <v>6278</v>
      </c>
      <c r="J4" s="9">
        <v>6286</v>
      </c>
      <c r="K4" s="25"/>
      <c r="L4" s="25"/>
    </row>
    <row r="5" spans="1:12" x14ac:dyDescent="0.25">
      <c r="B5" t="s">
        <v>3</v>
      </c>
      <c r="G5" s="11">
        <v>60</v>
      </c>
      <c r="H5" s="8"/>
      <c r="I5" s="9"/>
      <c r="J5" s="9"/>
      <c r="K5" s="25"/>
      <c r="L5" s="25"/>
    </row>
    <row r="6" spans="1:12" x14ac:dyDescent="0.25">
      <c r="B6" t="s">
        <v>4</v>
      </c>
      <c r="G6" s="7"/>
      <c r="H6" s="12">
        <f>H4*$G$5</f>
        <v>367380</v>
      </c>
      <c r="I6" s="12">
        <f t="shared" ref="I6:J6" si="0">I4*$G$5</f>
        <v>376680</v>
      </c>
      <c r="J6" s="12">
        <f t="shared" si="0"/>
        <v>377160</v>
      </c>
      <c r="K6" s="26"/>
      <c r="L6" s="26"/>
    </row>
    <row r="7" spans="1:12" x14ac:dyDescent="0.25">
      <c r="G7" s="7"/>
      <c r="H7" s="8"/>
      <c r="I7" s="9"/>
      <c r="J7" s="9"/>
      <c r="K7" s="25"/>
      <c r="L7" s="25"/>
    </row>
    <row r="8" spans="1:12" x14ac:dyDescent="0.25">
      <c r="A8" s="6" t="s">
        <v>5</v>
      </c>
      <c r="G8" s="7"/>
      <c r="H8" s="8"/>
      <c r="I8" s="9"/>
      <c r="J8" s="9"/>
      <c r="K8" s="25"/>
      <c r="L8" s="25"/>
    </row>
    <row r="9" spans="1:12" x14ac:dyDescent="0.25">
      <c r="B9" t="s">
        <v>6</v>
      </c>
      <c r="G9" s="11">
        <v>20</v>
      </c>
      <c r="H9" s="8">
        <f>H4*$G$9</f>
        <v>122460</v>
      </c>
      <c r="I9" s="8">
        <f>I4*$G$9</f>
        <v>125560</v>
      </c>
      <c r="J9" s="8">
        <f t="shared" ref="J9" si="1">J4*$G$9</f>
        <v>125720</v>
      </c>
      <c r="K9" s="27"/>
      <c r="L9" s="27"/>
    </row>
    <row r="10" spans="1:12" x14ac:dyDescent="0.25">
      <c r="B10" t="s">
        <v>7</v>
      </c>
      <c r="G10" s="7"/>
      <c r="H10" s="13">
        <v>60000</v>
      </c>
      <c r="I10" s="13">
        <v>60000</v>
      </c>
      <c r="J10" s="13">
        <v>60000</v>
      </c>
      <c r="K10" s="27"/>
      <c r="L10" s="27"/>
    </row>
    <row r="11" spans="1:12" x14ac:dyDescent="0.25">
      <c r="C11" t="s">
        <v>8</v>
      </c>
      <c r="G11" s="7"/>
      <c r="H11" s="14">
        <f>SUM(H9:H10)</f>
        <v>182460</v>
      </c>
      <c r="I11" s="14">
        <f t="shared" ref="I11:J11" si="2">SUM(I9:I10)</f>
        <v>185560</v>
      </c>
      <c r="J11" s="14">
        <f t="shared" si="2"/>
        <v>185720</v>
      </c>
      <c r="K11" s="26"/>
      <c r="L11" s="26"/>
    </row>
    <row r="12" spans="1:12" x14ac:dyDescent="0.25">
      <c r="G12" s="7"/>
      <c r="H12" s="8"/>
      <c r="I12" s="9"/>
      <c r="J12" s="9"/>
      <c r="K12" s="25"/>
      <c r="L12" s="25"/>
    </row>
    <row r="13" spans="1:12" x14ac:dyDescent="0.25">
      <c r="A13" s="6" t="s">
        <v>9</v>
      </c>
      <c r="G13" s="7"/>
      <c r="H13" s="12">
        <f>H6-H11</f>
        <v>184920</v>
      </c>
      <c r="I13" s="12">
        <f t="shared" ref="I13:J13" si="3">I6-I11</f>
        <v>191120</v>
      </c>
      <c r="J13" s="12">
        <f t="shared" si="3"/>
        <v>191440</v>
      </c>
      <c r="K13" s="26"/>
      <c r="L13" s="26"/>
    </row>
    <row r="14" spans="1:12" x14ac:dyDescent="0.25">
      <c r="B14" t="s">
        <v>10</v>
      </c>
      <c r="G14" s="7"/>
      <c r="H14" s="8">
        <v>120000</v>
      </c>
      <c r="I14" s="8">
        <v>120000</v>
      </c>
      <c r="J14" s="8">
        <v>120000</v>
      </c>
      <c r="K14" s="27"/>
      <c r="L14" s="27"/>
    </row>
    <row r="15" spans="1:12" x14ac:dyDescent="0.25">
      <c r="A15" s="15" t="s">
        <v>11</v>
      </c>
      <c r="B15" s="16"/>
      <c r="C15" s="16"/>
      <c r="D15" s="16"/>
      <c r="E15" s="16"/>
      <c r="F15" s="16"/>
      <c r="G15" s="17"/>
      <c r="H15" s="18">
        <f>H13-H14</f>
        <v>64920</v>
      </c>
      <c r="I15" s="18">
        <f t="shared" ref="I15:J15" si="4">I13-I14</f>
        <v>71120</v>
      </c>
      <c r="J15" s="18">
        <f t="shared" si="4"/>
        <v>71440</v>
      </c>
      <c r="K15" s="26"/>
      <c r="L15" s="26"/>
    </row>
    <row r="16" spans="1:12" x14ac:dyDescent="0.25">
      <c r="B16" t="s">
        <v>12</v>
      </c>
      <c r="G16" s="7"/>
      <c r="H16" s="19">
        <f>'Mapa finan. de investimento'!O20</f>
        <v>39015</v>
      </c>
      <c r="I16" s="20">
        <f>'Mapa finan. de investimento'!O7</f>
        <v>23250.073928043377</v>
      </c>
      <c r="J16" s="20">
        <f>'Mapa finan. de investimento'!O8</f>
        <v>12072.153770330227</v>
      </c>
      <c r="K16" s="28"/>
      <c r="L16" s="25"/>
    </row>
    <row r="17" spans="1:12" x14ac:dyDescent="0.25">
      <c r="A17" s="6" t="s">
        <v>13</v>
      </c>
      <c r="G17" s="7"/>
      <c r="H17" s="21">
        <f>H15-H16</f>
        <v>25905</v>
      </c>
      <c r="I17" s="21">
        <f t="shared" ref="I17:J17" si="5">I15-I16</f>
        <v>47869.926071956623</v>
      </c>
      <c r="J17" s="21">
        <f t="shared" si="5"/>
        <v>59367.846229669769</v>
      </c>
      <c r="K17" s="29"/>
      <c r="L17" s="29"/>
    </row>
    <row r="18" spans="1:12" x14ac:dyDescent="0.25">
      <c r="B18" t="s">
        <v>14</v>
      </c>
      <c r="G18" s="22">
        <v>0.25</v>
      </c>
      <c r="H18" s="10">
        <f>H17*$G$18</f>
        <v>6476.25</v>
      </c>
      <c r="I18" s="10">
        <f>I17*$G$18</f>
        <v>11967.481517989156</v>
      </c>
      <c r="J18" s="10">
        <f>J17*$G$18</f>
        <v>14841.961557417442</v>
      </c>
      <c r="K18" s="27"/>
      <c r="L18" s="30"/>
    </row>
    <row r="19" spans="1:12" x14ac:dyDescent="0.25">
      <c r="A19" s="15" t="s">
        <v>15</v>
      </c>
      <c r="B19" s="16"/>
      <c r="C19" s="16"/>
      <c r="D19" s="16"/>
      <c r="E19" s="16"/>
      <c r="F19" s="16"/>
      <c r="G19" s="17"/>
      <c r="H19" s="23">
        <f>H17-H18</f>
        <v>19428.75</v>
      </c>
      <c r="I19" s="23">
        <f t="shared" ref="I19:J19" si="6">I17-I18</f>
        <v>35902.444553967463</v>
      </c>
      <c r="J19" s="23">
        <f t="shared" si="6"/>
        <v>44525.88467225233</v>
      </c>
      <c r="K19" s="29"/>
      <c r="L19" s="29"/>
    </row>
    <row r="20" spans="1:12" x14ac:dyDescent="0.25">
      <c r="K20" s="31"/>
      <c r="L20" s="3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1"/>
  <sheetViews>
    <sheetView workbookViewId="0">
      <selection activeCell="R10" sqref="R10"/>
    </sheetView>
  </sheetViews>
  <sheetFormatPr defaultRowHeight="15" x14ac:dyDescent="0.25"/>
  <cols>
    <col min="14" max="14" width="14.28515625" customWidth="1"/>
  </cols>
  <sheetData>
    <row r="2" spans="1:20" x14ac:dyDescent="0.25">
      <c r="A2" s="1" t="s">
        <v>16</v>
      </c>
      <c r="B2" s="2"/>
      <c r="C2" s="2"/>
      <c r="D2" s="2"/>
      <c r="E2" s="2"/>
      <c r="F2" s="3"/>
      <c r="G2" s="4">
        <v>0</v>
      </c>
      <c r="H2" s="4">
        <v>1</v>
      </c>
      <c r="I2" s="4">
        <v>2</v>
      </c>
      <c r="J2" s="4">
        <v>3</v>
      </c>
      <c r="K2" s="55"/>
      <c r="L2" s="55"/>
    </row>
    <row r="3" spans="1:20" ht="15.75" thickBot="1" x14ac:dyDescent="0.3">
      <c r="A3" t="s">
        <v>17</v>
      </c>
      <c r="F3" s="7"/>
      <c r="G3" s="9">
        <v>480000</v>
      </c>
      <c r="H3" s="8"/>
      <c r="I3" s="9"/>
      <c r="J3" s="9"/>
      <c r="K3" s="25"/>
      <c r="L3" s="25"/>
      <c r="N3" t="s">
        <v>28</v>
      </c>
      <c r="Q3" t="s">
        <v>78</v>
      </c>
    </row>
    <row r="4" spans="1:20" ht="15.75" thickBot="1" x14ac:dyDescent="0.3">
      <c r="C4" t="s">
        <v>18</v>
      </c>
      <c r="F4" s="7"/>
      <c r="G4" s="32">
        <f>G3</f>
        <v>480000</v>
      </c>
      <c r="H4" s="33">
        <f>H3</f>
        <v>0</v>
      </c>
      <c r="I4" s="33">
        <f t="shared" ref="I4:J4" si="0">I3</f>
        <v>0</v>
      </c>
      <c r="J4" s="33">
        <f t="shared" si="0"/>
        <v>0</v>
      </c>
      <c r="K4" s="27"/>
      <c r="L4" s="27"/>
      <c r="N4" s="42" t="s">
        <v>24</v>
      </c>
      <c r="O4" s="43"/>
      <c r="P4" s="43"/>
      <c r="Q4" s="44">
        <v>90</v>
      </c>
    </row>
    <row r="5" spans="1:20" ht="15.75" thickBot="1" x14ac:dyDescent="0.3">
      <c r="A5" s="1" t="s">
        <v>19</v>
      </c>
      <c r="B5" s="2"/>
      <c r="C5" s="2"/>
      <c r="D5" s="2"/>
      <c r="E5" s="2"/>
      <c r="F5" s="3"/>
      <c r="G5" s="9"/>
      <c r="H5" s="8"/>
      <c r="I5" s="9"/>
      <c r="J5" s="9"/>
      <c r="K5" s="25"/>
      <c r="L5" s="25"/>
      <c r="N5" s="42" t="s">
        <v>30</v>
      </c>
      <c r="O5" s="43"/>
      <c r="P5" s="54">
        <v>360</v>
      </c>
    </row>
    <row r="6" spans="1:20" x14ac:dyDescent="0.25">
      <c r="A6" t="s">
        <v>20</v>
      </c>
      <c r="F6" s="7"/>
      <c r="G6" s="9"/>
      <c r="H6" s="10">
        <f>'Demonstração resultados'!H6/'Mapa investimento'!$P$5*'Mapa investimento'!$Q$4</f>
        <v>91845</v>
      </c>
      <c r="I6" s="10">
        <f>'Demonstração resultados'!I6/'Mapa investimento'!$P$5*'Mapa investimento'!$Q$4</f>
        <v>94170</v>
      </c>
      <c r="J6" s="10">
        <f>'Demonstração resultados'!J6/'Mapa investimento'!$P$5*'Mapa investimento'!$Q$4</f>
        <v>94290</v>
      </c>
      <c r="K6" s="30"/>
      <c r="L6" s="30"/>
      <c r="N6" s="108" t="s">
        <v>25</v>
      </c>
      <c r="O6" s="109"/>
      <c r="P6" s="45">
        <v>1</v>
      </c>
      <c r="Q6" s="45">
        <v>2</v>
      </c>
      <c r="R6" s="46">
        <v>3</v>
      </c>
      <c r="S6" s="57"/>
      <c r="T6" s="57"/>
    </row>
    <row r="7" spans="1:20" x14ac:dyDescent="0.25">
      <c r="A7" t="s">
        <v>21</v>
      </c>
      <c r="F7" s="7"/>
      <c r="G7" s="9"/>
      <c r="H7" s="10">
        <f>P9</f>
        <v>25410</v>
      </c>
      <c r="I7" s="10">
        <f t="shared" ref="I7:J7" si="1">Q9</f>
        <v>25926.666666666668</v>
      </c>
      <c r="J7" s="10">
        <f t="shared" si="1"/>
        <v>25953.333333333332</v>
      </c>
      <c r="K7" s="30"/>
      <c r="L7" s="30"/>
      <c r="N7" s="47" t="s">
        <v>26</v>
      </c>
      <c r="O7" s="48">
        <v>30</v>
      </c>
      <c r="P7" s="49">
        <f>'Demonstração resultados'!H10/'Mapa investimento'!$P$5*'Mapa investimento'!$O$7</f>
        <v>5000</v>
      </c>
      <c r="Q7" s="49">
        <f>'Demonstração resultados'!I10/'Mapa investimento'!$P$5*'Mapa investimento'!$O$7</f>
        <v>5000</v>
      </c>
      <c r="R7" s="49">
        <f>'Demonstração resultados'!J10/'Mapa investimento'!$P$5*'Mapa investimento'!$O$7</f>
        <v>5000</v>
      </c>
      <c r="S7" s="49"/>
      <c r="T7" s="49"/>
    </row>
    <row r="8" spans="1:20" x14ac:dyDescent="0.25">
      <c r="C8" t="s">
        <v>18</v>
      </c>
      <c r="F8" s="7"/>
      <c r="G8" s="32"/>
      <c r="H8" s="34">
        <f>H6-H7</f>
        <v>66435</v>
      </c>
      <c r="I8" s="34">
        <f t="shared" ref="I8:J8" si="2">I6-I7</f>
        <v>68243.333333333328</v>
      </c>
      <c r="J8" s="34">
        <f t="shared" si="2"/>
        <v>68336.666666666672</v>
      </c>
      <c r="K8" s="30"/>
      <c r="L8" s="30"/>
      <c r="N8" s="47" t="s">
        <v>27</v>
      </c>
      <c r="O8" s="48">
        <v>60</v>
      </c>
      <c r="P8" s="49">
        <f>'Demonstração resultados'!H9/'Mapa investimento'!$P$5*'Mapa investimento'!$O$8</f>
        <v>20410</v>
      </c>
      <c r="Q8" s="49">
        <f>'Demonstração resultados'!I9/'Mapa investimento'!$P$5*'Mapa investimento'!$O$8</f>
        <v>20926.666666666668</v>
      </c>
      <c r="R8" s="49">
        <f>'Demonstração resultados'!J9/'Mapa investimento'!$P$5*'Mapa investimento'!$O$8</f>
        <v>20953.333333333332</v>
      </c>
      <c r="S8" s="49"/>
      <c r="T8" s="49"/>
    </row>
    <row r="9" spans="1:20" ht="15.75" thickBot="1" x14ac:dyDescent="0.3">
      <c r="A9" t="s">
        <v>22</v>
      </c>
      <c r="F9" s="7"/>
      <c r="G9" s="32">
        <f>G8</f>
        <v>0</v>
      </c>
      <c r="H9" s="34">
        <f>H8-G8</f>
        <v>66435</v>
      </c>
      <c r="I9" s="35">
        <f>I8-H9</f>
        <v>1808.3333333333285</v>
      </c>
      <c r="J9" s="35">
        <f>J8-I8</f>
        <v>93.333333333343035</v>
      </c>
      <c r="K9" s="28"/>
      <c r="L9" s="28"/>
      <c r="N9" s="50" t="s">
        <v>21</v>
      </c>
      <c r="O9" s="51"/>
      <c r="P9" s="52">
        <f>SUM(P7:P8)</f>
        <v>25410</v>
      </c>
      <c r="Q9" s="52">
        <f t="shared" ref="Q9:R9" si="3">SUM(Q7:Q8)</f>
        <v>25926.666666666668</v>
      </c>
      <c r="R9" s="53">
        <f t="shared" si="3"/>
        <v>25953.333333333332</v>
      </c>
      <c r="S9" s="49"/>
      <c r="T9" s="49"/>
    </row>
    <row r="10" spans="1:20" x14ac:dyDescent="0.25">
      <c r="A10" s="36" t="s">
        <v>23</v>
      </c>
      <c r="B10" s="37"/>
      <c r="C10" s="37"/>
      <c r="D10" s="37"/>
      <c r="E10" s="37"/>
      <c r="F10" s="38"/>
      <c r="G10" s="39">
        <f>G4-G9</f>
        <v>480000</v>
      </c>
      <c r="H10" s="40">
        <f>H9</f>
        <v>66435</v>
      </c>
      <c r="I10" s="40">
        <f t="shared" ref="I10:J10" si="4">I9</f>
        <v>1808.3333333333285</v>
      </c>
      <c r="J10" s="40">
        <f t="shared" si="4"/>
        <v>93.333333333343035</v>
      </c>
      <c r="K10" s="56"/>
      <c r="L10" s="56"/>
      <c r="P10" s="58"/>
      <c r="Q10" s="58"/>
      <c r="R10" s="58"/>
    </row>
    <row r="11" spans="1:20" x14ac:dyDescent="0.25">
      <c r="H11" s="41"/>
    </row>
    <row r="12" spans="1:20" x14ac:dyDescent="0.25">
      <c r="A12" s="110" t="s">
        <v>29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</row>
    <row r="13" spans="1:20" x14ac:dyDescent="0.25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</row>
    <row r="14" spans="1:20" x14ac:dyDescent="0.25">
      <c r="A14" s="111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</row>
    <row r="15" spans="1:20" x14ac:dyDescent="0.25">
      <c r="A15" s="111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</row>
    <row r="16" spans="1:20" x14ac:dyDescent="0.25">
      <c r="A16" s="111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</row>
    <row r="17" spans="1:14" x14ac:dyDescent="0.25">
      <c r="A17" s="111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</row>
    <row r="18" spans="1:14" x14ac:dyDescent="0.25">
      <c r="A18" s="111"/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</row>
    <row r="19" spans="1:14" x14ac:dyDescent="0.25">
      <c r="A19" s="111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</row>
    <row r="20" spans="1:14" x14ac:dyDescent="0.25">
      <c r="A20" s="111"/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</row>
    <row r="21" spans="1:14" x14ac:dyDescent="0.25">
      <c r="A21" s="111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</row>
  </sheetData>
  <mergeCells count="2">
    <mergeCell ref="N6:O6"/>
    <mergeCell ref="A12:N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D11" sqref="D11"/>
    </sheetView>
  </sheetViews>
  <sheetFormatPr defaultRowHeight="15" x14ac:dyDescent="0.25"/>
  <cols>
    <col min="1" max="1" width="8.42578125" customWidth="1"/>
    <col min="2" max="2" width="22.140625" customWidth="1"/>
    <col min="3" max="3" width="21.42578125" customWidth="1"/>
    <col min="13" max="13" width="11.42578125" customWidth="1"/>
    <col min="14" max="14" width="12" customWidth="1"/>
  </cols>
  <sheetData>
    <row r="1" spans="1:17" ht="15.75" thickBot="1" x14ac:dyDescent="0.3"/>
    <row r="2" spans="1:17" ht="15.75" thickBot="1" x14ac:dyDescent="0.3">
      <c r="A2" s="112" t="s">
        <v>31</v>
      </c>
      <c r="B2" s="113"/>
      <c r="C2" s="114"/>
      <c r="D2" s="59">
        <v>0</v>
      </c>
      <c r="E2" s="60">
        <v>1</v>
      </c>
      <c r="F2" s="60">
        <v>2</v>
      </c>
      <c r="G2" s="60">
        <v>3</v>
      </c>
    </row>
    <row r="3" spans="1:17" ht="15.75" thickBot="1" x14ac:dyDescent="0.3">
      <c r="A3" s="61" t="s">
        <v>32</v>
      </c>
      <c r="B3" s="62"/>
      <c r="C3" s="63"/>
      <c r="D3" s="64"/>
      <c r="E3" s="49"/>
      <c r="F3" s="49"/>
      <c r="G3" s="49"/>
      <c r="K3" s="115" t="s">
        <v>43</v>
      </c>
      <c r="L3" s="116"/>
      <c r="M3" s="116"/>
      <c r="N3" s="116"/>
      <c r="O3" s="116"/>
      <c r="P3" s="116"/>
      <c r="Q3" s="117"/>
    </row>
    <row r="4" spans="1:17" x14ac:dyDescent="0.25">
      <c r="A4" s="47"/>
      <c r="B4" s="65" t="s">
        <v>33</v>
      </c>
      <c r="C4" s="7"/>
      <c r="D4" s="66">
        <v>480000</v>
      </c>
      <c r="E4" s="49"/>
      <c r="F4" s="49"/>
      <c r="G4" s="49"/>
      <c r="K4" s="47"/>
      <c r="L4" s="65"/>
      <c r="M4" s="65"/>
      <c r="N4" s="65" t="s">
        <v>44</v>
      </c>
      <c r="O4" s="65">
        <f>8/100</f>
        <v>0.08</v>
      </c>
      <c r="P4" s="65"/>
      <c r="Q4" s="71"/>
    </row>
    <row r="5" spans="1:17" x14ac:dyDescent="0.25">
      <c r="A5" s="47"/>
      <c r="B5" s="65" t="s">
        <v>34</v>
      </c>
      <c r="C5" s="7"/>
      <c r="D5" s="66">
        <v>0</v>
      </c>
      <c r="E5" s="49">
        <f>'Mapa investimento'!H10</f>
        <v>66435</v>
      </c>
      <c r="F5" s="49">
        <f>'Mapa investimento'!I10</f>
        <v>1808.3333333333285</v>
      </c>
      <c r="G5" s="49">
        <f>'Mapa investimento'!J10</f>
        <v>93.333333333343035</v>
      </c>
      <c r="K5" s="47"/>
      <c r="L5" s="65" t="s">
        <v>45</v>
      </c>
      <c r="M5" s="65" t="s">
        <v>46</v>
      </c>
      <c r="N5" s="65" t="s">
        <v>47</v>
      </c>
      <c r="O5" s="65" t="s">
        <v>48</v>
      </c>
      <c r="P5" s="65" t="s">
        <v>49</v>
      </c>
      <c r="Q5" s="71"/>
    </row>
    <row r="6" spans="1:17" x14ac:dyDescent="0.25">
      <c r="A6" s="47"/>
      <c r="B6" s="65" t="s">
        <v>35</v>
      </c>
      <c r="C6" s="7"/>
      <c r="D6" s="66"/>
      <c r="E6" s="49">
        <f>N6</f>
        <v>129374.07589945776</v>
      </c>
      <c r="F6" s="49">
        <f>N7</f>
        <v>139724.00197141437</v>
      </c>
      <c r="G6" s="49">
        <f>N8</f>
        <v>150901.92212912755</v>
      </c>
      <c r="K6" s="47"/>
      <c r="L6" s="65">
        <v>1</v>
      </c>
      <c r="M6" s="49">
        <v>420000</v>
      </c>
      <c r="N6" s="49">
        <f>+P6-O6</f>
        <v>129374.07589945776</v>
      </c>
      <c r="O6" s="49">
        <f>M6*$O$4</f>
        <v>33600</v>
      </c>
      <c r="P6" s="49">
        <f>($M$6*$O$4)/(1-(1+$O$4)^-3)</f>
        <v>162974.07589945776</v>
      </c>
      <c r="Q6" s="72"/>
    </row>
    <row r="7" spans="1:17" x14ac:dyDescent="0.25">
      <c r="A7" s="47"/>
      <c r="B7" s="65" t="s">
        <v>36</v>
      </c>
      <c r="C7" s="7"/>
      <c r="D7" s="66"/>
      <c r="E7" s="49"/>
      <c r="F7" s="49">
        <f>E12</f>
        <v>57000</v>
      </c>
      <c r="G7" s="49"/>
      <c r="K7" s="47"/>
      <c r="L7" s="65">
        <v>2</v>
      </c>
      <c r="M7" s="49">
        <f>+M6-N6</f>
        <v>290625.92410054221</v>
      </c>
      <c r="N7" s="49">
        <f t="shared" ref="N7" si="0">+P7-O7</f>
        <v>139724.00197141437</v>
      </c>
      <c r="O7" s="49">
        <f>M7*$O$4</f>
        <v>23250.073928043377</v>
      </c>
      <c r="P7" s="49">
        <f t="shared" ref="P7:P8" si="1">($M$6*$O$4)/(1-(1+$O$4)^-3)</f>
        <v>162974.07589945776</v>
      </c>
      <c r="Q7" s="71"/>
    </row>
    <row r="8" spans="1:17" x14ac:dyDescent="0.25">
      <c r="A8" s="47"/>
      <c r="B8" s="31" t="s">
        <v>37</v>
      </c>
      <c r="C8" s="7"/>
      <c r="D8" s="66"/>
      <c r="E8" s="49">
        <v>620</v>
      </c>
      <c r="F8" s="49">
        <v>-42010</v>
      </c>
      <c r="G8" s="49">
        <v>-28479</v>
      </c>
      <c r="K8" s="47"/>
      <c r="L8" s="65">
        <v>3</v>
      </c>
      <c r="M8" s="49">
        <f>+M7-N7</f>
        <v>150901.92212912784</v>
      </c>
      <c r="N8" s="49">
        <f>+P8-O8</f>
        <v>150901.92212912755</v>
      </c>
      <c r="O8" s="49">
        <f>M8*$O$4</f>
        <v>12072.153770330227</v>
      </c>
      <c r="P8" s="49">
        <f t="shared" si="1"/>
        <v>162974.07589945776</v>
      </c>
      <c r="Q8" s="71"/>
    </row>
    <row r="9" spans="1:17" x14ac:dyDescent="0.25">
      <c r="A9" s="47"/>
      <c r="B9" s="65"/>
      <c r="C9" s="67" t="s">
        <v>8</v>
      </c>
      <c r="D9" s="66">
        <f>SUM(D4:D8)</f>
        <v>480000</v>
      </c>
      <c r="E9" s="49">
        <f>SUM(E5:E8)</f>
        <v>196429.07589945776</v>
      </c>
      <c r="F9" s="49">
        <f>SUM(F5:F8)</f>
        <v>156522.33530474768</v>
      </c>
      <c r="G9" s="49">
        <f t="shared" ref="G9" si="2">SUM(G5:G8)</f>
        <v>122516.25546246089</v>
      </c>
      <c r="K9" s="47"/>
      <c r="L9" s="65"/>
      <c r="M9" s="49"/>
      <c r="N9" s="49"/>
      <c r="O9" s="49"/>
      <c r="P9" s="49"/>
      <c r="Q9" s="71"/>
    </row>
    <row r="10" spans="1:17" ht="15.75" thickBot="1" x14ac:dyDescent="0.3">
      <c r="A10" s="47" t="s">
        <v>38</v>
      </c>
      <c r="B10" s="65"/>
      <c r="C10" s="7"/>
      <c r="D10" s="66"/>
      <c r="E10" s="49"/>
      <c r="F10" s="49"/>
      <c r="G10" s="49"/>
      <c r="K10" s="50"/>
      <c r="L10" s="51"/>
      <c r="M10" s="73"/>
      <c r="N10" s="73"/>
      <c r="O10" s="73"/>
      <c r="P10" s="52"/>
      <c r="Q10" s="74"/>
    </row>
    <row r="11" spans="1:17" x14ac:dyDescent="0.25">
      <c r="A11" s="47"/>
      <c r="B11" s="65" t="s">
        <v>39</v>
      </c>
      <c r="C11" s="7"/>
      <c r="D11" s="66">
        <v>60000</v>
      </c>
      <c r="E11" s="49"/>
      <c r="F11" s="49"/>
      <c r="G11" s="49"/>
      <c r="M11" s="75"/>
      <c r="N11" s="58"/>
      <c r="O11" s="75"/>
      <c r="P11" s="58"/>
    </row>
    <row r="12" spans="1:17" x14ac:dyDescent="0.25">
      <c r="A12" s="47"/>
      <c r="B12" s="65" t="s">
        <v>40</v>
      </c>
      <c r="C12" s="7"/>
      <c r="D12" s="66">
        <v>420000</v>
      </c>
      <c r="E12" s="68">
        <v>57000</v>
      </c>
      <c r="F12" s="49"/>
      <c r="G12" s="49"/>
      <c r="M12" s="75"/>
      <c r="N12" s="75"/>
      <c r="O12" s="75"/>
      <c r="P12" s="75"/>
    </row>
    <row r="13" spans="1:17" ht="15.75" thickBot="1" x14ac:dyDescent="0.3">
      <c r="A13" s="47"/>
      <c r="B13" s="65" t="s">
        <v>41</v>
      </c>
      <c r="C13" s="7"/>
      <c r="D13" s="66"/>
      <c r="E13" s="49">
        <f>'Demonstração resultados'!H14+'Demonstração resultados'!H19</f>
        <v>139428.75</v>
      </c>
      <c r="F13" s="49">
        <f>'Demonstração resultados'!I14+'Demonstração resultados'!I19</f>
        <v>155902.44455396745</v>
      </c>
      <c r="G13" s="49">
        <f>'Demonstração resultados'!J14+'Demonstração resultados'!J19</f>
        <v>164525.88467225234</v>
      </c>
      <c r="M13" s="75"/>
      <c r="N13" s="75"/>
      <c r="O13" s="75"/>
      <c r="P13" s="75"/>
    </row>
    <row r="14" spans="1:17" ht="15.75" thickBot="1" x14ac:dyDescent="0.3">
      <c r="A14" s="47"/>
      <c r="B14" s="31" t="s">
        <v>42</v>
      </c>
      <c r="C14" s="7"/>
      <c r="D14" s="66"/>
      <c r="E14" s="49">
        <v>0</v>
      </c>
      <c r="F14" s="49">
        <f>E8</f>
        <v>620</v>
      </c>
      <c r="G14" s="49">
        <f>F8</f>
        <v>-42010</v>
      </c>
      <c r="K14" s="115" t="s">
        <v>50</v>
      </c>
      <c r="L14" s="116"/>
      <c r="M14" s="116"/>
      <c r="N14" s="116"/>
      <c r="O14" s="116"/>
      <c r="P14" s="116"/>
      <c r="Q14" s="117"/>
    </row>
    <row r="15" spans="1:17" ht="15.75" thickBot="1" x14ac:dyDescent="0.3">
      <c r="A15" s="50"/>
      <c r="B15" s="51"/>
      <c r="C15" s="69" t="s">
        <v>8</v>
      </c>
      <c r="D15" s="70">
        <f>SUM(D11:D14)</f>
        <v>480000</v>
      </c>
      <c r="E15" s="52">
        <f>SUM(E11:E14)</f>
        <v>196428.75</v>
      </c>
      <c r="F15" s="52">
        <f t="shared" ref="F15:G15" si="3">SUM(F13:F14)</f>
        <v>156522.44455396745</v>
      </c>
      <c r="G15" s="52">
        <f t="shared" si="3"/>
        <v>122515.88467225234</v>
      </c>
      <c r="K15" s="76"/>
      <c r="L15" s="77"/>
      <c r="M15" s="77"/>
      <c r="N15" s="77" t="s">
        <v>44</v>
      </c>
      <c r="O15" s="77">
        <f>9.5/100</f>
        <v>9.5000000000000001E-2</v>
      </c>
      <c r="P15" s="77"/>
      <c r="Q15" s="78"/>
    </row>
    <row r="16" spans="1:17" x14ac:dyDescent="0.25">
      <c r="K16" s="47"/>
      <c r="L16" s="65" t="s">
        <v>45</v>
      </c>
      <c r="M16" s="65" t="s">
        <v>46</v>
      </c>
      <c r="N16" s="65" t="s">
        <v>47</v>
      </c>
      <c r="O16" s="65" t="s">
        <v>48</v>
      </c>
      <c r="P16" s="65" t="s">
        <v>49</v>
      </c>
      <c r="Q16" s="71"/>
    </row>
    <row r="17" spans="11:17" x14ac:dyDescent="0.25">
      <c r="K17" s="47"/>
      <c r="L17" s="65">
        <v>1</v>
      </c>
      <c r="M17" s="49">
        <f>E12</f>
        <v>57000</v>
      </c>
      <c r="N17" s="49">
        <f>P17-O17</f>
        <v>57000.000000000044</v>
      </c>
      <c r="O17" s="49">
        <f>M17*O15</f>
        <v>5415</v>
      </c>
      <c r="P17" s="49">
        <f>(M17*O15)/(1-(1+O15)^-1)</f>
        <v>62415.000000000044</v>
      </c>
      <c r="Q17" s="71"/>
    </row>
    <row r="18" spans="11:17" x14ac:dyDescent="0.25">
      <c r="K18" s="47"/>
      <c r="L18" s="65"/>
      <c r="M18" s="65"/>
      <c r="N18" s="65"/>
      <c r="O18" s="49"/>
      <c r="P18" s="49"/>
      <c r="Q18" s="71"/>
    </row>
    <row r="19" spans="11:17" ht="15.75" thickBot="1" x14ac:dyDescent="0.3">
      <c r="K19" s="50"/>
      <c r="L19" s="51"/>
      <c r="M19" s="51"/>
      <c r="N19" s="51"/>
      <c r="O19" s="52"/>
      <c r="P19" s="52"/>
      <c r="Q19" s="74"/>
    </row>
    <row r="20" spans="11:17" x14ac:dyDescent="0.25">
      <c r="M20" t="s">
        <v>51</v>
      </c>
      <c r="O20" s="79">
        <f>O17+O6</f>
        <v>39015</v>
      </c>
    </row>
    <row r="23" spans="11:17" x14ac:dyDescent="0.25">
      <c r="L23" s="6" t="s">
        <v>52</v>
      </c>
    </row>
  </sheetData>
  <mergeCells count="3">
    <mergeCell ref="A2:C2"/>
    <mergeCell ref="K3:Q3"/>
    <mergeCell ref="K14:Q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D5" sqref="D5"/>
    </sheetView>
  </sheetViews>
  <sheetFormatPr defaultRowHeight="15" x14ac:dyDescent="0.25"/>
  <cols>
    <col min="4" max="4" width="17.85546875" customWidth="1"/>
  </cols>
  <sheetData>
    <row r="1" spans="1:6" x14ac:dyDescent="0.25">
      <c r="E1" s="6" t="s">
        <v>53</v>
      </c>
    </row>
    <row r="2" spans="1:6" x14ac:dyDescent="0.25">
      <c r="A2" t="s">
        <v>54</v>
      </c>
      <c r="E2" s="80" t="s">
        <v>55</v>
      </c>
      <c r="F2" s="81">
        <v>4.4999999999999998E-2</v>
      </c>
    </row>
    <row r="3" spans="1:6" ht="15.75" thickBot="1" x14ac:dyDescent="0.3">
      <c r="E3" s="80" t="s">
        <v>56</v>
      </c>
      <c r="F3" s="82">
        <v>0.06</v>
      </c>
    </row>
    <row r="4" spans="1:6" ht="15.75" thickBot="1" x14ac:dyDescent="0.3">
      <c r="B4" s="83" t="s">
        <v>57</v>
      </c>
      <c r="C4" s="84">
        <f>0.045+0.06</f>
        <v>0.105</v>
      </c>
      <c r="D4" s="85">
        <f>F3+F2</f>
        <v>0.105</v>
      </c>
      <c r="E4" s="9"/>
      <c r="F4" s="86"/>
    </row>
    <row r="5" spans="1:6" x14ac:dyDescent="0.25">
      <c r="D5" s="87">
        <f>C4+1</f>
        <v>1.105</v>
      </c>
      <c r="E5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D19" sqref="D19"/>
    </sheetView>
  </sheetViews>
  <sheetFormatPr defaultRowHeight="15" x14ac:dyDescent="0.25"/>
  <cols>
    <col min="1" max="1" width="21.42578125" customWidth="1"/>
    <col min="2" max="2" width="12.5703125" customWidth="1"/>
    <col min="3" max="3" width="15.85546875" customWidth="1"/>
    <col min="11" max="11" width="11.42578125" customWidth="1"/>
  </cols>
  <sheetData>
    <row r="1" spans="1:12" ht="15.75" thickBot="1" x14ac:dyDescent="0.3">
      <c r="A1" s="133" t="s">
        <v>58</v>
      </c>
      <c r="B1" s="134"/>
      <c r="C1" s="134"/>
      <c r="D1" s="134"/>
      <c r="E1" s="134"/>
      <c r="F1" s="134"/>
      <c r="G1" s="134"/>
    </row>
    <row r="2" spans="1:12" ht="15.75" thickBot="1" x14ac:dyDescent="0.3">
      <c r="A2" s="135" t="s">
        <v>59</v>
      </c>
      <c r="B2" s="136"/>
      <c r="C2" s="137"/>
      <c r="D2" s="88">
        <v>0</v>
      </c>
      <c r="E2" s="89">
        <v>1</v>
      </c>
      <c r="F2" s="89">
        <v>2</v>
      </c>
      <c r="G2" s="90">
        <v>3</v>
      </c>
      <c r="I2" s="91"/>
      <c r="J2" s="91"/>
      <c r="K2" s="91"/>
      <c r="L2" s="91"/>
    </row>
    <row r="3" spans="1:12" x14ac:dyDescent="0.25">
      <c r="A3" s="121" t="s">
        <v>60</v>
      </c>
      <c r="B3" s="122"/>
      <c r="C3" s="123"/>
      <c r="D3" s="92">
        <f>'Mapa investimento'!G10</f>
        <v>480000</v>
      </c>
      <c r="E3" s="93">
        <f>'Mapa investimento'!H10</f>
        <v>66435</v>
      </c>
      <c r="F3" s="93">
        <f>'Mapa investimento'!I10</f>
        <v>1808.3333333333285</v>
      </c>
      <c r="G3" s="94">
        <f>'Mapa investimento'!J10</f>
        <v>93.333333333343035</v>
      </c>
      <c r="I3" s="91"/>
      <c r="J3" s="91"/>
      <c r="K3" s="91"/>
      <c r="L3" s="91"/>
    </row>
    <row r="4" spans="1:12" x14ac:dyDescent="0.25">
      <c r="A4" s="121" t="s">
        <v>61</v>
      </c>
      <c r="B4" s="122"/>
      <c r="C4" s="123"/>
      <c r="D4" s="95">
        <f>'Mapa finan. de investimento'!D12</f>
        <v>420000</v>
      </c>
      <c r="E4" s="96">
        <f>'Mapa finan. de investimento'!E12</f>
        <v>57000</v>
      </c>
      <c r="F4" s="96">
        <v>0</v>
      </c>
      <c r="G4" s="97">
        <v>0</v>
      </c>
    </row>
    <row r="5" spans="1:12" x14ac:dyDescent="0.25">
      <c r="A5" s="121" t="s">
        <v>62</v>
      </c>
      <c r="B5" s="122"/>
      <c r="C5" s="123"/>
      <c r="D5" s="95">
        <v>0</v>
      </c>
      <c r="E5" s="96">
        <f>'Mapa finan. de investimento'!E13</f>
        <v>139428.75</v>
      </c>
      <c r="F5" s="96">
        <f>'Mapa finan. de investimento'!F13</f>
        <v>155902.44455396745</v>
      </c>
      <c r="G5" s="97">
        <f>'Mapa finan. de investimento'!G13</f>
        <v>164525.88467225234</v>
      </c>
    </row>
    <row r="6" spans="1:12" x14ac:dyDescent="0.25">
      <c r="A6" s="121" t="s">
        <v>63</v>
      </c>
      <c r="B6" s="122"/>
      <c r="C6" s="123"/>
      <c r="D6" s="95"/>
      <c r="E6" s="96">
        <f>'Mapa finan. de investimento'!E6+'Mapa finan. de investimento'!E7</f>
        <v>129374.07589945776</v>
      </c>
      <c r="F6" s="96">
        <f>'Mapa finan. de investimento'!F6+'Mapa finan. de investimento'!F7</f>
        <v>196724.00197141437</v>
      </c>
      <c r="G6" s="97">
        <f>'Mapa finan. de investimento'!G6+'Mapa finan. de investimento'!G7</f>
        <v>150901.92212912755</v>
      </c>
    </row>
    <row r="7" spans="1:12" x14ac:dyDescent="0.25">
      <c r="A7" s="121" t="s">
        <v>64</v>
      </c>
      <c r="B7" s="122"/>
      <c r="C7" s="123"/>
      <c r="D7" s="95"/>
      <c r="E7" s="96"/>
      <c r="F7" s="96"/>
      <c r="G7" s="97"/>
    </row>
    <row r="8" spans="1:12" x14ac:dyDescent="0.25">
      <c r="A8" s="121" t="s">
        <v>65</v>
      </c>
      <c r="B8" s="122"/>
      <c r="C8" s="123"/>
      <c r="D8" s="95"/>
      <c r="E8" s="96"/>
      <c r="F8" s="96"/>
      <c r="G8" s="97">
        <f>'Mapa investimento'!H10+'Mapa investimento'!I10+'Mapa investimento'!J10</f>
        <v>68336.666666666672</v>
      </c>
    </row>
    <row r="9" spans="1:12" x14ac:dyDescent="0.25">
      <c r="A9" s="121" t="s">
        <v>66</v>
      </c>
      <c r="B9" s="122"/>
      <c r="C9" s="123"/>
      <c r="D9" s="95">
        <f>+D4+D5+D7+D8</f>
        <v>420000</v>
      </c>
      <c r="E9" s="96">
        <f t="shared" ref="E9" si="0">+E4+E5+E7+E8</f>
        <v>196428.75</v>
      </c>
      <c r="F9" s="96">
        <f>+F4+F5+F7+F8</f>
        <v>155902.44455396745</v>
      </c>
      <c r="G9" s="97">
        <f>+G4+G5+G7+G8</f>
        <v>232862.55133891903</v>
      </c>
    </row>
    <row r="10" spans="1:12" ht="15.75" thickBot="1" x14ac:dyDescent="0.3">
      <c r="A10" s="121" t="s">
        <v>67</v>
      </c>
      <c r="B10" s="122"/>
      <c r="C10" s="123"/>
      <c r="D10" s="95">
        <f>+D3+D6</f>
        <v>480000</v>
      </c>
      <c r="E10" s="96">
        <f>+E3+E6</f>
        <v>195809.07589945776</v>
      </c>
      <c r="F10" s="96">
        <f>+F3+F6</f>
        <v>198532.33530474768</v>
      </c>
      <c r="G10" s="97">
        <f t="shared" ref="G10" si="1">+G3+G6</f>
        <v>150995.25546246089</v>
      </c>
    </row>
    <row r="11" spans="1:12" ht="15.75" thickBot="1" x14ac:dyDescent="0.3">
      <c r="A11" s="124" t="s">
        <v>68</v>
      </c>
      <c r="B11" s="125"/>
      <c r="C11" s="126"/>
      <c r="D11" s="98">
        <f>+D9-D10</f>
        <v>-60000</v>
      </c>
      <c r="E11" s="99">
        <f>+E9-E10</f>
        <v>619.67410054223728</v>
      </c>
      <c r="F11" s="99">
        <f t="shared" ref="F11:G11" si="2">+F9-F10</f>
        <v>-42629.890750780236</v>
      </c>
      <c r="G11" s="100">
        <f t="shared" si="2"/>
        <v>81867.295876458142</v>
      </c>
      <c r="I11" s="42" t="s">
        <v>69</v>
      </c>
      <c r="J11" s="43"/>
      <c r="K11" s="101"/>
      <c r="L11" s="101">
        <f>E13+F13+G13</f>
        <v>26324.522181977751</v>
      </c>
    </row>
    <row r="12" spans="1:12" ht="15.75" thickBot="1" x14ac:dyDescent="0.3">
      <c r="A12" s="127" t="s">
        <v>70</v>
      </c>
      <c r="B12" s="128"/>
      <c r="C12" s="129"/>
      <c r="D12" s="102">
        <v>1</v>
      </c>
      <c r="E12" s="103">
        <f>+$D$12/'Taxa de atualização'!D5^1</f>
        <v>0.90497737556561086</v>
      </c>
      <c r="F12" s="103">
        <f>+$D$12/'Taxa de atualização'!D5^2</f>
        <v>0.81898405028562071</v>
      </c>
      <c r="G12" s="104">
        <f>+$D$12/'Taxa de atualização'!D5^3</f>
        <v>0.74116203645757528</v>
      </c>
      <c r="I12" s="42" t="s">
        <v>71</v>
      </c>
      <c r="J12" s="43"/>
      <c r="K12" s="54"/>
      <c r="L12" s="54">
        <f>'Taxa de atualização'!D5</f>
        <v>1.105</v>
      </c>
    </row>
    <row r="13" spans="1:12" ht="15.75" thickBot="1" x14ac:dyDescent="0.3">
      <c r="A13" s="130" t="s">
        <v>72</v>
      </c>
      <c r="B13" s="131"/>
      <c r="C13" s="132"/>
      <c r="D13" s="95">
        <f>+D11*D12</f>
        <v>-60000</v>
      </c>
      <c r="E13" s="96">
        <f>+E11*E12</f>
        <v>560.79104121469436</v>
      </c>
      <c r="F13" s="96">
        <f t="shared" ref="F13" si="3">+F11*F12</f>
        <v>-34913.200590307519</v>
      </c>
      <c r="G13" s="97">
        <f>+G11*G12</f>
        <v>60676.931731070574</v>
      </c>
      <c r="I13" s="42" t="s">
        <v>73</v>
      </c>
      <c r="J13" s="43"/>
      <c r="K13" s="54"/>
      <c r="L13" s="101">
        <f>-D13</f>
        <v>60000</v>
      </c>
    </row>
    <row r="14" spans="1:12" x14ac:dyDescent="0.25">
      <c r="A14" s="130" t="s">
        <v>74</v>
      </c>
      <c r="B14" s="131"/>
      <c r="C14" s="132"/>
      <c r="D14" s="95">
        <f>+D13</f>
        <v>-60000</v>
      </c>
      <c r="E14" s="96">
        <f>+D14+E13</f>
        <v>-59439.208958785304</v>
      </c>
      <c r="F14" s="96">
        <f>+E14+F13</f>
        <v>-94352.409549092816</v>
      </c>
      <c r="G14" s="97">
        <f>+F14+G13</f>
        <v>-33675.477818022242</v>
      </c>
    </row>
    <row r="15" spans="1:12" x14ac:dyDescent="0.25">
      <c r="A15" s="130" t="s">
        <v>75</v>
      </c>
      <c r="B15" s="131"/>
      <c r="C15" s="132"/>
      <c r="D15" s="95">
        <f>G14</f>
        <v>-33675.477818022242</v>
      </c>
      <c r="E15" s="96"/>
      <c r="F15" s="96"/>
      <c r="G15" s="97"/>
    </row>
    <row r="16" spans="1:12" x14ac:dyDescent="0.25">
      <c r="A16" s="130" t="s">
        <v>79</v>
      </c>
      <c r="B16" s="131"/>
      <c r="C16" s="132"/>
      <c r="D16" s="105" t="s">
        <v>80</v>
      </c>
      <c r="E16" s="96"/>
      <c r="F16" s="96"/>
      <c r="G16" s="97"/>
    </row>
    <row r="17" spans="1:7" x14ac:dyDescent="0.25">
      <c r="A17" s="130" t="s">
        <v>76</v>
      </c>
      <c r="B17" s="131"/>
      <c r="C17" s="132"/>
      <c r="D17" s="106">
        <f>IRR(D11:G11)</f>
        <v>-9.8601206371416894E-2</v>
      </c>
      <c r="E17" s="96"/>
      <c r="F17" s="96"/>
      <c r="G17" s="97"/>
    </row>
    <row r="18" spans="1:7" ht="15.75" thickBot="1" x14ac:dyDescent="0.3">
      <c r="A18" s="118" t="s">
        <v>77</v>
      </c>
      <c r="B18" s="119"/>
      <c r="C18" s="120"/>
      <c r="D18" s="107">
        <f>(L11/L12^5)/(L13/L12^5)</f>
        <v>0.43874203636629583</v>
      </c>
      <c r="E18" s="99"/>
      <c r="F18" s="99"/>
      <c r="G18" s="100"/>
    </row>
  </sheetData>
  <mergeCells count="18">
    <mergeCell ref="A6:C6"/>
    <mergeCell ref="A1:G1"/>
    <mergeCell ref="A2:C2"/>
    <mergeCell ref="A3:C3"/>
    <mergeCell ref="A4:C4"/>
    <mergeCell ref="A5:C5"/>
    <mergeCell ref="A18:C18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Demonstração resultados</vt:lpstr>
      <vt:lpstr>Mapa investimento</vt:lpstr>
      <vt:lpstr>Mapa finan. de investimento</vt:lpstr>
      <vt:lpstr>Taxa de atualização</vt:lpstr>
      <vt:lpstr>Mapa fluxo de caixa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2018-04-30T23:08:20Z</dcterms:created>
  <dcterms:modified xsi:type="dcterms:W3CDTF">2018-05-02T20:54:30Z</dcterms:modified>
</cp:coreProperties>
</file>