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franc\OneDrive\Ambiente de Trabalho\Pasta meus documentos\1 - Pasta dos simuladores\"/>
    </mc:Choice>
  </mc:AlternateContent>
  <xr:revisionPtr revIDLastSave="0" documentId="13_ncr:1_{540A252D-580E-4EBB-BA17-0B0AAB7C2782}" xr6:coauthVersionLast="47" xr6:coauthVersionMax="47" xr10:uidLastSave="{00000000-0000-0000-0000-000000000000}"/>
  <bookViews>
    <workbookView xWindow="-110" yWindow="-110" windowWidth="19420" windowHeight="10300" tabRatio="854" xr2:uid="{00000000-000D-0000-FFFF-FFFF00000000}"/>
  </bookViews>
  <sheets>
    <sheet name="Trabalho Dep. Continente" sheetId="1" r:id="rId1"/>
    <sheet name="Pensões Continente" sheetId="4" r:id="rId2"/>
  </sheets>
  <definedNames>
    <definedName name="_xlnm.Print_Area" localSheetId="0">'Trabalho Dep. Continente'!$C$1:$I$148</definedName>
  </definedNames>
  <calcPr calcId="181029"/>
</workbook>
</file>

<file path=xl/calcChain.xml><?xml version="1.0" encoding="utf-8"?>
<calcChain xmlns="http://schemas.openxmlformats.org/spreadsheetml/2006/main">
  <c r="E193" i="1" l="1"/>
  <c r="E192" i="1"/>
  <c r="E186" i="1"/>
  <c r="E185" i="1"/>
  <c r="E165" i="1"/>
  <c r="E164" i="1"/>
  <c r="E163" i="1"/>
  <c r="V237" i="1"/>
  <c r="E240" i="1" s="1"/>
  <c r="U189" i="1"/>
  <c r="E191" i="1" s="1"/>
  <c r="U165" i="1"/>
  <c r="E162" i="1" s="1"/>
  <c r="W117" i="1"/>
  <c r="E124" i="1" s="1"/>
  <c r="V45" i="1"/>
  <c r="E50" i="1" s="1"/>
  <c r="V69" i="1"/>
  <c r="E74" i="1" s="1"/>
  <c r="C230" i="1"/>
  <c r="C206" i="1"/>
  <c r="C182" i="1"/>
  <c r="C158" i="1"/>
  <c r="C134" i="1"/>
  <c r="C110" i="1"/>
  <c r="C86" i="1"/>
  <c r="C62" i="1"/>
  <c r="C38" i="1"/>
  <c r="C14" i="1"/>
  <c r="U233" i="1"/>
  <c r="U236" i="1" s="1"/>
  <c r="T209" i="1"/>
  <c r="T212" i="1" s="1"/>
  <c r="E210" i="1" s="1"/>
  <c r="U41" i="1"/>
  <c r="U44" i="1" s="1"/>
  <c r="T185" i="1"/>
  <c r="T188" i="1" s="1"/>
  <c r="T161" i="1"/>
  <c r="T164" i="1" s="1"/>
  <c r="R137" i="1"/>
  <c r="R140" i="1" s="1"/>
  <c r="E137" i="1" s="1"/>
  <c r="V113" i="1"/>
  <c r="V116" i="1" s="1"/>
  <c r="U89" i="1"/>
  <c r="U92" i="1" s="1"/>
  <c r="E89" i="1" s="1"/>
  <c r="U65" i="1"/>
  <c r="U68" i="1" s="1"/>
  <c r="S17" i="1"/>
  <c r="S20" i="1" s="1"/>
  <c r="E17" i="1" s="1"/>
  <c r="E187" i="1" l="1"/>
  <c r="E189" i="1"/>
  <c r="E190" i="1"/>
  <c r="E188" i="1"/>
  <c r="E168" i="1"/>
  <c r="E167" i="1"/>
  <c r="E161" i="1"/>
  <c r="E169" i="1"/>
  <c r="E166" i="1"/>
  <c r="E117" i="1"/>
  <c r="E119" i="1"/>
  <c r="E120" i="1"/>
  <c r="E113" i="1"/>
  <c r="E114" i="1"/>
  <c r="E115" i="1"/>
  <c r="E123" i="1"/>
  <c r="E118" i="1"/>
  <c r="E121" i="1"/>
  <c r="E122" i="1"/>
  <c r="E116" i="1"/>
  <c r="E234" i="1"/>
  <c r="E235" i="1"/>
  <c r="E236" i="1"/>
  <c r="E233" i="1"/>
  <c r="E237" i="1"/>
  <c r="E238" i="1"/>
  <c r="E239" i="1"/>
  <c r="E75" i="1"/>
  <c r="E69" i="1"/>
  <c r="E70" i="1"/>
  <c r="E76" i="1"/>
  <c r="E72" i="1"/>
  <c r="E65" i="1"/>
  <c r="E73" i="1"/>
  <c r="E67" i="1"/>
  <c r="E68" i="1"/>
  <c r="E71" i="1"/>
  <c r="E66" i="1"/>
  <c r="E45" i="1"/>
  <c r="E46" i="1"/>
  <c r="E43" i="1"/>
  <c r="E52" i="1"/>
  <c r="E48" i="1"/>
  <c r="E41" i="1"/>
  <c r="E49" i="1"/>
  <c r="E51" i="1"/>
  <c r="E44" i="1"/>
  <c r="E47" i="1"/>
  <c r="E42" i="1"/>
  <c r="E209" i="1"/>
  <c r="E140" i="1"/>
  <c r="E139" i="1"/>
  <c r="E138" i="1"/>
  <c r="E96" i="1"/>
  <c r="E95" i="1"/>
  <c r="E94" i="1"/>
  <c r="E91" i="1"/>
  <c r="E90" i="1"/>
  <c r="E93" i="1"/>
  <c r="E92" i="1"/>
  <c r="E24" i="1"/>
  <c r="E21" i="1"/>
  <c r="E20" i="1"/>
  <c r="E18" i="1"/>
  <c r="E23" i="1"/>
  <c r="E22" i="1"/>
  <c r="E19" i="1"/>
  <c r="P17" i="1"/>
  <c r="O17" i="1" s="1"/>
  <c r="W113" i="4" l="1"/>
  <c r="D29" i="1"/>
  <c r="D53" i="1"/>
  <c r="D77" i="1"/>
  <c r="E104" i="4"/>
  <c r="X94" i="4"/>
  <c r="W75" i="4"/>
  <c r="X55" i="4"/>
  <c r="W33" i="4"/>
  <c r="X11" i="4"/>
  <c r="E29" i="1" l="1"/>
  <c r="D173" i="1"/>
  <c r="E173" i="1" s="1"/>
  <c r="F104" i="4"/>
  <c r="E123" i="4"/>
  <c r="E85" i="4"/>
  <c r="E66" i="4"/>
  <c r="E46" i="4"/>
  <c r="E24" i="4"/>
  <c r="F24" i="4" s="1"/>
  <c r="D245" i="1"/>
  <c r="E245" i="1" s="1"/>
  <c r="D221" i="1"/>
  <c r="D197" i="1"/>
  <c r="E197" i="1" s="1"/>
  <c r="D149" i="1"/>
  <c r="D125" i="1"/>
  <c r="E125" i="1" s="1"/>
  <c r="D101" i="1"/>
  <c r="E53" i="1"/>
  <c r="M240" i="1"/>
  <c r="M193" i="1"/>
  <c r="Q34" i="4"/>
  <c r="P34" i="4" s="1"/>
  <c r="P18" i="1"/>
  <c r="O18" i="1" s="1"/>
  <c r="M42" i="1"/>
  <c r="F123" i="4" l="1"/>
  <c r="F85" i="4"/>
  <c r="F66" i="4"/>
  <c r="F46" i="4"/>
  <c r="E221" i="1"/>
  <c r="E149" i="1"/>
  <c r="E101" i="1"/>
  <c r="E77" i="1"/>
  <c r="N42" i="1"/>
  <c r="P19" i="1"/>
  <c r="O232" i="1"/>
  <c r="O208" i="1"/>
  <c r="O184" i="1"/>
  <c r="O160" i="1"/>
  <c r="P25" i="1"/>
  <c r="P20" i="1"/>
  <c r="B118" i="1"/>
  <c r="O137" i="1"/>
  <c r="O139" i="1"/>
  <c r="O138" i="1"/>
  <c r="M239" i="1"/>
  <c r="M238" i="1"/>
  <c r="P238" i="1" s="1"/>
  <c r="Q238" i="1" s="1"/>
  <c r="M237" i="1"/>
  <c r="N237" i="1" s="1"/>
  <c r="M236" i="1"/>
  <c r="P236" i="1" s="1"/>
  <c r="Q236" i="1" s="1"/>
  <c r="M235" i="1"/>
  <c r="P235" i="1" s="1"/>
  <c r="Q235" i="1" s="1"/>
  <c r="M234" i="1"/>
  <c r="P234" i="1" s="1"/>
  <c r="Q234" i="1" s="1"/>
  <c r="M233" i="1"/>
  <c r="P233" i="1" s="1"/>
  <c r="Q233" i="1" s="1"/>
  <c r="M232" i="1"/>
  <c r="P232" i="1" s="1"/>
  <c r="B238" i="1"/>
  <c r="M215" i="1"/>
  <c r="N215" i="1" s="1"/>
  <c r="M210" i="1"/>
  <c r="P210" i="1" s="1"/>
  <c r="M211" i="1"/>
  <c r="M212" i="1"/>
  <c r="P212" i="1" s="1"/>
  <c r="M213" i="1"/>
  <c r="N213" i="1" s="1"/>
  <c r="M214" i="1"/>
  <c r="P214" i="1" s="1"/>
  <c r="M209" i="1"/>
  <c r="M208" i="1"/>
  <c r="P208" i="1" s="1"/>
  <c r="M216" i="1"/>
  <c r="B214" i="1"/>
  <c r="M186" i="1"/>
  <c r="P186" i="1" s="1"/>
  <c r="Q186" i="1" s="1"/>
  <c r="R186" i="1" s="1"/>
  <c r="O186" i="1" s="1"/>
  <c r="M192" i="1"/>
  <c r="P192" i="1" s="1"/>
  <c r="Q192" i="1" s="1"/>
  <c r="R192" i="1" s="1"/>
  <c r="O192" i="1" s="1"/>
  <c r="M169" i="1"/>
  <c r="M187" i="1"/>
  <c r="P187" i="1" s="1"/>
  <c r="Q187" i="1" s="1"/>
  <c r="R187" i="1" s="1"/>
  <c r="O187" i="1" s="1"/>
  <c r="M188" i="1"/>
  <c r="M189" i="1"/>
  <c r="P189" i="1" s="1"/>
  <c r="Q189" i="1" s="1"/>
  <c r="R189" i="1" s="1"/>
  <c r="O189" i="1" s="1"/>
  <c r="M190" i="1"/>
  <c r="P190" i="1" s="1"/>
  <c r="Q190" i="1" s="1"/>
  <c r="R190" i="1" s="1"/>
  <c r="O190" i="1" s="1"/>
  <c r="M191" i="1"/>
  <c r="N191" i="1" s="1"/>
  <c r="M185" i="1"/>
  <c r="M184" i="1"/>
  <c r="M166" i="1"/>
  <c r="P166" i="1" s="1"/>
  <c r="Q166" i="1" s="1"/>
  <c r="R166" i="1" s="1"/>
  <c r="O166" i="1" s="1"/>
  <c r="B190" i="1"/>
  <c r="M145" i="1"/>
  <c r="M162" i="1"/>
  <c r="N162" i="1" s="1"/>
  <c r="M163" i="1"/>
  <c r="P163" i="1" s="1"/>
  <c r="Q163" i="1" s="1"/>
  <c r="R163" i="1" s="1"/>
  <c r="O163" i="1" s="1"/>
  <c r="M164" i="1"/>
  <c r="M165" i="1"/>
  <c r="P165" i="1" s="1"/>
  <c r="Q165" i="1" s="1"/>
  <c r="R165" i="1" s="1"/>
  <c r="O165" i="1" s="1"/>
  <c r="M167" i="1"/>
  <c r="M168" i="1"/>
  <c r="P168" i="1" s="1"/>
  <c r="Q168" i="1" s="1"/>
  <c r="R168" i="1" s="1"/>
  <c r="O168" i="1" s="1"/>
  <c r="M161" i="1"/>
  <c r="M137" i="1"/>
  <c r="M113" i="1"/>
  <c r="N113" i="1" s="1"/>
  <c r="M138" i="1"/>
  <c r="P138" i="1" s="1"/>
  <c r="M160" i="1"/>
  <c r="M136" i="1"/>
  <c r="P136" i="1" s="1"/>
  <c r="M143" i="1"/>
  <c r="P143" i="1" s="1"/>
  <c r="M144" i="1"/>
  <c r="N144" i="1" s="1"/>
  <c r="M117" i="1"/>
  <c r="B166" i="1"/>
  <c r="O144" i="1"/>
  <c r="O141" i="1"/>
  <c r="B142" i="1"/>
  <c r="M120" i="4"/>
  <c r="Q120" i="4" s="1"/>
  <c r="S120" i="4" s="1"/>
  <c r="M121" i="4"/>
  <c r="O121" i="4" s="1"/>
  <c r="N121" i="4" s="1"/>
  <c r="M122" i="4"/>
  <c r="M103" i="4"/>
  <c r="M84" i="4"/>
  <c r="M65" i="4"/>
  <c r="M45" i="4"/>
  <c r="M124" i="1"/>
  <c r="M123" i="1"/>
  <c r="O145" i="1"/>
  <c r="O140" i="1"/>
  <c r="O142" i="1"/>
  <c r="O143" i="1"/>
  <c r="O136" i="1"/>
  <c r="M142" i="1"/>
  <c r="P142" i="1" s="1"/>
  <c r="M141" i="1"/>
  <c r="P141" i="1" s="1"/>
  <c r="M140" i="1"/>
  <c r="P140" i="1" s="1"/>
  <c r="M139" i="1"/>
  <c r="P139" i="1" s="1"/>
  <c r="M117" i="4"/>
  <c r="Q117" i="4" s="1"/>
  <c r="S117" i="4" s="1"/>
  <c r="M116" i="4"/>
  <c r="Q116" i="4" s="1"/>
  <c r="S116" i="4" s="1"/>
  <c r="M115" i="4"/>
  <c r="M114" i="4"/>
  <c r="Q114" i="4" s="1"/>
  <c r="S114" i="4" s="1"/>
  <c r="M119" i="4"/>
  <c r="Q119" i="4" s="1"/>
  <c r="S119" i="4" s="1"/>
  <c r="M118" i="4"/>
  <c r="O118" i="4" s="1"/>
  <c r="N118" i="4" s="1"/>
  <c r="P113" i="4"/>
  <c r="M113" i="4"/>
  <c r="Q113" i="4" s="1"/>
  <c r="P94" i="4"/>
  <c r="M102" i="4"/>
  <c r="O102" i="4" s="1"/>
  <c r="N102" i="4" s="1"/>
  <c r="M101" i="4"/>
  <c r="Q101" i="4" s="1"/>
  <c r="S101" i="4" s="1"/>
  <c r="M100" i="4"/>
  <c r="Q100" i="4" s="1"/>
  <c r="S100" i="4" s="1"/>
  <c r="M99" i="4"/>
  <c r="O99" i="4" s="1"/>
  <c r="N99" i="4" s="1"/>
  <c r="M98" i="4"/>
  <c r="M97" i="4"/>
  <c r="Q97" i="4" s="1"/>
  <c r="S97" i="4" s="1"/>
  <c r="M96" i="4"/>
  <c r="Q96" i="4" s="1"/>
  <c r="S96" i="4" s="1"/>
  <c r="M95" i="4"/>
  <c r="O95" i="4" s="1"/>
  <c r="M94" i="4"/>
  <c r="Q94" i="4" s="1"/>
  <c r="P75" i="4"/>
  <c r="M83" i="4"/>
  <c r="Q83" i="4" s="1"/>
  <c r="S83" i="4" s="1"/>
  <c r="M82" i="4"/>
  <c r="O82" i="4" s="1"/>
  <c r="N82" i="4" s="1"/>
  <c r="M81" i="4"/>
  <c r="Q81" i="4" s="1"/>
  <c r="S81" i="4" s="1"/>
  <c r="M80" i="4"/>
  <c r="Q80" i="4" s="1"/>
  <c r="S80" i="4" s="1"/>
  <c r="M79" i="4"/>
  <c r="O79" i="4" s="1"/>
  <c r="N79" i="4" s="1"/>
  <c r="M78" i="4"/>
  <c r="Q78" i="4" s="1"/>
  <c r="S78" i="4" s="1"/>
  <c r="M77" i="4"/>
  <c r="Q77" i="4" s="1"/>
  <c r="S77" i="4" s="1"/>
  <c r="M76" i="4"/>
  <c r="O76" i="4" s="1"/>
  <c r="M75" i="4"/>
  <c r="Q75" i="4" s="1"/>
  <c r="P55" i="4"/>
  <c r="M64" i="4"/>
  <c r="O64" i="4" s="1"/>
  <c r="N64" i="4" s="1"/>
  <c r="M63" i="4"/>
  <c r="Q63" i="4" s="1"/>
  <c r="S63" i="4" s="1"/>
  <c r="M62" i="4"/>
  <c r="Q62" i="4" s="1"/>
  <c r="S62" i="4" s="1"/>
  <c r="M61" i="4"/>
  <c r="M60" i="4"/>
  <c r="Q60" i="4" s="1"/>
  <c r="S60" i="4" s="1"/>
  <c r="M59" i="4"/>
  <c r="O59" i="4" s="1"/>
  <c r="N59" i="4" s="1"/>
  <c r="M58" i="4"/>
  <c r="O58" i="4" s="1"/>
  <c r="M57" i="4"/>
  <c r="M56" i="4"/>
  <c r="M55" i="4"/>
  <c r="Q55" i="4" s="1"/>
  <c r="M12" i="4"/>
  <c r="O12" i="4" s="1"/>
  <c r="M11" i="4"/>
  <c r="M16" i="4"/>
  <c r="R16" i="4" s="1"/>
  <c r="S16" i="4" s="1"/>
  <c r="V114" i="4" l="1"/>
  <c r="U114" i="4"/>
  <c r="T114" i="4"/>
  <c r="V117" i="4"/>
  <c r="U117" i="4"/>
  <c r="T117" i="4"/>
  <c r="W117" i="4" s="1"/>
  <c r="P117" i="4" s="1"/>
  <c r="V116" i="4"/>
  <c r="U116" i="4"/>
  <c r="T116" i="4"/>
  <c r="V120" i="4"/>
  <c r="U120" i="4"/>
  <c r="T120" i="4"/>
  <c r="V119" i="4"/>
  <c r="U119" i="4"/>
  <c r="T119" i="4"/>
  <c r="T16" i="4"/>
  <c r="V16" i="4"/>
  <c r="W16" i="4"/>
  <c r="U16" i="4"/>
  <c r="U96" i="4"/>
  <c r="W96" i="4"/>
  <c r="V96" i="4"/>
  <c r="W97" i="4"/>
  <c r="V97" i="4"/>
  <c r="U97" i="4"/>
  <c r="U100" i="4"/>
  <c r="W100" i="4"/>
  <c r="T100" i="4"/>
  <c r="V100" i="4"/>
  <c r="V101" i="4"/>
  <c r="W101" i="4"/>
  <c r="U101" i="4"/>
  <c r="T101" i="4"/>
  <c r="T96" i="4"/>
  <c r="T97" i="4"/>
  <c r="T83" i="4"/>
  <c r="U83" i="4"/>
  <c r="U78" i="4"/>
  <c r="W78" i="4" s="1"/>
  <c r="P78" i="4" s="1"/>
  <c r="T78" i="4"/>
  <c r="U80" i="4"/>
  <c r="T80" i="4"/>
  <c r="U81" i="4"/>
  <c r="T81" i="4"/>
  <c r="U77" i="4"/>
  <c r="T77" i="4"/>
  <c r="V78" i="4"/>
  <c r="V80" i="4"/>
  <c r="V81" i="4"/>
  <c r="V77" i="4"/>
  <c r="V83" i="4"/>
  <c r="V63" i="4"/>
  <c r="U63" i="4"/>
  <c r="W63" i="4"/>
  <c r="T63" i="4"/>
  <c r="U62" i="4"/>
  <c r="T62" i="4"/>
  <c r="W62" i="4"/>
  <c r="V62" i="4"/>
  <c r="T60" i="4"/>
  <c r="U60" i="4"/>
  <c r="W60" i="4"/>
  <c r="V60" i="4"/>
  <c r="S234" i="1"/>
  <c r="R234" i="1"/>
  <c r="S235" i="1"/>
  <c r="R235" i="1"/>
  <c r="R236" i="1"/>
  <c r="S236" i="1"/>
  <c r="S233" i="1"/>
  <c r="R233" i="1"/>
  <c r="S238" i="1"/>
  <c r="R238" i="1"/>
  <c r="Q214" i="1"/>
  <c r="R214" i="1" s="1"/>
  <c r="O214" i="1" s="1"/>
  <c r="Q212" i="1"/>
  <c r="R212" i="1" s="1"/>
  <c r="O212" i="1" s="1"/>
  <c r="Q210" i="1"/>
  <c r="R210" i="1" s="1"/>
  <c r="O210" i="1" s="1"/>
  <c r="N210" i="1" s="1"/>
  <c r="N95" i="4"/>
  <c r="N76" i="4"/>
  <c r="Q56" i="4"/>
  <c r="S56" i="4" s="1"/>
  <c r="O56" i="4"/>
  <c r="N56" i="4" s="1"/>
  <c r="Q57" i="4"/>
  <c r="S57" i="4" s="1"/>
  <c r="O57" i="4"/>
  <c r="N57" i="4" s="1"/>
  <c r="P137" i="1"/>
  <c r="N137" i="1"/>
  <c r="O61" i="4"/>
  <c r="N184" i="1"/>
  <c r="N239" i="1"/>
  <c r="N190" i="1"/>
  <c r="P237" i="1"/>
  <c r="Q237" i="1" s="1"/>
  <c r="N235" i="1"/>
  <c r="P239" i="1"/>
  <c r="Q239" i="1" s="1"/>
  <c r="N238" i="1"/>
  <c r="N232" i="1"/>
  <c r="N236" i="1"/>
  <c r="N208" i="1"/>
  <c r="P209" i="1"/>
  <c r="P213" i="1"/>
  <c r="P211" i="1"/>
  <c r="P215" i="1"/>
  <c r="N212" i="1"/>
  <c r="N214" i="1"/>
  <c r="N185" i="1"/>
  <c r="P185" i="1"/>
  <c r="Q185" i="1" s="1"/>
  <c r="R185" i="1" s="1"/>
  <c r="O185" i="1" s="1"/>
  <c r="P191" i="1"/>
  <c r="Q191" i="1" s="1"/>
  <c r="R191" i="1" s="1"/>
  <c r="O191" i="1" s="1"/>
  <c r="N186" i="1"/>
  <c r="P184" i="1"/>
  <c r="N192" i="1"/>
  <c r="N187" i="1"/>
  <c r="N189" i="1"/>
  <c r="N160" i="1"/>
  <c r="N165" i="1"/>
  <c r="N167" i="1"/>
  <c r="N161" i="1"/>
  <c r="P167" i="1"/>
  <c r="Q167" i="1" s="1"/>
  <c r="R167" i="1" s="1"/>
  <c r="O167" i="1" s="1"/>
  <c r="N166" i="1"/>
  <c r="N168" i="1"/>
  <c r="N163" i="1"/>
  <c r="P162" i="1"/>
  <c r="Q162" i="1" s="1"/>
  <c r="P160" i="1"/>
  <c r="P161" i="1"/>
  <c r="Q161" i="1" s="1"/>
  <c r="R161" i="1" s="1"/>
  <c r="O161" i="1" s="1"/>
  <c r="N136" i="1"/>
  <c r="N138" i="1"/>
  <c r="N139" i="1"/>
  <c r="N142" i="1"/>
  <c r="P144" i="1"/>
  <c r="N140" i="1"/>
  <c r="N141" i="1"/>
  <c r="N143" i="1"/>
  <c r="N145" i="1"/>
  <c r="O119" i="4"/>
  <c r="N119" i="4" s="1"/>
  <c r="O114" i="4"/>
  <c r="N114" i="4" s="1"/>
  <c r="O113" i="4"/>
  <c r="N113" i="4" s="1"/>
  <c r="O115" i="4"/>
  <c r="O116" i="4"/>
  <c r="N116" i="4" s="1"/>
  <c r="Q115" i="4"/>
  <c r="S115" i="4" s="1"/>
  <c r="Q118" i="4"/>
  <c r="S118" i="4" s="1"/>
  <c r="Q121" i="4"/>
  <c r="S121" i="4" s="1"/>
  <c r="O117" i="4"/>
  <c r="N117" i="4" s="1"/>
  <c r="O120" i="4"/>
  <c r="N120" i="4" s="1"/>
  <c r="Q102" i="4"/>
  <c r="S102" i="4" s="1"/>
  <c r="O96" i="4"/>
  <c r="N96" i="4" s="1"/>
  <c r="O97" i="4"/>
  <c r="N97" i="4" s="1"/>
  <c r="Q99" i="4"/>
  <c r="S99" i="4" s="1"/>
  <c r="O101" i="4"/>
  <c r="N101" i="4" s="1"/>
  <c r="Q95" i="4"/>
  <c r="S95" i="4" s="1"/>
  <c r="Q98" i="4"/>
  <c r="S98" i="4" s="1"/>
  <c r="O94" i="4"/>
  <c r="N94" i="4" s="1"/>
  <c r="O103" i="4"/>
  <c r="N103" i="4" s="1"/>
  <c r="O100" i="4"/>
  <c r="N100" i="4" s="1"/>
  <c r="O78" i="4"/>
  <c r="N78" i="4" s="1"/>
  <c r="O77" i="4"/>
  <c r="N77" i="4" s="1"/>
  <c r="Q76" i="4"/>
  <c r="S76" i="4" s="1"/>
  <c r="O80" i="4"/>
  <c r="N80" i="4" s="1"/>
  <c r="O75" i="4"/>
  <c r="O83" i="4"/>
  <c r="N83" i="4" s="1"/>
  <c r="Q82" i="4"/>
  <c r="S82" i="4" s="1"/>
  <c r="O84" i="4"/>
  <c r="N84" i="4" s="1"/>
  <c r="Q79" i="4"/>
  <c r="S79" i="4" s="1"/>
  <c r="O55" i="4"/>
  <c r="Q61" i="4"/>
  <c r="S61" i="4" s="1"/>
  <c r="Q64" i="4"/>
  <c r="S64" i="4" s="1"/>
  <c r="Q58" i="4"/>
  <c r="Q59" i="4"/>
  <c r="S59" i="4" s="1"/>
  <c r="O63" i="4"/>
  <c r="N63" i="4" s="1"/>
  <c r="O62" i="4"/>
  <c r="N62" i="4" s="1"/>
  <c r="W120" i="4" l="1"/>
  <c r="P120" i="4" s="1"/>
  <c r="W116" i="4"/>
  <c r="P116" i="4" s="1"/>
  <c r="T121" i="4"/>
  <c r="U121" i="4"/>
  <c r="V121" i="4"/>
  <c r="V118" i="4"/>
  <c r="U118" i="4"/>
  <c r="T118" i="4"/>
  <c r="V115" i="4"/>
  <c r="U115" i="4"/>
  <c r="T115" i="4"/>
  <c r="W119" i="4"/>
  <c r="P119" i="4" s="1"/>
  <c r="W114" i="4"/>
  <c r="P114" i="4" s="1"/>
  <c r="W80" i="4"/>
  <c r="P80" i="4" s="1"/>
  <c r="W77" i="4"/>
  <c r="P77" i="4" s="1"/>
  <c r="X16" i="4"/>
  <c r="Q16" i="4" s="1"/>
  <c r="O16" i="4" s="1"/>
  <c r="N16" i="4" s="1"/>
  <c r="O236" i="1"/>
  <c r="W102" i="4"/>
  <c r="U102" i="4"/>
  <c r="V102" i="4"/>
  <c r="W95" i="4"/>
  <c r="V95" i="4"/>
  <c r="U95" i="4"/>
  <c r="W99" i="4"/>
  <c r="U99" i="4"/>
  <c r="V99" i="4"/>
  <c r="U98" i="4"/>
  <c r="W98" i="4"/>
  <c r="V98" i="4"/>
  <c r="X96" i="4"/>
  <c r="P96" i="4" s="1"/>
  <c r="T102" i="4"/>
  <c r="X100" i="4"/>
  <c r="P100" i="4" s="1"/>
  <c r="T99" i="4"/>
  <c r="T95" i="4"/>
  <c r="X97" i="4"/>
  <c r="P97" i="4" s="1"/>
  <c r="T98" i="4"/>
  <c r="X101" i="4"/>
  <c r="P101" i="4" s="1"/>
  <c r="T82" i="4"/>
  <c r="U82" i="4"/>
  <c r="T76" i="4"/>
  <c r="V76" i="4"/>
  <c r="U76" i="4"/>
  <c r="U79" i="4"/>
  <c r="T79" i="4"/>
  <c r="V79" i="4"/>
  <c r="W83" i="4"/>
  <c r="P83" i="4" s="1"/>
  <c r="V82" i="4"/>
  <c r="W81" i="4"/>
  <c r="P81" i="4" s="1"/>
  <c r="O81" i="4" s="1"/>
  <c r="N81" i="4" s="1"/>
  <c r="T59" i="4"/>
  <c r="W59" i="4"/>
  <c r="U59" i="4"/>
  <c r="V59" i="4"/>
  <c r="W57" i="4"/>
  <c r="V57" i="4"/>
  <c r="U57" i="4"/>
  <c r="T57" i="4"/>
  <c r="T64" i="4"/>
  <c r="W64" i="4"/>
  <c r="U64" i="4"/>
  <c r="V64" i="4"/>
  <c r="T56" i="4"/>
  <c r="W56" i="4"/>
  <c r="V56" i="4"/>
  <c r="U56" i="4"/>
  <c r="W61" i="4"/>
  <c r="U61" i="4"/>
  <c r="T61" i="4"/>
  <c r="V61" i="4"/>
  <c r="X60" i="4"/>
  <c r="P60" i="4" s="1"/>
  <c r="O60" i="4" s="1"/>
  <c r="N60" i="4" s="1"/>
  <c r="X62" i="4"/>
  <c r="P62" i="4" s="1"/>
  <c r="X63" i="4"/>
  <c r="P63" i="4" s="1"/>
  <c r="N58" i="4"/>
  <c r="S58" i="4"/>
  <c r="O235" i="1"/>
  <c r="O234" i="1"/>
  <c r="N234" i="1" s="1"/>
  <c r="R239" i="1"/>
  <c r="S239" i="1"/>
  <c r="O233" i="1"/>
  <c r="N233" i="1" s="1"/>
  <c r="O238" i="1"/>
  <c r="S237" i="1"/>
  <c r="R237" i="1"/>
  <c r="R162" i="1"/>
  <c r="O162" i="1" s="1"/>
  <c r="Q211" i="1"/>
  <c r="R211" i="1" s="1"/>
  <c r="O211" i="1" s="1"/>
  <c r="N211" i="1" s="1"/>
  <c r="Q215" i="1"/>
  <c r="R215" i="1" s="1"/>
  <c r="O215" i="1" s="1"/>
  <c r="Q213" i="1"/>
  <c r="R213" i="1" s="1"/>
  <c r="O213" i="1" s="1"/>
  <c r="Q209" i="1"/>
  <c r="R209" i="1" s="1"/>
  <c r="O209" i="1" s="1"/>
  <c r="N209" i="1" s="1"/>
  <c r="N115" i="4"/>
  <c r="B150" i="1"/>
  <c r="B246" i="1"/>
  <c r="Q240" i="1" s="1"/>
  <c r="B222" i="1"/>
  <c r="Q216" i="1" s="1"/>
  <c r="R216" i="1" s="1"/>
  <c r="N61" i="4"/>
  <c r="B65" i="4"/>
  <c r="S65" i="4" s="1"/>
  <c r="B139" i="1"/>
  <c r="B105" i="4"/>
  <c r="S103" i="4" s="1"/>
  <c r="B86" i="4"/>
  <c r="S84" i="4" s="1"/>
  <c r="N55" i="4"/>
  <c r="N75" i="4"/>
  <c r="B124" i="4"/>
  <c r="S122" i="4" s="1"/>
  <c r="M14" i="4"/>
  <c r="Q35" i="4"/>
  <c r="P35" i="4" s="1"/>
  <c r="Q45" i="4"/>
  <c r="Q44" i="4"/>
  <c r="M44" i="4"/>
  <c r="R44" i="4" s="1"/>
  <c r="S44" i="4" s="1"/>
  <c r="Q43" i="4"/>
  <c r="M43" i="4"/>
  <c r="R43" i="4" s="1"/>
  <c r="S43" i="4" s="1"/>
  <c r="Q42" i="4"/>
  <c r="M42" i="4"/>
  <c r="R42" i="4" s="1"/>
  <c r="S42" i="4" s="1"/>
  <c r="Q41" i="4"/>
  <c r="M41" i="4"/>
  <c r="O41" i="4" s="1"/>
  <c r="Q40" i="4"/>
  <c r="M40" i="4"/>
  <c r="Q39" i="4"/>
  <c r="M39" i="4"/>
  <c r="O39" i="4" s="1"/>
  <c r="N39" i="4" s="1"/>
  <c r="Q38" i="4"/>
  <c r="M38" i="4"/>
  <c r="O38" i="4" s="1"/>
  <c r="N38" i="4" s="1"/>
  <c r="Q37" i="4"/>
  <c r="M37" i="4"/>
  <c r="O37" i="4" s="1"/>
  <c r="Q36" i="4"/>
  <c r="M36" i="4"/>
  <c r="M35" i="4"/>
  <c r="M34" i="4"/>
  <c r="O34" i="4" s="1"/>
  <c r="P33" i="4"/>
  <c r="M33" i="4"/>
  <c r="R33" i="4" s="1"/>
  <c r="M23" i="4"/>
  <c r="M22" i="4"/>
  <c r="O22" i="4" s="1"/>
  <c r="N22" i="4" s="1"/>
  <c r="M21" i="4"/>
  <c r="O21" i="4" s="1"/>
  <c r="N21" i="4" s="1"/>
  <c r="M20" i="4"/>
  <c r="M19" i="4"/>
  <c r="O19" i="4" s="1"/>
  <c r="N19" i="4" s="1"/>
  <c r="M18" i="4"/>
  <c r="M17" i="4"/>
  <c r="M15" i="4"/>
  <c r="O15" i="4" s="1"/>
  <c r="M13" i="4"/>
  <c r="R12" i="4"/>
  <c r="P11" i="4"/>
  <c r="O11" i="4" s="1"/>
  <c r="N11" i="4" s="1"/>
  <c r="R11" i="4"/>
  <c r="U122" i="4" l="1"/>
  <c r="T122" i="4"/>
  <c r="V122" i="4"/>
  <c r="W118" i="4"/>
  <c r="P118" i="4" s="1"/>
  <c r="W121" i="4"/>
  <c r="P121" i="4" s="1"/>
  <c r="W115" i="4"/>
  <c r="P115" i="4" s="1"/>
  <c r="W79" i="4"/>
  <c r="P79" i="4" s="1"/>
  <c r="N216" i="1"/>
  <c r="B211" i="1" s="1"/>
  <c r="O216" i="1"/>
  <c r="U103" i="4"/>
  <c r="W103" i="4"/>
  <c r="V103" i="4"/>
  <c r="T103" i="4"/>
  <c r="X103" i="4" s="1"/>
  <c r="P103" i="4" s="1"/>
  <c r="X99" i="4"/>
  <c r="P99" i="4" s="1"/>
  <c r="X102" i="4"/>
  <c r="P102" i="4" s="1"/>
  <c r="X95" i="4"/>
  <c r="P95" i="4" s="1"/>
  <c r="X98" i="4"/>
  <c r="P98" i="4" s="1"/>
  <c r="O98" i="4" s="1"/>
  <c r="B78" i="4"/>
  <c r="C85" i="4" s="1"/>
  <c r="W82" i="4"/>
  <c r="P82" i="4" s="1"/>
  <c r="V84" i="4"/>
  <c r="T84" i="4"/>
  <c r="U84" i="4"/>
  <c r="W76" i="4"/>
  <c r="P76" i="4" s="1"/>
  <c r="W65" i="4"/>
  <c r="V65" i="4"/>
  <c r="T65" i="4"/>
  <c r="U65" i="4"/>
  <c r="X56" i="4"/>
  <c r="P56" i="4" s="1"/>
  <c r="U58" i="4"/>
  <c r="V58" i="4"/>
  <c r="T58" i="4"/>
  <c r="W58" i="4"/>
  <c r="X57" i="4"/>
  <c r="P57" i="4" s="1"/>
  <c r="X64" i="4"/>
  <c r="P64" i="4" s="1"/>
  <c r="X61" i="4"/>
  <c r="P61" i="4" s="1"/>
  <c r="X59" i="4"/>
  <c r="P59" i="4" s="1"/>
  <c r="V42" i="4"/>
  <c r="T42" i="4"/>
  <c r="U42" i="4"/>
  <c r="U43" i="4"/>
  <c r="V43" i="4"/>
  <c r="T43" i="4"/>
  <c r="U44" i="4"/>
  <c r="V44" i="4"/>
  <c r="T44" i="4"/>
  <c r="N12" i="4"/>
  <c r="S12" i="4"/>
  <c r="O239" i="1"/>
  <c r="R240" i="1"/>
  <c r="S240" i="1"/>
  <c r="O237" i="1"/>
  <c r="B148" i="1"/>
  <c r="C149" i="1"/>
  <c r="N37" i="4"/>
  <c r="O35" i="4"/>
  <c r="N35" i="4" s="1"/>
  <c r="R34" i="4"/>
  <c r="R13" i="4"/>
  <c r="S13" i="4" s="1"/>
  <c r="O13" i="4"/>
  <c r="N13" i="4" s="1"/>
  <c r="B145" i="1"/>
  <c r="O40" i="4"/>
  <c r="O36" i="4"/>
  <c r="O17" i="4"/>
  <c r="N17" i="4" s="1"/>
  <c r="O18" i="4"/>
  <c r="N18" i="4" s="1"/>
  <c r="O23" i="4"/>
  <c r="N23" i="4" s="1"/>
  <c r="O14" i="4"/>
  <c r="R38" i="4"/>
  <c r="S38" i="4" s="1"/>
  <c r="R37" i="4"/>
  <c r="S37" i="4" s="1"/>
  <c r="R40" i="4"/>
  <c r="S40" i="4" s="1"/>
  <c r="R41" i="4"/>
  <c r="O33" i="4"/>
  <c r="R39" i="4"/>
  <c r="S39" i="4" s="1"/>
  <c r="R36" i="4"/>
  <c r="S36" i="4" s="1"/>
  <c r="R35" i="4"/>
  <c r="S35" i="4" s="1"/>
  <c r="O42" i="4"/>
  <c r="N42" i="4" s="1"/>
  <c r="O43" i="4"/>
  <c r="N43" i="4" s="1"/>
  <c r="O44" i="4"/>
  <c r="N44" i="4" s="1"/>
  <c r="O45" i="4"/>
  <c r="N45" i="4" s="1"/>
  <c r="R14" i="4"/>
  <c r="S14" i="4" s="1"/>
  <c r="R15" i="4"/>
  <c r="R17" i="4"/>
  <c r="S17" i="4" s="1"/>
  <c r="R18" i="4"/>
  <c r="S18" i="4" s="1"/>
  <c r="R19" i="4"/>
  <c r="S19" i="4" s="1"/>
  <c r="R20" i="4"/>
  <c r="S20" i="4" s="1"/>
  <c r="R21" i="4"/>
  <c r="S21" i="4" s="1"/>
  <c r="R22" i="4"/>
  <c r="S22" i="4" s="1"/>
  <c r="O112" i="1"/>
  <c r="O88" i="1"/>
  <c r="O64" i="1"/>
  <c r="O40" i="1"/>
  <c r="O16" i="1"/>
  <c r="W122" i="4" l="1"/>
  <c r="P122" i="4" s="1"/>
  <c r="O122" i="4" s="1"/>
  <c r="T18" i="4"/>
  <c r="V18" i="4"/>
  <c r="W18" i="4"/>
  <c r="U18" i="4"/>
  <c r="T13" i="4"/>
  <c r="W13" i="4"/>
  <c r="U13" i="4"/>
  <c r="V13" i="4"/>
  <c r="T14" i="4"/>
  <c r="V14" i="4"/>
  <c r="W14" i="4"/>
  <c r="U14" i="4"/>
  <c r="T22" i="4"/>
  <c r="W22" i="4"/>
  <c r="V22" i="4"/>
  <c r="U22" i="4"/>
  <c r="T20" i="4"/>
  <c r="W20" i="4"/>
  <c r="U20" i="4"/>
  <c r="V20" i="4"/>
  <c r="T19" i="4"/>
  <c r="V19" i="4"/>
  <c r="W19" i="4"/>
  <c r="U19" i="4"/>
  <c r="T17" i="4"/>
  <c r="V17" i="4"/>
  <c r="W17" i="4"/>
  <c r="U17" i="4"/>
  <c r="T21" i="4"/>
  <c r="V21" i="4"/>
  <c r="W21" i="4"/>
  <c r="U21" i="4"/>
  <c r="T12" i="4"/>
  <c r="V12" i="4"/>
  <c r="W12" i="4"/>
  <c r="U12" i="4"/>
  <c r="W84" i="4"/>
  <c r="P84" i="4" s="1"/>
  <c r="W43" i="4"/>
  <c r="C221" i="1"/>
  <c r="B217" i="1"/>
  <c r="B220" i="1"/>
  <c r="N98" i="4"/>
  <c r="B97" i="4"/>
  <c r="C104" i="4" s="1"/>
  <c r="B84" i="4"/>
  <c r="B81" i="4"/>
  <c r="X58" i="4"/>
  <c r="P58" i="4" s="1"/>
  <c r="X65" i="4"/>
  <c r="P65" i="4" s="1"/>
  <c r="O65" i="4" s="1"/>
  <c r="V37" i="4"/>
  <c r="T37" i="4"/>
  <c r="U37" i="4"/>
  <c r="U38" i="4"/>
  <c r="T38" i="4"/>
  <c r="V38" i="4"/>
  <c r="N34" i="4"/>
  <c r="S34" i="4"/>
  <c r="V35" i="4"/>
  <c r="T35" i="4"/>
  <c r="U35" i="4"/>
  <c r="N41" i="4"/>
  <c r="S41" i="4"/>
  <c r="U36" i="4"/>
  <c r="T36" i="4"/>
  <c r="V36" i="4"/>
  <c r="W42" i="4"/>
  <c r="V40" i="4"/>
  <c r="T40" i="4"/>
  <c r="U40" i="4"/>
  <c r="V39" i="4"/>
  <c r="U39" i="4"/>
  <c r="T39" i="4"/>
  <c r="W44" i="4"/>
  <c r="N15" i="4"/>
  <c r="S15" i="4"/>
  <c r="O240" i="1"/>
  <c r="N240" i="1" s="1"/>
  <c r="B235" i="1" s="1"/>
  <c r="N36" i="4"/>
  <c r="N40" i="4"/>
  <c r="B43" i="4"/>
  <c r="S45" i="4" s="1"/>
  <c r="B21" i="4"/>
  <c r="S23" i="4" s="1"/>
  <c r="N33" i="4"/>
  <c r="B36" i="4"/>
  <c r="C46" i="4" s="1"/>
  <c r="N14" i="4"/>
  <c r="N122" i="4" l="1"/>
  <c r="B116" i="4"/>
  <c r="T15" i="4"/>
  <c r="W15" i="4"/>
  <c r="V15" i="4"/>
  <c r="U15" i="4"/>
  <c r="W23" i="4"/>
  <c r="U23" i="4"/>
  <c r="T23" i="4"/>
  <c r="V23" i="4"/>
  <c r="X21" i="4"/>
  <c r="Q21" i="4" s="1"/>
  <c r="X19" i="4"/>
  <c r="Q19" i="4" s="1"/>
  <c r="X22" i="4"/>
  <c r="Q22" i="4" s="1"/>
  <c r="X13" i="4"/>
  <c r="Q13" i="4" s="1"/>
  <c r="P13" i="4" s="1"/>
  <c r="X12" i="4"/>
  <c r="Q12" i="4" s="1"/>
  <c r="P12" i="4" s="1"/>
  <c r="X17" i="4"/>
  <c r="Q17" i="4" s="1"/>
  <c r="X20" i="4"/>
  <c r="Q20" i="4" s="1"/>
  <c r="O20" i="4" s="1"/>
  <c r="X14" i="4"/>
  <c r="Q14" i="4" s="1"/>
  <c r="X18" i="4"/>
  <c r="Q18" i="4" s="1"/>
  <c r="W39" i="4"/>
  <c r="B244" i="1"/>
  <c r="C245" i="1"/>
  <c r="B241" i="1"/>
  <c r="B103" i="4"/>
  <c r="B100" i="4"/>
  <c r="N65" i="4"/>
  <c r="B58" i="4"/>
  <c r="W35" i="4"/>
  <c r="W37" i="4"/>
  <c r="U45" i="4"/>
  <c r="V45" i="4"/>
  <c r="T45" i="4"/>
  <c r="V41" i="4"/>
  <c r="T41" i="4"/>
  <c r="U41" i="4"/>
  <c r="W36" i="4"/>
  <c r="W38" i="4"/>
  <c r="T34" i="4"/>
  <c r="U34" i="4"/>
  <c r="V34" i="4"/>
  <c r="W40" i="4"/>
  <c r="B42" i="4"/>
  <c r="B39" i="4"/>
  <c r="N123" i="1"/>
  <c r="M122" i="1"/>
  <c r="N122" i="1" s="1"/>
  <c r="M121" i="1"/>
  <c r="N121" i="1" s="1"/>
  <c r="M120" i="1"/>
  <c r="M119" i="1"/>
  <c r="N119" i="1" s="1"/>
  <c r="M118" i="1"/>
  <c r="N118" i="1" s="1"/>
  <c r="N117" i="1"/>
  <c r="M116" i="1"/>
  <c r="M115" i="1"/>
  <c r="N115" i="1" s="1"/>
  <c r="M114" i="1"/>
  <c r="M112" i="1"/>
  <c r="N112" i="1" s="1"/>
  <c r="M100" i="1"/>
  <c r="M99" i="1"/>
  <c r="Q99" i="1" s="1"/>
  <c r="R99" i="1" s="1"/>
  <c r="S99" i="1" s="1"/>
  <c r="P99" i="1" s="1"/>
  <c r="M98" i="1"/>
  <c r="Q98" i="1" s="1"/>
  <c r="R98" i="1" s="1"/>
  <c r="S98" i="1" s="1"/>
  <c r="P98" i="1" s="1"/>
  <c r="M97" i="1"/>
  <c r="Q97" i="1" s="1"/>
  <c r="R97" i="1" s="1"/>
  <c r="S97" i="1" s="1"/>
  <c r="P97" i="1" s="1"/>
  <c r="M96" i="1"/>
  <c r="Q96" i="1" s="1"/>
  <c r="R96" i="1" s="1"/>
  <c r="S96" i="1" s="1"/>
  <c r="P96" i="1" s="1"/>
  <c r="M95" i="1"/>
  <c r="Q95" i="1" s="1"/>
  <c r="R95" i="1" s="1"/>
  <c r="M94" i="1"/>
  <c r="Q94" i="1" s="1"/>
  <c r="R94" i="1" s="1"/>
  <c r="S94" i="1" s="1"/>
  <c r="P94" i="1" s="1"/>
  <c r="B94" i="1"/>
  <c r="M93" i="1"/>
  <c r="Q93" i="1" s="1"/>
  <c r="R93" i="1" s="1"/>
  <c r="M92" i="1"/>
  <c r="Q92" i="1" s="1"/>
  <c r="R92" i="1" s="1"/>
  <c r="S92" i="1" s="1"/>
  <c r="P92" i="1" s="1"/>
  <c r="M91" i="1"/>
  <c r="Q91" i="1" s="1"/>
  <c r="R91" i="1" s="1"/>
  <c r="S91" i="1" s="1"/>
  <c r="P91" i="1" s="1"/>
  <c r="M90" i="1"/>
  <c r="N90" i="1" s="1"/>
  <c r="M89" i="1"/>
  <c r="N89" i="1" s="1"/>
  <c r="M88" i="1"/>
  <c r="M76" i="1"/>
  <c r="M75" i="1"/>
  <c r="N75" i="1" s="1"/>
  <c r="M74" i="1"/>
  <c r="N74" i="1" s="1"/>
  <c r="M73" i="1"/>
  <c r="N73" i="1" s="1"/>
  <c r="M72" i="1"/>
  <c r="Q72" i="1" s="1"/>
  <c r="R72" i="1" s="1"/>
  <c r="S72" i="1" s="1"/>
  <c r="P72" i="1" s="1"/>
  <c r="M71" i="1"/>
  <c r="Q71" i="1" s="1"/>
  <c r="R71" i="1" s="1"/>
  <c r="M70" i="1"/>
  <c r="Q70" i="1" s="1"/>
  <c r="R70" i="1" s="1"/>
  <c r="S70" i="1" s="1"/>
  <c r="P70" i="1" s="1"/>
  <c r="B70" i="1"/>
  <c r="M69" i="1"/>
  <c r="M68" i="1"/>
  <c r="Q68" i="1" s="1"/>
  <c r="M67" i="1"/>
  <c r="N67" i="1" s="1"/>
  <c r="M66" i="1"/>
  <c r="N66" i="1" s="1"/>
  <c r="M65" i="1"/>
  <c r="N65" i="1" s="1"/>
  <c r="M64" i="1"/>
  <c r="M52" i="1"/>
  <c r="M51" i="1"/>
  <c r="N51" i="1" s="1"/>
  <c r="M50" i="1"/>
  <c r="Q50" i="1" s="1"/>
  <c r="R50" i="1" s="1"/>
  <c r="S50" i="1" s="1"/>
  <c r="P50" i="1" s="1"/>
  <c r="M49" i="1"/>
  <c r="Q49" i="1" s="1"/>
  <c r="R49" i="1" s="1"/>
  <c r="S49" i="1" s="1"/>
  <c r="P49" i="1" s="1"/>
  <c r="M48" i="1"/>
  <c r="M47" i="1"/>
  <c r="M46" i="1"/>
  <c r="N46" i="1" s="1"/>
  <c r="B46" i="1"/>
  <c r="M45" i="1"/>
  <c r="M44" i="1"/>
  <c r="M43" i="1"/>
  <c r="N43" i="1" s="1"/>
  <c r="M41" i="1"/>
  <c r="N41" i="1" s="1"/>
  <c r="M40" i="1"/>
  <c r="N40" i="1" s="1"/>
  <c r="P28" i="1"/>
  <c r="M28" i="1"/>
  <c r="P27" i="1"/>
  <c r="M27" i="1"/>
  <c r="N27" i="1" s="1"/>
  <c r="P26" i="1"/>
  <c r="M26" i="1"/>
  <c r="M25" i="1"/>
  <c r="P24" i="1"/>
  <c r="M24" i="1"/>
  <c r="P23" i="1"/>
  <c r="M23" i="1"/>
  <c r="P22" i="1"/>
  <c r="M22" i="1"/>
  <c r="B22" i="1"/>
  <c r="P21" i="1"/>
  <c r="M21" i="1"/>
  <c r="M20" i="1"/>
  <c r="M19" i="1"/>
  <c r="M18" i="1"/>
  <c r="N18" i="1" s="1"/>
  <c r="M17" i="1"/>
  <c r="N17" i="1" s="1"/>
  <c r="M16" i="1"/>
  <c r="N16" i="1" s="1"/>
  <c r="N20" i="4" l="1"/>
  <c r="B14" i="4"/>
  <c r="C123" i="4"/>
  <c r="B122" i="4"/>
  <c r="B119" i="4"/>
  <c r="X23" i="4"/>
  <c r="Q23" i="4" s="1"/>
  <c r="X15" i="4"/>
  <c r="Q15" i="4" s="1"/>
  <c r="C66" i="4"/>
  <c r="B64" i="4"/>
  <c r="B61" i="4"/>
  <c r="W41" i="4"/>
  <c r="W34" i="4"/>
  <c r="W45" i="4"/>
  <c r="S93" i="1"/>
  <c r="P93" i="1" s="1"/>
  <c r="S95" i="1"/>
  <c r="P95" i="1" s="1"/>
  <c r="R68" i="1"/>
  <c r="S68" i="1" s="1"/>
  <c r="P68" i="1" s="1"/>
  <c r="N68" i="1" s="1"/>
  <c r="S71" i="1"/>
  <c r="P71" i="1" s="1"/>
  <c r="N28" i="1"/>
  <c r="Q69" i="1"/>
  <c r="R69" i="1" s="1"/>
  <c r="S69" i="1" s="1"/>
  <c r="P69" i="1" s="1"/>
  <c r="N69" i="1"/>
  <c r="N20" i="1"/>
  <c r="Q20" i="1"/>
  <c r="Q122" i="1"/>
  <c r="R122" i="1" s="1"/>
  <c r="Q116" i="1"/>
  <c r="R116" i="1" s="1"/>
  <c r="Q115" i="1"/>
  <c r="R115" i="1" s="1"/>
  <c r="Q120" i="1"/>
  <c r="R120" i="1" s="1"/>
  <c r="N91" i="1"/>
  <c r="Q42" i="1"/>
  <c r="Q40" i="1"/>
  <c r="Q41" i="1"/>
  <c r="Q113" i="1"/>
  <c r="Q121" i="1"/>
  <c r="R121" i="1" s="1"/>
  <c r="Q123" i="1"/>
  <c r="Q112" i="1"/>
  <c r="Q114" i="1"/>
  <c r="N88" i="1"/>
  <c r="Q89" i="1"/>
  <c r="R89" i="1" s="1"/>
  <c r="S89" i="1" s="1"/>
  <c r="P89" i="1" s="1"/>
  <c r="O89" i="1" s="1"/>
  <c r="Q73" i="1"/>
  <c r="Q66" i="1"/>
  <c r="Q65" i="1"/>
  <c r="Q75" i="1"/>
  <c r="R75" i="1" s="1"/>
  <c r="S75" i="1" s="1"/>
  <c r="P75" i="1" s="1"/>
  <c r="Q74" i="1"/>
  <c r="R74" i="1" s="1"/>
  <c r="S74" i="1" s="1"/>
  <c r="P74" i="1" s="1"/>
  <c r="Q64" i="1"/>
  <c r="N64" i="1"/>
  <c r="Q67" i="1"/>
  <c r="R67" i="1" s="1"/>
  <c r="S67" i="1" s="1"/>
  <c r="P67" i="1" s="1"/>
  <c r="N26" i="1"/>
  <c r="N25" i="1"/>
  <c r="N24" i="1"/>
  <c r="N23" i="1"/>
  <c r="N22" i="1"/>
  <c r="N21" i="1"/>
  <c r="N19" i="1"/>
  <c r="N50" i="1"/>
  <c r="Q45" i="1"/>
  <c r="R45" i="1" s="1"/>
  <c r="S45" i="1" s="1"/>
  <c r="P45" i="1" s="1"/>
  <c r="N45" i="1" s="1"/>
  <c r="Q90" i="1"/>
  <c r="R90" i="1" s="1"/>
  <c r="S90" i="1" s="1"/>
  <c r="P90" i="1" s="1"/>
  <c r="O90" i="1" s="1"/>
  <c r="N96" i="1"/>
  <c r="Q117" i="1"/>
  <c r="R117" i="1" s="1"/>
  <c r="Q118" i="1"/>
  <c r="R118" i="1" s="1"/>
  <c r="Q119" i="1"/>
  <c r="R119" i="1" s="1"/>
  <c r="Q88" i="1"/>
  <c r="N94" i="1"/>
  <c r="N92" i="1"/>
  <c r="N93" i="1"/>
  <c r="N95" i="1"/>
  <c r="N97" i="1"/>
  <c r="N98" i="1"/>
  <c r="N99" i="1"/>
  <c r="N70" i="1"/>
  <c r="N71" i="1"/>
  <c r="N72" i="1"/>
  <c r="Q43" i="1"/>
  <c r="R43" i="1" s="1"/>
  <c r="S43" i="1" s="1"/>
  <c r="P43" i="1" s="1"/>
  <c r="Q51" i="1"/>
  <c r="R51" i="1" s="1"/>
  <c r="S51" i="1" s="1"/>
  <c r="P51" i="1" s="1"/>
  <c r="Q46" i="1"/>
  <c r="R46" i="1" s="1"/>
  <c r="S46" i="1" s="1"/>
  <c r="P46" i="1" s="1"/>
  <c r="Q48" i="1"/>
  <c r="R48" i="1" s="1"/>
  <c r="S48" i="1" s="1"/>
  <c r="P48" i="1" s="1"/>
  <c r="N48" i="1" s="1"/>
  <c r="Q47" i="1"/>
  <c r="N49" i="1"/>
  <c r="Q44" i="1"/>
  <c r="Q16" i="1"/>
  <c r="B54" i="1" l="1"/>
  <c r="R52" i="1" s="1"/>
  <c r="S52" i="1" s="1"/>
  <c r="P52" i="1" s="1"/>
  <c r="N52" i="1" s="1"/>
  <c r="C24" i="4"/>
  <c r="B20" i="4"/>
  <c r="B17" i="4"/>
  <c r="S118" i="1"/>
  <c r="T118" i="1"/>
  <c r="S117" i="1"/>
  <c r="T117" i="1"/>
  <c r="P117" i="1" s="1"/>
  <c r="S120" i="1"/>
  <c r="T120" i="1"/>
  <c r="S119" i="1"/>
  <c r="T119" i="1"/>
  <c r="P119" i="1" s="1"/>
  <c r="R123" i="1"/>
  <c r="T123" i="1" s="1"/>
  <c r="S115" i="1"/>
  <c r="T115" i="1"/>
  <c r="S121" i="1"/>
  <c r="T121" i="1"/>
  <c r="S116" i="1"/>
  <c r="T116" i="1"/>
  <c r="S122" i="1"/>
  <c r="T122" i="1"/>
  <c r="R73" i="1"/>
  <c r="S73" i="1" s="1"/>
  <c r="P73" i="1" s="1"/>
  <c r="R47" i="1"/>
  <c r="S47" i="1" s="1"/>
  <c r="P47" i="1" s="1"/>
  <c r="N47" i="1" s="1"/>
  <c r="R113" i="1"/>
  <c r="R114" i="1"/>
  <c r="R65" i="1"/>
  <c r="S65" i="1" s="1"/>
  <c r="P65" i="1" s="1"/>
  <c r="O65" i="1" s="1"/>
  <c r="R66" i="1"/>
  <c r="S66" i="1" s="1"/>
  <c r="P66" i="1" s="1"/>
  <c r="O66" i="1" s="1"/>
  <c r="R44" i="1"/>
  <c r="S44" i="1" s="1"/>
  <c r="P44" i="1" s="1"/>
  <c r="N44" i="1" s="1"/>
  <c r="R41" i="1"/>
  <c r="S41" i="1" s="1"/>
  <c r="P41" i="1" s="1"/>
  <c r="O41" i="1" s="1"/>
  <c r="R42" i="1"/>
  <c r="S42" i="1" s="1"/>
  <c r="P42" i="1" s="1"/>
  <c r="O42" i="1" s="1"/>
  <c r="B126" i="1"/>
  <c r="R124" i="1" s="1"/>
  <c r="B102" i="1"/>
  <c r="B78" i="1"/>
  <c r="B19" i="1"/>
  <c r="C29" i="1" s="1"/>
  <c r="Q17" i="1"/>
  <c r="Q25" i="1"/>
  <c r="Q21" i="1"/>
  <c r="Q24" i="1"/>
  <c r="Q27" i="1"/>
  <c r="Q23" i="1"/>
  <c r="Q19" i="1"/>
  <c r="Q26" i="1"/>
  <c r="Q22" i="1"/>
  <c r="Q18" i="1"/>
  <c r="P116" i="1" l="1"/>
  <c r="N116" i="1" s="1"/>
  <c r="P121" i="1"/>
  <c r="B30" i="1"/>
  <c r="B43" i="1"/>
  <c r="C53" i="1" s="1"/>
  <c r="P118" i="1"/>
  <c r="P120" i="1"/>
  <c r="N120" i="1" s="1"/>
  <c r="P122" i="1"/>
  <c r="S114" i="1"/>
  <c r="T114" i="1"/>
  <c r="S113" i="1"/>
  <c r="T113" i="1"/>
  <c r="P115" i="1"/>
  <c r="S123" i="1"/>
  <c r="P123" i="1" s="1"/>
  <c r="R76" i="1"/>
  <c r="S76" i="1" s="1"/>
  <c r="P76" i="1" s="1"/>
  <c r="N76" i="1" s="1"/>
  <c r="B67" i="1" s="1"/>
  <c r="R100" i="1"/>
  <c r="S100" i="1" s="1"/>
  <c r="P100" i="1" s="1"/>
  <c r="N100" i="1" s="1"/>
  <c r="B91" i="1" s="1"/>
  <c r="B28" i="1"/>
  <c r="B25" i="1"/>
  <c r="P164" i="1"/>
  <c r="P188" i="1"/>
  <c r="P114" i="1" l="1"/>
  <c r="O114" i="1" s="1"/>
  <c r="N114" i="1" s="1"/>
  <c r="P113" i="1"/>
  <c r="O113" i="1" s="1"/>
  <c r="B49" i="1"/>
  <c r="B52" i="1"/>
  <c r="S124" i="1"/>
  <c r="T124" i="1"/>
  <c r="B73" i="1"/>
  <c r="C77" i="1"/>
  <c r="B76" i="1"/>
  <c r="B100" i="1"/>
  <c r="B97" i="1"/>
  <c r="C101" i="1"/>
  <c r="B198" i="1"/>
  <c r="Q188" i="1"/>
  <c r="R188" i="1" s="1"/>
  <c r="O188" i="1" s="1"/>
  <c r="N188" i="1" s="1"/>
  <c r="B174" i="1"/>
  <c r="Q169" i="1" s="1"/>
  <c r="R169" i="1" s="1"/>
  <c r="O169" i="1" s="1"/>
  <c r="N169" i="1" s="1"/>
  <c r="Q164" i="1"/>
  <c r="R164" i="1" s="1"/>
  <c r="O164" i="1" s="1"/>
  <c r="N164" i="1" s="1"/>
  <c r="B163" i="1" l="1"/>
  <c r="C173" i="1" s="1"/>
  <c r="Q193" i="1"/>
  <c r="R193" i="1" s="1"/>
  <c r="P124" i="1"/>
  <c r="N124" i="1" s="1"/>
  <c r="B115" i="1" s="1"/>
  <c r="B169" i="1" l="1"/>
  <c r="B172" i="1"/>
  <c r="N193" i="1"/>
  <c r="B187" i="1" s="1"/>
  <c r="B196" i="1" s="1"/>
  <c r="O193" i="1"/>
  <c r="C125" i="1"/>
  <c r="B121" i="1"/>
  <c r="B124" i="1"/>
  <c r="B193" i="1" l="1"/>
  <c r="C197" i="1"/>
</calcChain>
</file>

<file path=xl/sharedStrings.xml><?xml version="1.0" encoding="utf-8"?>
<sst xmlns="http://schemas.openxmlformats.org/spreadsheetml/2006/main" count="610" uniqueCount="111">
  <si>
    <t>Tabelas de retenção na fonte para o continente — 2023 semestre 2</t>
  </si>
  <si>
    <t>Tabela I — Trabalho dependente</t>
  </si>
  <si>
    <t>Não casado ou casado dois titulares, sem dependentes</t>
  </si>
  <si>
    <t>Remuneração mensal (€)</t>
  </si>
  <si>
    <t>Taxa marginal máxima</t>
  </si>
  <si>
    <t>Parcela a abater (€)</t>
  </si>
  <si>
    <t>Taxa efetiva mensal de retenção no limite do escalão</t>
  </si>
  <si>
    <t>Até</t>
  </si>
  <si>
    <t>Superior a</t>
  </si>
  <si>
    <t>n.a.</t>
  </si>
  <si>
    <t>Tabela II — Trabalho dependente</t>
  </si>
  <si>
    <t>Não casado, com um ou mais dependentes</t>
  </si>
  <si>
    <t>Parcela adicional a abater por dependente (€)</t>
  </si>
  <si>
    <t>Tabela III — Trabalho dependente</t>
  </si>
  <si>
    <t>Casado dois titulares, com um ou mais dependentes</t>
  </si>
  <si>
    <t>Tabela IV — Trabalho dependente</t>
  </si>
  <si>
    <t>Casado único titular, sem dependentes</t>
  </si>
  <si>
    <t>Tabela V — Trabalho dependente</t>
  </si>
  <si>
    <t>Casado único titular, com um ou mais dependentes</t>
  </si>
  <si>
    <t>Tabela VI — Trabalho dependente</t>
  </si>
  <si>
    <t>Não casado ou casado dois titulares, sem dependentes — Deficiente</t>
  </si>
  <si>
    <t>Tabela VII — Trabalho dependente</t>
  </si>
  <si>
    <t>Não casado, com um ou mais dependentes — Deficiente</t>
  </si>
  <si>
    <t>Tabela VIII — Trabalho dependente</t>
  </si>
  <si>
    <t>Casado dois titulares, com um ou mais dependentes — Deficiente</t>
  </si>
  <si>
    <t>Tabela IX — Trabalho dependente</t>
  </si>
  <si>
    <t>Casado único titular, sem dependentes — Deficiente</t>
  </si>
  <si>
    <t>Tabela X — Trabalho dependente</t>
  </si>
  <si>
    <t>Casado único titular, com um ou mais dependentes — Deficiente</t>
  </si>
  <si>
    <t>Tabela XI — Pensões</t>
  </si>
  <si>
    <t>Não casado ou casado dois titulares</t>
  </si>
  <si>
    <t>14,5% x 2,3 x (1136,14 - R )</t>
  </si>
  <si>
    <t>21,0% x 1,3 x (1402,55 - R )</t>
  </si>
  <si>
    <t>Tabela XII — Pensões</t>
  </si>
  <si>
    <t>Casado único titular</t>
  </si>
  <si>
    <t>14,5% x 2,3  x ( 1222,89 - R )</t>
  </si>
  <si>
    <t>14,5% x 1,883 x ( 1297,43 - R )</t>
  </si>
  <si>
    <t>Tabela XIII — Pensões</t>
  </si>
  <si>
    <t>Não casado ou casado dois titulares — Deficiente</t>
  </si>
  <si>
    <t>Tabela XIV — Pensões</t>
  </si>
  <si>
    <t>Casado único titular — Deficiente</t>
  </si>
  <si>
    <t>Tabela XV — Pensões</t>
  </si>
  <si>
    <t>Não casado ou casado dois titulares — Deficiente das Forças Armadas</t>
  </si>
  <si>
    <t>Tabela XVI — Pensões</t>
  </si>
  <si>
    <t>Casado único titular — Deficiente das Forças Armadas</t>
  </si>
  <si>
    <t>Seg. Social (11%)</t>
  </si>
  <si>
    <t>Retenção IRS s/ parcela a abater</t>
  </si>
  <si>
    <t>Escalão onde se Encaixa</t>
  </si>
  <si>
    <t>Parcela a abater</t>
  </si>
  <si>
    <t>Taxa efectiva de IRS no Limite do Escalão</t>
  </si>
  <si>
    <t>Retenção IRS da Remun. Mensal</t>
  </si>
  <si>
    <t>Linha da Tabela onde se Encaixa a Remuneração</t>
  </si>
  <si>
    <t>Remuneração Mensal x Taxa marginal máxima</t>
  </si>
  <si>
    <t>Retenção IRS com parcela a abater</t>
  </si>
  <si>
    <t>Retenção IRS sem parcela a abater</t>
  </si>
  <si>
    <t>Retenção IRS c/ parcela a abater</t>
  </si>
  <si>
    <t>Tabelas de retenção na fonte para o continente - 2023 Semestre 2</t>
  </si>
  <si>
    <t xml:space="preserve">Retenção mensal IRS </t>
  </si>
  <si>
    <t>Retenção mensal IRS</t>
  </si>
  <si>
    <t>Salário Líquido</t>
  </si>
  <si>
    <t>Pensão Líquida</t>
  </si>
  <si>
    <t>Taxa de IRS efetiva</t>
  </si>
  <si>
    <t>Retenção IRS 2.º semestre 2023  →</t>
  </si>
  <si>
    <t>Se ao abrir o simulador aparecer esta barra no seu computador clique em "Ativar Edição"</t>
  </si>
  <si>
    <t>Filhos com deficiência igual ou superior a 60 %</t>
  </si>
  <si>
    <t>Remuneração mensal 
(€)</t>
  </si>
  <si>
    <t>Parcela a abater
 (€)</t>
  </si>
  <si>
    <t>Parcela a abater 
(€)</t>
  </si>
  <si>
    <t>Remuneração mensal
 (€)</t>
  </si>
  <si>
    <t>Parcela adicional a abater por dependente deficiente</t>
  </si>
  <si>
    <t>Parcela adicional a abater por cônjuge DEFICIENTE                     sem rendimento            categoria A ou H</t>
  </si>
  <si>
    <r>
      <rPr>
        <b/>
        <sz val="9"/>
        <color theme="1"/>
        <rFont val="Verdana"/>
        <family val="2"/>
      </rPr>
      <t>Não casado</t>
    </r>
    <r>
      <rPr>
        <sz val="9"/>
        <color theme="1"/>
        <rFont val="Verdana"/>
        <family val="2"/>
      </rPr>
      <t xml:space="preserve">
Dependentes do agregado familiar</t>
    </r>
  </si>
  <si>
    <r>
      <rPr>
        <b/>
        <sz val="9"/>
        <color theme="1"/>
        <rFont val="Verdana"/>
        <family val="2"/>
      </rPr>
      <t>Casado 2 Titulares</t>
    </r>
    <r>
      <rPr>
        <sz val="9"/>
        <color theme="1"/>
        <rFont val="Verdana"/>
        <family val="2"/>
      </rPr>
      <t xml:space="preserve">
Dependentes do agregado familiar</t>
    </r>
  </si>
  <si>
    <r>
      <rPr>
        <b/>
        <sz val="9"/>
        <color theme="1"/>
        <rFont val="Verdana"/>
        <family val="2"/>
      </rPr>
      <t>Não casado</t>
    </r>
    <r>
      <rPr>
        <sz val="9"/>
        <color theme="1"/>
        <rFont val="Verdana"/>
        <family val="2"/>
      </rPr>
      <t xml:space="preserve">
Deficientes</t>
    </r>
  </si>
  <si>
    <r>
      <rPr>
        <b/>
        <sz val="9"/>
        <color theme="1"/>
        <rFont val="Verdana"/>
        <family val="2"/>
      </rPr>
      <t>Casado 2 titulares</t>
    </r>
    <r>
      <rPr>
        <sz val="9"/>
        <color theme="1"/>
        <rFont val="Verdana"/>
        <family val="2"/>
      </rPr>
      <t xml:space="preserve">
Deficiente</t>
    </r>
  </si>
  <si>
    <t xml:space="preserve">
Dependentes do agregado familiar</t>
  </si>
  <si>
    <t>Insira ali o dígito 1, se um dos cônjuges é deficiente com incapacidade ≥ 60%, sem rendimentos da categoria A ou H</t>
  </si>
  <si>
    <t xml:space="preserve">
Dependentes do agregado familiar deficientes</t>
  </si>
  <si>
    <t>Sim</t>
  </si>
  <si>
    <t>É titular de crédito à habitação?</t>
  </si>
  <si>
    <t>x 2,3 x (1093,31 - R )</t>
  </si>
  <si>
    <t>x 1,3 x (1350,22 - R )</t>
  </si>
  <si>
    <t>x 2,3 x (1114,71 - R )</t>
  </si>
  <si>
    <t>x 1,3 x (1376,37 - R )</t>
  </si>
  <si>
    <t>x 1,3 x (1350,21 - R )</t>
  </si>
  <si>
    <t>x 2,3 x (1093,30 - R )</t>
  </si>
  <si>
    <t>x 2,3 x (1153,28 - R )</t>
  </si>
  <si>
    <t>x 1,883 x (1212,39 - R )</t>
  </si>
  <si>
    <t>x 2,3 x (1146,84 - R )</t>
  </si>
  <si>
    <t>x 1,883 x (1204,55 - R )</t>
  </si>
  <si>
    <t>Clique aqui se pediu a redução da taxa de retenção na fonte (assinale sim)</t>
  </si>
  <si>
    <t xml:space="preserve">Insira ali abaixo todos os dependentes, os deficientes e não deficientes que fazem parte do seu agregado familiar </t>
  </si>
  <si>
    <t>Insira ali abaixo todos os dependentes, os deficientes e não deficientes que fazem parte do seu agregado familiar</t>
  </si>
  <si>
    <t xml:space="preserve">Insira ali abaixo o salário mensal </t>
  </si>
  <si>
    <t xml:space="preserve">Insira ali abaixo o salário mensal  </t>
  </si>
  <si>
    <t>Insira ali abaixo o salário mensal</t>
  </si>
  <si>
    <t>Insira ali abaixo todos os dependentes, deficientes e não deficientes que fazem parte do seu agregado familiar</t>
  </si>
  <si>
    <t xml:space="preserve">Insira ali abaixo a pensão mensal </t>
  </si>
  <si>
    <r>
      <rPr>
        <b/>
        <i/>
        <u/>
        <sz val="8"/>
        <color rgb="FFFF0000"/>
        <rFont val="Arial Nova Light"/>
        <family val="2"/>
      </rPr>
      <t>NÃO CASADO</t>
    </r>
    <r>
      <rPr>
        <b/>
        <i/>
        <sz val="9"/>
        <color theme="1"/>
        <rFont val="Arial Nova Light"/>
        <family val="2"/>
      </rPr>
      <t xml:space="preserve">
Insira ali abaixo todos os dependentes, os deficientes e não deficientes que fazem parte do seu agregado familiar</t>
    </r>
  </si>
  <si>
    <r>
      <rPr>
        <b/>
        <i/>
        <u/>
        <sz val="8"/>
        <color rgb="FFFF0000"/>
        <rFont val="Arial Nova Light"/>
        <family val="2"/>
      </rPr>
      <t>CASADO 2 TITULARES</t>
    </r>
    <r>
      <rPr>
        <b/>
        <i/>
        <sz val="9"/>
        <color theme="1"/>
        <rFont val="Arial Nova Light"/>
        <family val="2"/>
      </rPr>
      <t xml:space="preserve">
Insira ali abaixo todos os dependentes, os deficientes e não deficientes que fazem parte do seu agregado familiar</t>
    </r>
  </si>
  <si>
    <r>
      <rPr>
        <b/>
        <i/>
        <u/>
        <sz val="9"/>
        <color rgb="FFFF0000"/>
        <rFont val="Arial Nova Light"/>
        <family val="2"/>
      </rPr>
      <t>NÃO CASADO</t>
    </r>
    <r>
      <rPr>
        <b/>
        <i/>
        <sz val="9"/>
        <color theme="1"/>
        <rFont val="Arial Nova Light"/>
        <family val="2"/>
      </rPr>
      <t xml:space="preserve">
Insira ali abaixo todos os dependentes, os deficientes e não deficientes que fazem parte do seu agregado familiar</t>
    </r>
  </si>
  <si>
    <t xml:space="preserve">Insira ali abaixo o dígito 1, se um dos cônjuges é deficiente com grau de invalidez ≥ 60%, sem rendimentos da categoria A ou H </t>
  </si>
  <si>
    <r>
      <rPr>
        <b/>
        <i/>
        <u/>
        <sz val="8"/>
        <color rgb="FFFF0000"/>
        <rFont val="Arial Nova Light"/>
        <family val="2"/>
      </rPr>
      <t>NÃO CASADO</t>
    </r>
    <r>
      <rPr>
        <b/>
        <i/>
        <sz val="9"/>
        <color theme="1"/>
        <rFont val="Arial Nova Light"/>
        <family val="2"/>
      </rPr>
      <t xml:space="preserve">
Insira ali abaixo apenas os dependentes deficientes com grau de invalidez ≥ 60%</t>
    </r>
  </si>
  <si>
    <r>
      <rPr>
        <b/>
        <i/>
        <u/>
        <sz val="8"/>
        <color rgb="FFFF0000"/>
        <rFont val="Arial Nova Light"/>
        <family val="2"/>
      </rPr>
      <t>CASADO 2 TITULARES</t>
    </r>
    <r>
      <rPr>
        <b/>
        <i/>
        <sz val="9"/>
        <color theme="1"/>
        <rFont val="Arial Nova Light"/>
        <family val="2"/>
      </rPr>
      <t xml:space="preserve">
Insira ali abaixo apenas os dependentes deficientes com grau de invalidez ≥ 60%</t>
    </r>
  </si>
  <si>
    <t>Insira ali abaixo apenas os dependentes deficientes com grau de invalidez ≥ 60%</t>
  </si>
  <si>
    <t>Insira ali abaixo o dígito 1, se um dos cônjuges é deficiente com grau de invalidez ≥ 60%, sem rendimentos da categoria A ou H</t>
  </si>
  <si>
    <t xml:space="preserve">Insira ali abaixo apenas os dependentes deficientes com grau de invalidez ≥ 60%
</t>
  </si>
  <si>
    <t xml:space="preserve">Insira ali abaixo o dígito 1, se um dos cônjuges é deficiente com grau de invalidez ≥ 60%, sem rendimentos da categoria A ou H 
</t>
  </si>
  <si>
    <t>Despacho n.º 14043-B/2022, de 05/12</t>
  </si>
  <si>
    <t>Despacho n.º 4930/2023, de 26 de abril</t>
  </si>
  <si>
    <t>última alteração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</si>
</sst>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%"/>
    <numFmt numFmtId="165" formatCode="_-* #,##0.00\ [$€-816]_-;\-* #,##0.00\ [$€-816]_-;_-* &quot;-&quot;??\ [$€-816]_-;_-@_-"/>
  </numFmts>
  <fonts count="46" x14ac:knownFonts="1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u/>
      <sz val="10"/>
      <color theme="10"/>
      <name val="Verdana"/>
      <family val="2"/>
    </font>
    <font>
      <b/>
      <sz val="9"/>
      <color theme="1"/>
      <name val="Verdana"/>
      <family val="2"/>
    </font>
    <font>
      <b/>
      <sz val="9"/>
      <color rgb="FF000000"/>
      <name val="Verdana"/>
      <family val="2"/>
    </font>
    <font>
      <b/>
      <sz val="9"/>
      <color rgb="FF0000FF"/>
      <name val="Verdana"/>
      <family val="2"/>
    </font>
    <font>
      <b/>
      <sz val="8"/>
      <color theme="1"/>
      <name val="Verdana"/>
      <family val="2"/>
    </font>
    <font>
      <b/>
      <sz val="10"/>
      <color theme="0"/>
      <name val="Arial Black"/>
      <family val="2"/>
    </font>
    <font>
      <b/>
      <sz val="9"/>
      <color theme="0"/>
      <name val="Verdana"/>
      <family val="2"/>
    </font>
    <font>
      <sz val="10"/>
      <color theme="0"/>
      <name val="Arial Black"/>
      <family val="2"/>
    </font>
    <font>
      <b/>
      <sz val="10"/>
      <color rgb="FF000000"/>
      <name val="Verdana"/>
      <family val="2"/>
    </font>
    <font>
      <b/>
      <sz val="10"/>
      <color rgb="FFFF0000"/>
      <name val="Verdana"/>
      <family val="2"/>
    </font>
    <font>
      <sz val="6"/>
      <color theme="9" tint="0.59999389629810485"/>
      <name val="Verdana"/>
      <family val="2"/>
    </font>
    <font>
      <sz val="6"/>
      <color theme="1"/>
      <name val="Verdana"/>
      <family val="2"/>
    </font>
    <font>
      <sz val="6"/>
      <name val="Verdana"/>
      <family val="2"/>
    </font>
    <font>
      <sz val="8"/>
      <color theme="1"/>
      <name val="Verdana"/>
      <family val="2"/>
    </font>
    <font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1"/>
      <name val="Arial Nova Light"/>
      <family val="2"/>
    </font>
    <font>
      <b/>
      <i/>
      <sz val="10"/>
      <color theme="0"/>
      <name val="Arial Nova Light"/>
      <family val="2"/>
    </font>
    <font>
      <b/>
      <i/>
      <sz val="10"/>
      <color theme="1"/>
      <name val="Arial Nova Light"/>
      <family val="2"/>
    </font>
    <font>
      <b/>
      <sz val="10"/>
      <color rgb="FF000000"/>
      <name val="Arial Nova Light"/>
      <family val="2"/>
    </font>
    <font>
      <b/>
      <sz val="9"/>
      <color theme="1"/>
      <name val="Arial Nova Light"/>
      <family val="2"/>
    </font>
    <font>
      <b/>
      <i/>
      <sz val="10"/>
      <color rgb="FF000000"/>
      <name val="Arial Nova Light"/>
      <family val="2"/>
    </font>
    <font>
      <i/>
      <sz val="10"/>
      <color rgb="FF000000"/>
      <name val="Arial Nova Light"/>
      <family val="2"/>
    </font>
    <font>
      <sz val="10"/>
      <color rgb="FFFF0000"/>
      <name val="Arial Black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 Nova Light"/>
      <family val="2"/>
    </font>
    <font>
      <b/>
      <sz val="8"/>
      <color rgb="FFFF0000"/>
      <name val="Verdana"/>
      <family val="2"/>
    </font>
    <font>
      <b/>
      <i/>
      <sz val="9"/>
      <color rgb="FFFF0000"/>
      <name val="Calibri"/>
      <family val="2"/>
      <scheme val="minor"/>
    </font>
    <font>
      <b/>
      <i/>
      <sz val="9"/>
      <color rgb="FF0000FF"/>
      <name val="Calibri"/>
      <family val="2"/>
      <scheme val="minor"/>
    </font>
    <font>
      <sz val="9"/>
      <color theme="1"/>
      <name val="Arial"/>
      <family val="2"/>
    </font>
    <font>
      <b/>
      <i/>
      <sz val="10"/>
      <name val="Arial Nova Light"/>
      <family val="2"/>
    </font>
    <font>
      <sz val="8"/>
      <color theme="1"/>
      <name val="Arial Nova Light"/>
      <family val="2"/>
    </font>
    <font>
      <b/>
      <i/>
      <u/>
      <sz val="8"/>
      <color rgb="FFFF0000"/>
      <name val="Arial Nova Light"/>
      <family val="2"/>
    </font>
    <font>
      <b/>
      <i/>
      <u/>
      <sz val="9"/>
      <color rgb="FFFF0000"/>
      <name val="Arial Nova Light"/>
      <family val="2"/>
    </font>
    <font>
      <sz val="8"/>
      <color rgb="FF000000"/>
      <name val="Verdana"/>
      <family val="2"/>
    </font>
    <font>
      <u/>
      <sz val="8"/>
      <color theme="10"/>
      <name val="Verdana"/>
      <family val="2"/>
    </font>
    <font>
      <i/>
      <sz val="10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" fillId="0" borderId="0"/>
  </cellStyleXfs>
  <cellXfs count="16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5" fillId="0" borderId="3" xfId="0" applyFont="1" applyBorder="1" applyAlignment="1">
      <alignment horizontal="left" vertical="center"/>
    </xf>
    <xf numFmtId="4" fontId="3" fillId="0" borderId="3" xfId="0" applyNumberFormat="1" applyFont="1" applyBorder="1" applyAlignment="1">
      <alignment vertical="center"/>
    </xf>
    <xf numFmtId="1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right" vertical="center"/>
    </xf>
    <xf numFmtId="2" fontId="3" fillId="0" borderId="0" xfId="0" applyNumberFormat="1" applyFont="1" applyAlignment="1">
      <alignment vertical="center"/>
    </xf>
    <xf numFmtId="2" fontId="3" fillId="0" borderId="3" xfId="0" applyNumberFormat="1" applyFont="1" applyBorder="1" applyAlignment="1">
      <alignment horizontal="center" vertical="center"/>
    </xf>
    <xf numFmtId="0" fontId="6" fillId="0" borderId="0" xfId="2" applyAlignment="1">
      <alignment vertical="center"/>
    </xf>
    <xf numFmtId="0" fontId="4" fillId="0" borderId="0" xfId="0" applyFont="1" applyAlignment="1">
      <alignment vertical="center"/>
    </xf>
    <xf numFmtId="0" fontId="9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44" fontId="4" fillId="0" borderId="0" xfId="3" applyFont="1" applyBorder="1" applyAlignment="1">
      <alignment vertical="center"/>
    </xf>
    <xf numFmtId="164" fontId="4" fillId="0" borderId="0" xfId="1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4" fontId="4" fillId="0" borderId="7" xfId="3" applyFont="1" applyBorder="1" applyAlignment="1">
      <alignment vertical="center"/>
    </xf>
    <xf numFmtId="164" fontId="4" fillId="0" borderId="7" xfId="1" applyNumberFormat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5" borderId="0" xfId="0" applyFont="1" applyFill="1" applyAlignment="1">
      <alignment vertical="center"/>
    </xf>
    <xf numFmtId="44" fontId="4" fillId="0" borderId="7" xfId="0" applyNumberFormat="1" applyFont="1" applyBorder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10" fillId="6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 applyProtection="1">
      <alignment vertical="center"/>
      <protection hidden="1"/>
    </xf>
    <xf numFmtId="44" fontId="4" fillId="0" borderId="3" xfId="3" applyFont="1" applyBorder="1" applyAlignment="1" applyProtection="1">
      <alignment vertical="center"/>
      <protection hidden="1"/>
    </xf>
    <xf numFmtId="164" fontId="4" fillId="0" borderId="3" xfId="1" applyNumberFormat="1" applyFont="1" applyBorder="1" applyAlignment="1" applyProtection="1">
      <alignment vertical="center"/>
      <protection hidden="1"/>
    </xf>
    <xf numFmtId="2" fontId="4" fillId="0" borderId="3" xfId="0" applyNumberFormat="1" applyFont="1" applyBorder="1" applyAlignment="1" applyProtection="1">
      <alignment vertical="center"/>
      <protection hidden="1"/>
    </xf>
    <xf numFmtId="44" fontId="4" fillId="0" borderId="3" xfId="0" applyNumberFormat="1" applyFont="1" applyBorder="1" applyAlignment="1" applyProtection="1">
      <alignment vertical="center"/>
      <protection hidden="1"/>
    </xf>
    <xf numFmtId="44" fontId="4" fillId="0" borderId="4" xfId="3" applyFont="1" applyBorder="1" applyAlignment="1" applyProtection="1">
      <alignment vertical="center"/>
      <protection hidden="1"/>
    </xf>
    <xf numFmtId="164" fontId="4" fillId="0" borderId="4" xfId="1" applyNumberFormat="1" applyFont="1" applyBorder="1" applyAlignment="1" applyProtection="1">
      <alignment vertical="center"/>
      <protection hidden="1"/>
    </xf>
    <xf numFmtId="44" fontId="4" fillId="0" borderId="6" xfId="3" applyFont="1" applyBorder="1" applyAlignment="1" applyProtection="1">
      <alignment vertical="center"/>
      <protection hidden="1"/>
    </xf>
    <xf numFmtId="44" fontId="4" fillId="0" borderId="5" xfId="3" applyFont="1" applyBorder="1" applyAlignment="1" applyProtection="1">
      <alignment vertical="center"/>
      <protection hidden="1"/>
    </xf>
    <xf numFmtId="0" fontId="7" fillId="6" borderId="4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 applyProtection="1">
      <alignment vertical="center"/>
      <protection hidden="1"/>
    </xf>
    <xf numFmtId="164" fontId="4" fillId="0" borderId="3" xfId="1" applyNumberFormat="1" applyFont="1" applyBorder="1" applyAlignment="1" applyProtection="1">
      <alignment horizontal="center" vertical="center"/>
      <protection hidden="1"/>
    </xf>
    <xf numFmtId="0" fontId="3" fillId="8" borderId="0" xfId="0" applyFont="1" applyFill="1" applyAlignment="1">
      <alignment horizontal="left" vertical="center"/>
    </xf>
    <xf numFmtId="0" fontId="4" fillId="8" borderId="0" xfId="0" applyFont="1" applyFill="1"/>
    <xf numFmtId="0" fontId="5" fillId="0" borderId="2" xfId="0" applyFont="1" applyBorder="1" applyAlignment="1">
      <alignment horizontal="left" vertical="center"/>
    </xf>
    <xf numFmtId="44" fontId="8" fillId="5" borderId="15" xfId="3" applyFont="1" applyFill="1" applyBorder="1" applyAlignment="1" applyProtection="1">
      <alignment horizontal="center" vertical="center"/>
      <protection locked="0"/>
    </xf>
    <xf numFmtId="0" fontId="4" fillId="0" borderId="16" xfId="0" applyFont="1" applyBorder="1"/>
    <xf numFmtId="0" fontId="9" fillId="7" borderId="13" xfId="0" applyFont="1" applyFill="1" applyBorder="1" applyAlignment="1">
      <alignment horizontal="center" vertical="center" wrapText="1"/>
    </xf>
    <xf numFmtId="44" fontId="7" fillId="6" borderId="14" xfId="3" applyFont="1" applyFill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  <xf numFmtId="0" fontId="14" fillId="5" borderId="0" xfId="0" applyFont="1" applyFill="1" applyAlignment="1">
      <alignment horizontal="left" vertical="center"/>
    </xf>
    <xf numFmtId="10" fontId="7" fillId="6" borderId="14" xfId="3" applyNumberFormat="1" applyFont="1" applyFill="1" applyBorder="1" applyAlignment="1" applyProtection="1">
      <alignment horizontal="center" vertical="center"/>
      <protection hidden="1"/>
    </xf>
    <xf numFmtId="0" fontId="5" fillId="0" borderId="11" xfId="0" applyFont="1" applyBorder="1" applyAlignment="1">
      <alignment horizontal="left" vertical="center"/>
    </xf>
    <xf numFmtId="44" fontId="7" fillId="5" borderId="0" xfId="3" applyFont="1" applyFill="1" applyBorder="1" applyAlignment="1" applyProtection="1">
      <alignment horizontal="center" vertical="center"/>
      <protection hidden="1"/>
    </xf>
    <xf numFmtId="44" fontId="8" fillId="0" borderId="15" xfId="3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vertical="center"/>
    </xf>
    <xf numFmtId="0" fontId="4" fillId="8" borderId="0" xfId="0" applyFont="1" applyFill="1" applyAlignment="1">
      <alignment vertical="center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/>
    <xf numFmtId="0" fontId="7" fillId="8" borderId="0" xfId="0" applyFont="1" applyFill="1"/>
    <xf numFmtId="44" fontId="4" fillId="0" borderId="0" xfId="0" applyNumberFormat="1" applyFont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4" fillId="5" borderId="8" xfId="0" applyFont="1" applyFill="1" applyBorder="1"/>
    <xf numFmtId="44" fontId="16" fillId="5" borderId="8" xfId="3" applyFont="1" applyFill="1" applyBorder="1"/>
    <xf numFmtId="0" fontId="16" fillId="5" borderId="8" xfId="0" applyFont="1" applyFill="1" applyBorder="1"/>
    <xf numFmtId="0" fontId="17" fillId="5" borderId="8" xfId="0" applyFont="1" applyFill="1" applyBorder="1"/>
    <xf numFmtId="44" fontId="18" fillId="5" borderId="8" xfId="3" applyFont="1" applyFill="1" applyBorder="1"/>
    <xf numFmtId="0" fontId="4" fillId="5" borderId="0" xfId="0" applyFont="1" applyFill="1"/>
    <xf numFmtId="0" fontId="3" fillId="5" borderId="8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vertical="center"/>
    </xf>
    <xf numFmtId="0" fontId="4" fillId="0" borderId="5" xfId="0" applyFont="1" applyBorder="1" applyAlignment="1" applyProtection="1">
      <alignment vertical="center"/>
      <protection hidden="1"/>
    </xf>
    <xf numFmtId="0" fontId="3" fillId="5" borderId="0" xfId="0" applyFont="1" applyFill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164" fontId="20" fillId="9" borderId="3" xfId="1" applyNumberFormat="1" applyFont="1" applyFill="1" applyBorder="1" applyAlignment="1">
      <alignment horizontal="center" vertical="center"/>
    </xf>
    <xf numFmtId="164" fontId="21" fillId="9" borderId="1" xfId="1" applyNumberFormat="1" applyFont="1" applyFill="1" applyBorder="1" applyAlignment="1">
      <alignment horizontal="center" vertical="center"/>
    </xf>
    <xf numFmtId="164" fontId="20" fillId="9" borderId="1" xfId="1" applyNumberFormat="1" applyFont="1" applyFill="1" applyBorder="1" applyAlignment="1">
      <alignment horizontal="center" vertical="center"/>
    </xf>
    <xf numFmtId="10" fontId="12" fillId="5" borderId="17" xfId="3" applyNumberFormat="1" applyFont="1" applyFill="1" applyBorder="1" applyAlignment="1" applyProtection="1">
      <alignment horizontal="center" vertical="center"/>
      <protection hidden="1"/>
    </xf>
    <xf numFmtId="10" fontId="12" fillId="5" borderId="16" xfId="3" applyNumberFormat="1" applyFont="1" applyFill="1" applyBorder="1" applyAlignment="1" applyProtection="1">
      <alignment horizontal="center" vertical="center"/>
      <protection hidden="1"/>
    </xf>
    <xf numFmtId="10" fontId="12" fillId="5" borderId="0" xfId="3" applyNumberFormat="1" applyFont="1" applyFill="1" applyBorder="1" applyAlignment="1" applyProtection="1">
      <alignment horizontal="center" vertical="center"/>
      <protection hidden="1"/>
    </xf>
    <xf numFmtId="44" fontId="18" fillId="5" borderId="0" xfId="3" applyFont="1" applyFill="1" applyBorder="1"/>
    <xf numFmtId="0" fontId="19" fillId="0" borderId="0" xfId="0" applyFont="1" applyAlignment="1">
      <alignment horizontal="center" vertical="center" wrapText="1"/>
    </xf>
    <xf numFmtId="0" fontId="23" fillId="5" borderId="8" xfId="3" applyNumberFormat="1" applyFont="1" applyFill="1" applyBorder="1" applyAlignment="1" applyProtection="1">
      <alignment horizontal="center" vertical="center"/>
      <protection hidden="1"/>
    </xf>
    <xf numFmtId="0" fontId="23" fillId="5" borderId="0" xfId="3" applyNumberFormat="1" applyFont="1" applyFill="1" applyBorder="1" applyAlignment="1" applyProtection="1">
      <alignment horizontal="center" vertical="center"/>
      <protection hidden="1"/>
    </xf>
    <xf numFmtId="0" fontId="23" fillId="5" borderId="7" xfId="3" applyNumberFormat="1" applyFont="1" applyFill="1" applyBorder="1" applyAlignment="1" applyProtection="1">
      <alignment horizontal="center" vertical="center"/>
      <protection hidden="1"/>
    </xf>
    <xf numFmtId="0" fontId="12" fillId="10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/>
    </xf>
    <xf numFmtId="0" fontId="3" fillId="11" borderId="3" xfId="0" quotePrefix="1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 wrapText="1"/>
    </xf>
    <xf numFmtId="44" fontId="7" fillId="6" borderId="22" xfId="3" applyFont="1" applyFill="1" applyBorder="1" applyAlignment="1" applyProtection="1">
      <alignment horizontal="center" vertical="center"/>
      <protection hidden="1"/>
    </xf>
    <xf numFmtId="0" fontId="27" fillId="5" borderId="9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29" fillId="5" borderId="9" xfId="0" applyFont="1" applyFill="1" applyBorder="1" applyAlignment="1">
      <alignment horizontal="left" vertical="center"/>
    </xf>
    <xf numFmtId="0" fontId="29" fillId="2" borderId="3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0" fillId="5" borderId="18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29" fillId="5" borderId="18" xfId="0" applyFont="1" applyFill="1" applyBorder="1" applyAlignment="1">
      <alignment horizontal="left" vertical="center"/>
    </xf>
    <xf numFmtId="0" fontId="31" fillId="0" borderId="0" xfId="0" applyFont="1"/>
    <xf numFmtId="0" fontId="33" fillId="14" borderId="3" xfId="4" applyFont="1" applyFill="1" applyBorder="1" applyAlignment="1">
      <alignment horizontal="center" vertical="center" wrapText="1"/>
    </xf>
    <xf numFmtId="0" fontId="32" fillId="15" borderId="3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/>
    </xf>
    <xf numFmtId="0" fontId="3" fillId="13" borderId="3" xfId="0" quotePrefix="1" applyFont="1" applyFill="1" applyBorder="1" applyAlignment="1">
      <alignment horizontal="center" vertical="center"/>
    </xf>
    <xf numFmtId="0" fontId="16" fillId="5" borderId="0" xfId="0" applyFont="1" applyFill="1"/>
    <xf numFmtId="0" fontId="27" fillId="2" borderId="3" xfId="0" applyFont="1" applyFill="1" applyBorder="1" applyAlignment="1">
      <alignment horizontal="center" vertical="center" wrapText="1"/>
    </xf>
    <xf numFmtId="0" fontId="34" fillId="5" borderId="8" xfId="0" applyFont="1" applyFill="1" applyBorder="1"/>
    <xf numFmtId="0" fontId="3" fillId="16" borderId="3" xfId="0" quotePrefix="1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3" fillId="16" borderId="2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7" fillId="0" borderId="14" xfId="0" applyFont="1" applyBorder="1" applyAlignment="1" applyProtection="1">
      <alignment horizontal="center" vertical="center"/>
      <protection locked="0"/>
    </xf>
    <xf numFmtId="10" fontId="12" fillId="5" borderId="28" xfId="3" applyNumberFormat="1" applyFont="1" applyFill="1" applyBorder="1" applyAlignment="1" applyProtection="1">
      <alignment horizontal="center" vertical="center"/>
      <protection hidden="1"/>
    </xf>
    <xf numFmtId="44" fontId="35" fillId="9" borderId="2" xfId="3" applyFont="1" applyFill="1" applyBorder="1" applyAlignment="1" applyProtection="1">
      <alignment horizontal="center" vertical="center"/>
      <protection hidden="1"/>
    </xf>
    <xf numFmtId="44" fontId="35" fillId="9" borderId="3" xfId="3" applyFont="1" applyFill="1" applyBorder="1" applyAlignment="1" applyProtection="1">
      <alignment vertical="center"/>
      <protection hidden="1"/>
    </xf>
    <xf numFmtId="0" fontId="4" fillId="0" borderId="20" xfId="0" applyFont="1" applyBorder="1" applyAlignment="1">
      <alignment vertical="center"/>
    </xf>
    <xf numFmtId="0" fontId="8" fillId="5" borderId="15" xfId="3" applyNumberFormat="1" applyFont="1" applyFill="1" applyBorder="1" applyAlignment="1" applyProtection="1">
      <alignment horizontal="center" vertical="center"/>
      <protection locked="0"/>
    </xf>
    <xf numFmtId="0" fontId="24" fillId="3" borderId="2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Continuous"/>
    </xf>
    <xf numFmtId="0" fontId="4" fillId="5" borderId="19" xfId="0" applyFont="1" applyFill="1" applyBorder="1" applyAlignment="1">
      <alignment vertical="center"/>
    </xf>
    <xf numFmtId="44" fontId="37" fillId="5" borderId="0" xfId="3" applyFont="1" applyFill="1" applyBorder="1" applyAlignment="1" applyProtection="1">
      <alignment horizontal="centerContinuous" vertical="center"/>
      <protection hidden="1"/>
    </xf>
    <xf numFmtId="0" fontId="4" fillId="7" borderId="0" xfId="0" applyFont="1" applyFill="1"/>
    <xf numFmtId="0" fontId="16" fillId="7" borderId="0" xfId="0" applyFont="1" applyFill="1"/>
    <xf numFmtId="44" fontId="18" fillId="7" borderId="0" xfId="3" applyFont="1" applyFill="1" applyBorder="1"/>
    <xf numFmtId="0" fontId="3" fillId="7" borderId="0" xfId="0" applyFont="1" applyFill="1" applyAlignment="1">
      <alignment horizontal="left" vertical="center"/>
    </xf>
    <xf numFmtId="0" fontId="4" fillId="7" borderId="0" xfId="0" applyFont="1" applyFill="1" applyAlignment="1">
      <alignment vertical="center"/>
    </xf>
    <xf numFmtId="0" fontId="4" fillId="7" borderId="8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 wrapText="1"/>
    </xf>
    <xf numFmtId="9" fontId="4" fillId="0" borderId="0" xfId="0" applyNumberFormat="1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44" fontId="36" fillId="5" borderId="0" xfId="3" applyFont="1" applyFill="1" applyBorder="1" applyAlignment="1" applyProtection="1">
      <alignment horizontal="center" vertical="center"/>
      <protection hidden="1"/>
    </xf>
    <xf numFmtId="44" fontId="37" fillId="5" borderId="0" xfId="3" applyFont="1" applyFill="1" applyBorder="1" applyAlignment="1" applyProtection="1">
      <alignment horizontal="right" vertical="center"/>
      <protection hidden="1"/>
    </xf>
    <xf numFmtId="44" fontId="37" fillId="5" borderId="19" xfId="3" applyFont="1" applyFill="1" applyBorder="1" applyAlignment="1" applyProtection="1">
      <alignment horizontal="right" vertical="center"/>
      <protection hidden="1"/>
    </xf>
    <xf numFmtId="0" fontId="40" fillId="5" borderId="0" xfId="0" applyFont="1" applyFill="1" applyAlignment="1">
      <alignment vertical="top" wrapText="1"/>
    </xf>
    <xf numFmtId="165" fontId="26" fillId="14" borderId="24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center" vertical="center"/>
    </xf>
    <xf numFmtId="0" fontId="25" fillId="4" borderId="24" xfId="0" applyFont="1" applyFill="1" applyBorder="1" applyAlignment="1">
      <alignment horizontal="center" vertical="center" wrapText="1"/>
    </xf>
    <xf numFmtId="0" fontId="25" fillId="4" borderId="25" xfId="0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25" fillId="4" borderId="15" xfId="0" applyFont="1" applyFill="1" applyBorder="1" applyAlignment="1">
      <alignment horizontal="center" vertical="center" wrapText="1"/>
    </xf>
    <xf numFmtId="0" fontId="28" fillId="12" borderId="24" xfId="0" applyFont="1" applyFill="1" applyBorder="1" applyAlignment="1">
      <alignment horizontal="center" vertical="center" wrapText="1"/>
    </xf>
    <xf numFmtId="10" fontId="4" fillId="5" borderId="0" xfId="0" applyNumberFormat="1" applyFont="1" applyFill="1" applyAlignment="1">
      <alignment vertical="center"/>
    </xf>
    <xf numFmtId="0" fontId="43" fillId="0" borderId="0" xfId="0" applyFont="1" applyAlignment="1">
      <alignment horizontal="left" vertical="center"/>
    </xf>
    <xf numFmtId="0" fontId="44" fillId="0" borderId="0" xfId="2" applyFont="1" applyAlignment="1">
      <alignment horizontal="left" vertical="center"/>
    </xf>
    <xf numFmtId="10" fontId="3" fillId="0" borderId="3" xfId="0" applyNumberFormat="1" applyFont="1" applyBorder="1" applyAlignment="1" applyProtection="1">
      <alignment horizontal="center" vertical="center"/>
      <protection hidden="1"/>
    </xf>
    <xf numFmtId="0" fontId="45" fillId="0" borderId="0" xfId="0" applyFont="1" applyAlignment="1">
      <alignment horizontal="left" vertical="center"/>
    </xf>
    <xf numFmtId="0" fontId="45" fillId="0" borderId="0" xfId="0" applyFont="1" applyAlignment="1">
      <alignment horizontal="left" vertical="top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2" fillId="0" borderId="18" xfId="0" applyFont="1" applyBorder="1" applyAlignment="1">
      <alignment horizontal="right"/>
    </xf>
    <xf numFmtId="0" fontId="11" fillId="4" borderId="0" xfId="2" applyFont="1" applyFill="1" applyAlignment="1">
      <alignment horizontal="center" vertical="center"/>
    </xf>
    <xf numFmtId="0" fontId="24" fillId="6" borderId="26" xfId="0" applyFont="1" applyFill="1" applyBorder="1" applyAlignment="1">
      <alignment horizontal="center" vertical="center" wrapText="1"/>
    </xf>
    <xf numFmtId="0" fontId="24" fillId="6" borderId="9" xfId="0" applyFont="1" applyFill="1" applyBorder="1" applyAlignment="1">
      <alignment horizontal="center" vertical="center" wrapText="1"/>
    </xf>
    <xf numFmtId="0" fontId="24" fillId="12" borderId="26" xfId="0" applyFont="1" applyFill="1" applyBorder="1" applyAlignment="1">
      <alignment horizontal="center" vertical="center" wrapText="1"/>
    </xf>
    <xf numFmtId="0" fontId="24" fillId="12" borderId="9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wrapText="1"/>
    </xf>
    <xf numFmtId="0" fontId="24" fillId="6" borderId="27" xfId="0" applyFont="1" applyFill="1" applyBorder="1" applyAlignment="1">
      <alignment horizont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27" xfId="0" applyFont="1" applyFill="1" applyBorder="1" applyAlignment="1">
      <alignment horizontal="center" vertical="center" wrapText="1"/>
    </xf>
    <xf numFmtId="0" fontId="24" fillId="6" borderId="26" xfId="0" applyFont="1" applyFill="1" applyBorder="1" applyAlignment="1">
      <alignment horizontal="center" vertical="top" wrapText="1"/>
    </xf>
    <xf numFmtId="0" fontId="24" fillId="6" borderId="9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4" fontId="15" fillId="9" borderId="10" xfId="3" applyFont="1" applyFill="1" applyBorder="1" applyAlignment="1" applyProtection="1">
      <alignment horizontal="center" vertical="center"/>
      <protection hidden="1"/>
    </xf>
    <xf numFmtId="44" fontId="15" fillId="9" borderId="2" xfId="3" applyFont="1" applyFill="1" applyBorder="1" applyAlignment="1" applyProtection="1">
      <alignment horizontal="center" vertical="center"/>
      <protection hidden="1"/>
    </xf>
    <xf numFmtId="0" fontId="13" fillId="4" borderId="0" xfId="2" applyFont="1" applyFill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</cellXfs>
  <cellStyles count="5">
    <cellStyle name="Hiperligação" xfId="2" builtinId="8"/>
    <cellStyle name="Moeda" xfId="3" builtinId="4"/>
    <cellStyle name="Normal" xfId="0" builtinId="0"/>
    <cellStyle name="Normal 2" xfId="4" xr:uid="{EEDAA41E-B93C-4171-B717-4F4D9FC3F919}"/>
    <cellStyle name="Percentagem" xfId="1" builtinId="5"/>
  </cellStyles>
  <dxfs count="5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00FF00"/>
      <color rgb="FFFF9999"/>
      <color rgb="FFFF7C80"/>
      <color rgb="FFFF99CC"/>
      <color rgb="FFFF99FF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3</xdr:row>
      <xdr:rowOff>31751</xdr:rowOff>
    </xdr:from>
    <xdr:to>
      <xdr:col>10</xdr:col>
      <xdr:colOff>352788</xdr:colOff>
      <xdr:row>4</xdr:row>
      <xdr:rowOff>29751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A33A43E-C366-2038-1DBD-D39155CD2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730251"/>
          <a:ext cx="9357088" cy="2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e.pt/dre/detalhe/despacho/4930-2023-212246702" TargetMode="External"/><Relationship Id="rId2" Type="http://schemas.openxmlformats.org/officeDocument/2006/relationships/hyperlink" Target="https://info.portaldasfinancas.gov.pt/pt/informacao_fiscal/legislacao/diplomas_legislativos/Documents/Despacho_14043_B_2022.pdf" TargetMode="External"/><Relationship Id="rId1" Type="http://schemas.openxmlformats.org/officeDocument/2006/relationships/hyperlink" Target="https://files.dre.pt/2s/2022/12/233000001/0001300021.pdf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iles.dre.pt/2s/2022/12/233000001/0001300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A1:W248"/>
  <sheetViews>
    <sheetView showGridLines="0" showRowColHeaders="0" tabSelected="1" zoomScale="98" zoomScaleNormal="98" workbookViewId="0">
      <selection activeCell="I229" sqref="I229"/>
    </sheetView>
  </sheetViews>
  <sheetFormatPr defaultColWidth="0" defaultRowHeight="0" customHeight="1" zeroHeight="1" x14ac:dyDescent="0.3"/>
  <cols>
    <col min="1" max="1" width="5.69140625" style="10" customWidth="1"/>
    <col min="2" max="2" width="19.15234375" style="10" customWidth="1"/>
    <col min="3" max="3" width="10.3046875" style="1" customWidth="1"/>
    <col min="4" max="5" width="9.61328125" style="1" customWidth="1"/>
    <col min="6" max="6" width="18.23046875" style="1" customWidth="1"/>
    <col min="7" max="7" width="10.69140625" style="1" customWidth="1"/>
    <col min="8" max="8" width="2.69140625" style="1" customWidth="1"/>
    <col min="9" max="9" width="14.69140625" style="1" customWidth="1"/>
    <col min="10" max="10" width="2.69140625" style="10" customWidth="1"/>
    <col min="11" max="11" width="19.15234375" style="10" customWidth="1"/>
    <col min="12" max="12" width="2.69140625" style="121" customWidth="1"/>
    <col min="13" max="18" width="11.69140625" style="10" hidden="1" customWidth="1"/>
    <col min="19" max="19" width="13.3046875" style="10" hidden="1" customWidth="1"/>
    <col min="20" max="20" width="11.69140625" style="10" hidden="1" customWidth="1"/>
    <col min="21" max="16384" width="9" style="10" hidden="1"/>
  </cols>
  <sheetData>
    <row r="1" spans="2:19" ht="25" customHeight="1" x14ac:dyDescent="0.3">
      <c r="B1" s="75"/>
      <c r="C1" s="149" t="s">
        <v>56</v>
      </c>
      <c r="D1" s="149"/>
      <c r="E1" s="149"/>
      <c r="F1" s="149"/>
      <c r="G1" s="149"/>
      <c r="H1" s="10"/>
      <c r="I1" s="10"/>
    </row>
    <row r="2" spans="2:19" ht="13.5" hidden="1" x14ac:dyDescent="0.3">
      <c r="B2" s="75"/>
      <c r="M2" s="9"/>
    </row>
    <row r="3" spans="2:19" ht="13.5" hidden="1" x14ac:dyDescent="0.3">
      <c r="B3" s="10" t="s">
        <v>63</v>
      </c>
      <c r="M3" s="9"/>
    </row>
    <row r="4" spans="2:19" ht="15" customHeight="1" x14ac:dyDescent="0.3">
      <c r="M4" s="9"/>
    </row>
    <row r="5" spans="2:19" ht="13.5" hidden="1" x14ac:dyDescent="0.3">
      <c r="B5" s="75"/>
      <c r="M5" s="9"/>
    </row>
    <row r="6" spans="2:19" ht="16" customHeight="1" x14ac:dyDescent="0.3">
      <c r="B6" s="141" t="s">
        <v>108</v>
      </c>
      <c r="M6" s="9"/>
    </row>
    <row r="7" spans="2:19" ht="20" customHeight="1" x14ac:dyDescent="0.3">
      <c r="B7" s="141" t="s">
        <v>109</v>
      </c>
      <c r="D7" s="1" t="s">
        <v>110</v>
      </c>
      <c r="M7" s="9"/>
    </row>
    <row r="8" spans="2:19" ht="13.5" x14ac:dyDescent="0.3">
      <c r="B8" s="75"/>
      <c r="M8" s="9"/>
    </row>
    <row r="9" spans="2:19" ht="15" customHeight="1" x14ac:dyDescent="0.3">
      <c r="C9" s="1" t="s">
        <v>0</v>
      </c>
      <c r="H9" s="140"/>
    </row>
    <row r="10" spans="2:19" ht="20" customHeight="1" x14ac:dyDescent="0.3">
      <c r="C10" s="1" t="s">
        <v>1</v>
      </c>
      <c r="H10" s="140"/>
    </row>
    <row r="11" spans="2:19" ht="15" customHeight="1" x14ac:dyDescent="0.3">
      <c r="C11" s="11" t="s">
        <v>2</v>
      </c>
      <c r="D11" s="11"/>
      <c r="E11" s="11"/>
      <c r="F11" s="11"/>
    </row>
    <row r="12" spans="2:19" ht="15" customHeight="1" x14ac:dyDescent="0.3">
      <c r="I12" s="143"/>
    </row>
    <row r="13" spans="2:19" ht="15" customHeight="1" x14ac:dyDescent="0.3">
      <c r="B13" s="133" t="s">
        <v>79</v>
      </c>
      <c r="I13" s="143"/>
    </row>
    <row r="14" spans="2:19" ht="55" customHeight="1" thickBot="1" x14ac:dyDescent="0.35">
      <c r="B14" s="132" t="s">
        <v>90</v>
      </c>
      <c r="C14" s="1" t="str">
        <f>IF(B14="sim","Tem de ser habitação própria e permanente e não auferir mais de  2 700 euros/mês.","")</f>
        <v/>
      </c>
      <c r="I14" s="144"/>
    </row>
    <row r="15" spans="2:19" ht="70" customHeight="1" thickTop="1" thickBot="1" x14ac:dyDescent="0.35">
      <c r="B15" s="135" t="s">
        <v>93</v>
      </c>
      <c r="C15" s="145" t="s">
        <v>65</v>
      </c>
      <c r="D15" s="146"/>
      <c r="E15" s="86" t="s">
        <v>4</v>
      </c>
      <c r="F15" s="86" t="s">
        <v>66</v>
      </c>
      <c r="G15" s="90"/>
      <c r="H15" s="91"/>
      <c r="I15" s="89" t="s">
        <v>6</v>
      </c>
      <c r="J15" s="64"/>
      <c r="K15" s="19"/>
      <c r="M15" s="22" t="s">
        <v>51</v>
      </c>
      <c r="N15" s="22" t="s">
        <v>50</v>
      </c>
      <c r="O15" s="22" t="s">
        <v>52</v>
      </c>
      <c r="P15" s="22" t="s">
        <v>48</v>
      </c>
      <c r="Q15" s="22" t="s">
        <v>6</v>
      </c>
      <c r="R15" s="125" t="s">
        <v>90</v>
      </c>
      <c r="S15" s="124">
        <v>0</v>
      </c>
    </row>
    <row r="16" spans="2:19" ht="15" customHeight="1" thickTop="1" thickBot="1" x14ac:dyDescent="0.35">
      <c r="B16" s="48">
        <v>0</v>
      </c>
      <c r="C16" s="3" t="s">
        <v>7</v>
      </c>
      <c r="D16" s="4">
        <v>762</v>
      </c>
      <c r="E16" s="142">
        <v>0</v>
      </c>
      <c r="F16" s="4">
        <v>0</v>
      </c>
      <c r="H16" s="63"/>
      <c r="I16" s="68">
        <v>0</v>
      </c>
      <c r="J16" s="64"/>
      <c r="K16" s="19"/>
      <c r="M16" s="23" t="b">
        <f>AND(B16&lt;=D16)</f>
        <v>1</v>
      </c>
      <c r="N16" s="24">
        <f>IF(M16=TRUE,O16-P16,0)</f>
        <v>0</v>
      </c>
      <c r="O16" s="23">
        <f>B16*E16</f>
        <v>0</v>
      </c>
      <c r="P16" s="23">
        <v>0</v>
      </c>
      <c r="Q16" s="25">
        <f t="shared" ref="Q16:Q27" si="0">IF(M16=TRUE,I16,0)</f>
        <v>0</v>
      </c>
      <c r="R16" s="123" t="s">
        <v>78</v>
      </c>
      <c r="S16" s="124">
        <v>1</v>
      </c>
    </row>
    <row r="17" spans="1:20" ht="15" customHeight="1" thickTop="1" thickBot="1" x14ac:dyDescent="0.35">
      <c r="B17" s="49"/>
      <c r="C17" s="3" t="s">
        <v>7</v>
      </c>
      <c r="D17" s="4">
        <v>886.57</v>
      </c>
      <c r="E17" s="142">
        <f>IF(S20=1,14.5%-T20,14.5%)</f>
        <v>0.14499999999999999</v>
      </c>
      <c r="F17" s="6" t="s">
        <v>80</v>
      </c>
      <c r="G17" s="7"/>
      <c r="H17" s="63"/>
      <c r="I17" s="68">
        <v>6.7000000000000004E-2</v>
      </c>
      <c r="J17" s="64"/>
      <c r="K17" s="19"/>
      <c r="M17" s="23" t="b">
        <f>AND((B16&gt;D16),(B16&lt;=D17))</f>
        <v>0</v>
      </c>
      <c r="N17" s="24">
        <f>IF(M17=TRUE,O17,0)</f>
        <v>0</v>
      </c>
      <c r="O17" s="27">
        <f>B16*E17-P17</f>
        <v>-364.61888499999992</v>
      </c>
      <c r="P17" s="27">
        <f>E17*2.3*(1093.31-B16)</f>
        <v>364.61888499999992</v>
      </c>
      <c r="Q17" s="25">
        <f t="shared" si="0"/>
        <v>0</v>
      </c>
      <c r="S17" s="124">
        <f>IF(B16=0,0,VLOOKUP(B14,R15:S16,2,FALSE))</f>
        <v>0</v>
      </c>
    </row>
    <row r="18" spans="1:20" ht="15" customHeight="1" thickTop="1" x14ac:dyDescent="0.3">
      <c r="B18" s="41" t="s">
        <v>57</v>
      </c>
      <c r="C18" s="3" t="s">
        <v>7</v>
      </c>
      <c r="D18" s="4">
        <v>932.14</v>
      </c>
      <c r="E18" s="142">
        <f>IF(S20=1,21%-T20,21%)</f>
        <v>0.21</v>
      </c>
      <c r="F18" s="6" t="s">
        <v>81</v>
      </c>
      <c r="G18" s="7"/>
      <c r="H18" s="63"/>
      <c r="I18" s="68">
        <v>8.7999999999999995E-2</v>
      </c>
      <c r="J18" s="64"/>
      <c r="K18" s="19"/>
      <c r="M18" s="23" t="b">
        <f>AND((B16&gt;D17),(B16&lt;=D18))</f>
        <v>0</v>
      </c>
      <c r="N18" s="24">
        <f>IF(M18=TRUE,O18,0)</f>
        <v>0</v>
      </c>
      <c r="O18" s="27">
        <f>B16*E18-P18</f>
        <v>-368.61006000000003</v>
      </c>
      <c r="P18" s="27">
        <f>E18*1.3*(1350.22-B16)</f>
        <v>368.61006000000003</v>
      </c>
      <c r="Q18" s="25">
        <f t="shared" si="0"/>
        <v>0</v>
      </c>
      <c r="S18" s="124"/>
    </row>
    <row r="19" spans="1:20" ht="15" customHeight="1" thickBot="1" x14ac:dyDescent="0.35">
      <c r="B19" s="42">
        <f>ROUNDDOWN(SUM(N16:N28),0)</f>
        <v>0</v>
      </c>
      <c r="C19" s="3" t="s">
        <v>7</v>
      </c>
      <c r="D19" s="4">
        <v>999.14</v>
      </c>
      <c r="E19" s="142">
        <f>IF(S20=1,21%-T20,21%)</f>
        <v>0.21</v>
      </c>
      <c r="F19" s="4">
        <v>114.14</v>
      </c>
      <c r="H19" s="63"/>
      <c r="I19" s="68">
        <v>9.6000000000000002E-2</v>
      </c>
      <c r="J19" s="64"/>
      <c r="K19" s="19"/>
      <c r="M19" s="23" t="b">
        <f>AND((B16&gt;D18),(B16&lt;=D19))</f>
        <v>0</v>
      </c>
      <c r="N19" s="24">
        <f>IF(M19=TRUE,P19,0)</f>
        <v>0</v>
      </c>
      <c r="O19" s="23"/>
      <c r="P19" s="27">
        <f>B16*E19-F19</f>
        <v>-114.14</v>
      </c>
      <c r="Q19" s="25">
        <f t="shared" si="0"/>
        <v>0</v>
      </c>
      <c r="S19" s="124"/>
    </row>
    <row r="20" spans="1:20" ht="15" customHeight="1" thickTop="1" thickBot="1" x14ac:dyDescent="0.35">
      <c r="C20" s="3" t="s">
        <v>7</v>
      </c>
      <c r="D20" s="4">
        <v>1106.93</v>
      </c>
      <c r="E20" s="142">
        <f>IF(S20=1,26.5%-T20,26.5%)</f>
        <v>0.26500000000000001</v>
      </c>
      <c r="F20" s="4">
        <v>169.09</v>
      </c>
      <c r="H20" s="63"/>
      <c r="I20" s="68">
        <v>0.112</v>
      </c>
      <c r="J20" s="64"/>
      <c r="K20" s="19"/>
      <c r="M20" s="23" t="b">
        <f>AND((B16&gt;D19),(B16&lt;=D20))</f>
        <v>0</v>
      </c>
      <c r="N20" s="24">
        <f>IF(M20=TRUE,P20,0)</f>
        <v>0</v>
      </c>
      <c r="O20" s="23"/>
      <c r="P20" s="27">
        <f>B16*E20-F20</f>
        <v>-169.09</v>
      </c>
      <c r="Q20" s="25">
        <f t="shared" si="0"/>
        <v>0</v>
      </c>
      <c r="S20" s="124">
        <f>IF(B16&lt;=2700,S17,)</f>
        <v>0</v>
      </c>
      <c r="T20" s="126">
        <v>0.02</v>
      </c>
    </row>
    <row r="21" spans="1:20" ht="15" customHeight="1" thickTop="1" x14ac:dyDescent="0.3">
      <c r="B21" s="41" t="s">
        <v>45</v>
      </c>
      <c r="C21" s="3" t="s">
        <v>7</v>
      </c>
      <c r="D21" s="4">
        <v>1600.36</v>
      </c>
      <c r="E21" s="142">
        <f>IF(S20=1,28.5%-T20,28.5%)</f>
        <v>0.28499999999999998</v>
      </c>
      <c r="F21" s="4">
        <v>191.23</v>
      </c>
      <c r="H21" s="63"/>
      <c r="I21" s="68">
        <v>0.16600000000000001</v>
      </c>
      <c r="J21" s="64"/>
      <c r="K21" s="19"/>
      <c r="M21" s="23" t="b">
        <f>AND((B16&gt;D20),(B16&lt;=D21))</f>
        <v>0</v>
      </c>
      <c r="N21" s="24">
        <f t="shared" ref="N21:N28" si="1">IF(M21=TRUE,P21,0)</f>
        <v>0</v>
      </c>
      <c r="O21" s="23"/>
      <c r="P21" s="23">
        <f>B16*E21-F21</f>
        <v>-191.23</v>
      </c>
      <c r="Q21" s="25">
        <f t="shared" si="0"/>
        <v>0</v>
      </c>
    </row>
    <row r="22" spans="1:20" ht="15" customHeight="1" thickBot="1" x14ac:dyDescent="0.35">
      <c r="B22" s="42">
        <f>ROUND(B16*0.11,2)</f>
        <v>0</v>
      </c>
      <c r="C22" s="3" t="s">
        <v>7</v>
      </c>
      <c r="D22" s="4">
        <v>1961.36</v>
      </c>
      <c r="E22" s="142">
        <f>IF(S20=1,35%-T20,35%)</f>
        <v>0.35</v>
      </c>
      <c r="F22" s="4">
        <v>295.26</v>
      </c>
      <c r="H22" s="63"/>
      <c r="I22" s="68">
        <v>0.19900000000000001</v>
      </c>
      <c r="J22" s="64"/>
      <c r="K22" s="19"/>
      <c r="M22" s="23" t="b">
        <f>AND((B16&gt;D21),(B16&lt;=D22))</f>
        <v>0</v>
      </c>
      <c r="N22" s="24">
        <f t="shared" si="1"/>
        <v>0</v>
      </c>
      <c r="O22" s="23"/>
      <c r="P22" s="23">
        <f>B16*E22-F22</f>
        <v>-295.26</v>
      </c>
      <c r="Q22" s="25">
        <f t="shared" si="0"/>
        <v>0</v>
      </c>
    </row>
    <row r="23" spans="1:20" ht="15" customHeight="1" thickTop="1" thickBot="1" x14ac:dyDescent="0.35">
      <c r="C23" s="3" t="s">
        <v>7</v>
      </c>
      <c r="D23" s="4">
        <v>2529.0500000000002</v>
      </c>
      <c r="E23" s="142">
        <f>IF(S20=1,37%-T20,37%)</f>
        <v>0.37</v>
      </c>
      <c r="F23" s="4">
        <v>334.48</v>
      </c>
      <c r="H23" s="63"/>
      <c r="I23" s="68">
        <v>0.23799999999999999</v>
      </c>
      <c r="J23" s="64"/>
      <c r="K23" s="19"/>
      <c r="M23" s="23" t="b">
        <f>AND((B16&gt;D22),(B16&lt;=D23))</f>
        <v>0</v>
      </c>
      <c r="N23" s="24">
        <f t="shared" si="1"/>
        <v>0</v>
      </c>
      <c r="O23" s="23"/>
      <c r="P23" s="23">
        <f>B16*E23-F23</f>
        <v>-334.48</v>
      </c>
      <c r="Q23" s="25">
        <f t="shared" si="0"/>
        <v>0</v>
      </c>
    </row>
    <row r="24" spans="1:20" ht="15" customHeight="1" thickTop="1" x14ac:dyDescent="0.3">
      <c r="B24" s="41" t="s">
        <v>59</v>
      </c>
      <c r="C24" s="3" t="s">
        <v>7</v>
      </c>
      <c r="D24" s="4">
        <v>3694.46</v>
      </c>
      <c r="E24" s="142">
        <f>IF(S20=1,38.72%-T20,38.72%)</f>
        <v>0.38719999999999999</v>
      </c>
      <c r="F24" s="4">
        <v>377.86</v>
      </c>
      <c r="H24" s="63"/>
      <c r="I24" s="68">
        <v>0.28499999999999998</v>
      </c>
      <c r="J24" s="64"/>
      <c r="K24" s="19"/>
      <c r="M24" s="23" t="b">
        <f>AND((B16&gt;D23),(B16&lt;=D24))</f>
        <v>0</v>
      </c>
      <c r="N24" s="24">
        <f t="shared" si="1"/>
        <v>0</v>
      </c>
      <c r="O24" s="23"/>
      <c r="P24" s="23">
        <f>B16*E24-F24</f>
        <v>-377.86</v>
      </c>
      <c r="Q24" s="25">
        <f t="shared" si="0"/>
        <v>0</v>
      </c>
    </row>
    <row r="25" spans="1:20" ht="15" customHeight="1" thickBot="1" x14ac:dyDescent="0.35">
      <c r="B25" s="42">
        <f>B16-B19-B22</f>
        <v>0</v>
      </c>
      <c r="C25" s="3" t="s">
        <v>7</v>
      </c>
      <c r="D25" s="4">
        <v>5469.9</v>
      </c>
      <c r="E25" s="142">
        <v>0.40050000000000002</v>
      </c>
      <c r="F25" s="4">
        <v>427.18</v>
      </c>
      <c r="H25" s="63"/>
      <c r="I25" s="68">
        <v>0.32200000000000001</v>
      </c>
      <c r="J25" s="64"/>
      <c r="K25" s="19"/>
      <c r="M25" s="23" t="b">
        <f>AND((B16&gt;D24),(B16&lt;=D25))</f>
        <v>0</v>
      </c>
      <c r="N25" s="24">
        <f t="shared" si="1"/>
        <v>0</v>
      </c>
      <c r="O25" s="23"/>
      <c r="P25" s="27">
        <f>B16*E25-F25</f>
        <v>-427.18</v>
      </c>
      <c r="Q25" s="25">
        <f t="shared" si="0"/>
        <v>0</v>
      </c>
    </row>
    <row r="26" spans="1:20" ht="15" customHeight="1" thickTop="1" thickBot="1" x14ac:dyDescent="0.35">
      <c r="C26" s="3" t="s">
        <v>7</v>
      </c>
      <c r="D26" s="4">
        <v>6420.55</v>
      </c>
      <c r="E26" s="142">
        <v>0.42720000000000002</v>
      </c>
      <c r="F26" s="4">
        <v>573.22</v>
      </c>
      <c r="H26" s="63"/>
      <c r="I26" s="68">
        <v>0.33800000000000002</v>
      </c>
      <c r="J26" s="64"/>
      <c r="K26" s="19"/>
      <c r="M26" s="23" t="b">
        <f>AND((B16&gt;D25),(B16&lt;=D26))</f>
        <v>0</v>
      </c>
      <c r="N26" s="24">
        <f t="shared" si="1"/>
        <v>0</v>
      </c>
      <c r="O26" s="23"/>
      <c r="P26" s="23">
        <f>B16*E26-F26</f>
        <v>-573.22</v>
      </c>
      <c r="Q26" s="25">
        <f t="shared" si="0"/>
        <v>0</v>
      </c>
    </row>
    <row r="27" spans="1:20" ht="15" customHeight="1" thickTop="1" x14ac:dyDescent="0.3">
      <c r="B27" s="41" t="s">
        <v>61</v>
      </c>
      <c r="C27" s="3" t="s">
        <v>7</v>
      </c>
      <c r="D27" s="4">
        <v>20064.21</v>
      </c>
      <c r="E27" s="142">
        <v>0.44950000000000001</v>
      </c>
      <c r="F27" s="4">
        <v>716.08</v>
      </c>
      <c r="H27" s="63"/>
      <c r="I27" s="68">
        <v>0.41399999999999998</v>
      </c>
      <c r="J27" s="64"/>
      <c r="K27" s="19"/>
      <c r="M27" s="23" t="b">
        <f>AND((B16&gt;D26),(B16&lt;=D27))</f>
        <v>0</v>
      </c>
      <c r="N27" s="24">
        <f t="shared" si="1"/>
        <v>0</v>
      </c>
      <c r="O27" s="23"/>
      <c r="P27" s="23">
        <f>B16*E27-F27</f>
        <v>-716.08</v>
      </c>
      <c r="Q27" s="25">
        <f t="shared" si="0"/>
        <v>0</v>
      </c>
    </row>
    <row r="28" spans="1:20" ht="15" customHeight="1" thickBot="1" x14ac:dyDescent="0.35">
      <c r="B28" s="45">
        <f>IFERROR(B19/B16,0)</f>
        <v>0</v>
      </c>
      <c r="C28" s="3" t="s">
        <v>8</v>
      </c>
      <c r="D28" s="4">
        <v>20064.21</v>
      </c>
      <c r="E28" s="142">
        <v>0.47170000000000001</v>
      </c>
      <c r="F28" s="4">
        <v>1162.51</v>
      </c>
      <c r="H28" s="63"/>
      <c r="I28" s="68" t="s">
        <v>9</v>
      </c>
      <c r="J28" s="64"/>
      <c r="K28" s="19"/>
      <c r="M28" s="23" t="b">
        <f>AND(B16&gt;D27)</f>
        <v>0</v>
      </c>
      <c r="N28" s="24">
        <f t="shared" si="1"/>
        <v>0</v>
      </c>
      <c r="O28" s="23"/>
      <c r="P28" s="23">
        <f>B16*E28-F28</f>
        <v>-1162.51</v>
      </c>
      <c r="Q28" s="25"/>
    </row>
    <row r="29" spans="1:20" ht="15" customHeight="1" thickTop="1" x14ac:dyDescent="0.3">
      <c r="A29" s="147" t="s">
        <v>62</v>
      </c>
      <c r="B29" s="148"/>
      <c r="C29" s="109">
        <f ca="1">B19*E29</f>
        <v>0</v>
      </c>
      <c r="D29" s="78">
        <f ca="1">MONTH(TODAY())</f>
        <v>4</v>
      </c>
      <c r="E29" s="78">
        <f ca="1">IF(D29=7,2,IF(D29=8,3,IF(D29=9,4,IF(D29=10,5,IF(D29=11,7,IF(D29=12,8,))))))</f>
        <v>0</v>
      </c>
    </row>
    <row r="30" spans="1:20" ht="15" customHeight="1" x14ac:dyDescent="0.3">
      <c r="B30" s="73">
        <f>IF(M28=TRUE,"n.a.",SUM(Q16:Q27))</f>
        <v>0</v>
      </c>
    </row>
    <row r="31" spans="1:20" ht="3" customHeight="1" x14ac:dyDescent="0.3">
      <c r="B31" s="50"/>
      <c r="C31" s="36"/>
      <c r="D31" s="36"/>
      <c r="E31" s="36"/>
      <c r="F31" s="36"/>
      <c r="G31" s="36"/>
      <c r="H31" s="36"/>
      <c r="I31" s="36"/>
      <c r="J31" s="50"/>
      <c r="K31" s="50"/>
    </row>
    <row r="32" spans="1:20" ht="15" customHeight="1" x14ac:dyDescent="0.3"/>
    <row r="33" spans="2:22" ht="15" customHeight="1" x14ac:dyDescent="0.3">
      <c r="C33" s="1" t="s">
        <v>0</v>
      </c>
    </row>
    <row r="34" spans="2:22" ht="15" customHeight="1" x14ac:dyDescent="0.3">
      <c r="C34" s="1" t="s">
        <v>10</v>
      </c>
    </row>
    <row r="35" spans="2:22" ht="15" customHeight="1" x14ac:dyDescent="0.3">
      <c r="C35" s="11" t="s">
        <v>11</v>
      </c>
      <c r="D35" s="11"/>
      <c r="E35" s="11"/>
      <c r="F35" s="11"/>
      <c r="K35" s="129"/>
      <c r="O35" s="54"/>
    </row>
    <row r="36" spans="2:22" ht="15" customHeight="1" x14ac:dyDescent="0.3">
      <c r="J36" s="131"/>
      <c r="K36" s="131"/>
    </row>
    <row r="37" spans="2:22" ht="15" customHeight="1" x14ac:dyDescent="0.3">
      <c r="B37" s="127" t="s">
        <v>79</v>
      </c>
      <c r="J37" s="131"/>
      <c r="K37" s="131"/>
    </row>
    <row r="38" spans="2:22" ht="55" customHeight="1" thickBot="1" x14ac:dyDescent="0.35">
      <c r="B38" s="132" t="s">
        <v>90</v>
      </c>
      <c r="C38" s="1" t="str">
        <f>IF(B38="sim","Tem de ser habitação própria e permanente e não auferir mais de  2 700 euros/mês.","")</f>
        <v/>
      </c>
      <c r="J38" s="131"/>
      <c r="K38" s="131"/>
    </row>
    <row r="39" spans="2:22" ht="70" customHeight="1" thickTop="1" thickBot="1" x14ac:dyDescent="0.35">
      <c r="B39" s="135" t="s">
        <v>94</v>
      </c>
      <c r="C39" s="145" t="s">
        <v>65</v>
      </c>
      <c r="D39" s="146"/>
      <c r="E39" s="86" t="s">
        <v>4</v>
      </c>
      <c r="F39" s="86" t="s">
        <v>66</v>
      </c>
      <c r="G39" s="86" t="s">
        <v>12</v>
      </c>
      <c r="H39" s="88"/>
      <c r="I39" s="89" t="s">
        <v>6</v>
      </c>
      <c r="J39" s="64"/>
      <c r="K39" s="113" t="s">
        <v>91</v>
      </c>
      <c r="M39" s="22" t="s">
        <v>51</v>
      </c>
      <c r="N39" s="22" t="s">
        <v>50</v>
      </c>
      <c r="O39" s="22" t="s">
        <v>52</v>
      </c>
      <c r="P39" s="22" t="s">
        <v>48</v>
      </c>
      <c r="Q39" s="22" t="s">
        <v>6</v>
      </c>
      <c r="S39" s="96" t="s">
        <v>69</v>
      </c>
      <c r="T39" s="125" t="s">
        <v>90</v>
      </c>
      <c r="U39" s="124">
        <v>0</v>
      </c>
    </row>
    <row r="40" spans="2:22" ht="15" customHeight="1" thickTop="1" thickBot="1" x14ac:dyDescent="0.35">
      <c r="B40" s="48">
        <v>0</v>
      </c>
      <c r="C40" s="38" t="s">
        <v>7</v>
      </c>
      <c r="D40" s="4">
        <v>762</v>
      </c>
      <c r="E40" s="142">
        <v>0</v>
      </c>
      <c r="F40" s="4">
        <v>0</v>
      </c>
      <c r="G40" s="8">
        <v>0</v>
      </c>
      <c r="H40" s="55"/>
      <c r="I40" s="68">
        <v>0</v>
      </c>
      <c r="J40" s="64"/>
      <c r="K40" s="107">
        <v>0</v>
      </c>
      <c r="L40" s="122"/>
      <c r="M40" s="23" t="b">
        <f>AND(B40&lt;=D40)</f>
        <v>1</v>
      </c>
      <c r="N40" s="24">
        <f>IF(M40=TRUE,P40,0)</f>
        <v>0</v>
      </c>
      <c r="O40" s="24">
        <f>B40*E40</f>
        <v>0</v>
      </c>
      <c r="P40" s="24">
        <v>0</v>
      </c>
      <c r="Q40" s="25">
        <f t="shared" ref="Q40:Q51" si="2">IF(M40=TRUE,I40,0)</f>
        <v>0</v>
      </c>
      <c r="R40" s="10">
        <v>0</v>
      </c>
      <c r="S40" s="80">
        <v>0</v>
      </c>
      <c r="T40" s="123" t="s">
        <v>78</v>
      </c>
      <c r="U40" s="124">
        <v>1</v>
      </c>
    </row>
    <row r="41" spans="2:22" ht="15" customHeight="1" thickTop="1" thickBot="1" x14ac:dyDescent="0.35">
      <c r="C41" s="3" t="s">
        <v>7</v>
      </c>
      <c r="D41" s="4">
        <v>886.57</v>
      </c>
      <c r="E41" s="142">
        <f>IF(U44=1,14.5%-V44,14.5%)-V45</f>
        <v>0.14499999999999999</v>
      </c>
      <c r="F41" s="6" t="s">
        <v>82</v>
      </c>
      <c r="G41" s="8">
        <v>34.29</v>
      </c>
      <c r="H41" s="55"/>
      <c r="I41" s="68">
        <v>2.1000000000000001E-2</v>
      </c>
      <c r="J41" s="64"/>
      <c r="K41" s="152" t="s">
        <v>106</v>
      </c>
      <c r="L41" s="122"/>
      <c r="M41" s="23" t="b">
        <f>AND((B40&gt;D40),(B40&lt;=D41))</f>
        <v>0</v>
      </c>
      <c r="N41" s="24">
        <f>IF(M41=TRUE,O41,0)</f>
        <v>0</v>
      </c>
      <c r="O41" s="26">
        <f>B40*E41-P41-(K40*G41)</f>
        <v>-371.75578499999995</v>
      </c>
      <c r="P41" s="27">
        <f>E41*2.3*(1114.71-B40)-S41</f>
        <v>371.75578499999995</v>
      </c>
      <c r="Q41" s="25">
        <f t="shared" si="2"/>
        <v>0</v>
      </c>
      <c r="R41" s="92">
        <f>IF(Q41&gt;0,1,)</f>
        <v>0</v>
      </c>
      <c r="S41" s="81">
        <f t="shared" ref="S41:S52" si="3">IF(R41=0,0,IF($K$45&gt;=1,84.82*$K$45,))</f>
        <v>0</v>
      </c>
      <c r="U41" s="124">
        <f>IF(B40=0,0,VLOOKUP(B38,T39:U40,2,FALSE))</f>
        <v>0</v>
      </c>
    </row>
    <row r="42" spans="2:22" ht="15" customHeight="1" thickTop="1" x14ac:dyDescent="0.3">
      <c r="B42" s="41" t="s">
        <v>57</v>
      </c>
      <c r="C42" s="3" t="s">
        <v>7</v>
      </c>
      <c r="D42" s="4">
        <v>932.14</v>
      </c>
      <c r="E42" s="142">
        <f>IF(U44=1,21%-V44,21%)-V45</f>
        <v>0.21</v>
      </c>
      <c r="F42" s="6" t="s">
        <v>83</v>
      </c>
      <c r="G42" s="8">
        <v>34.29</v>
      </c>
      <c r="H42" s="55"/>
      <c r="I42" s="68">
        <v>4.2999999999999997E-2</v>
      </c>
      <c r="J42" s="64"/>
      <c r="K42" s="153"/>
      <c r="L42" s="122"/>
      <c r="M42" s="23" t="b">
        <f>AND((B40&gt;D41),(B40&lt;=D42))</f>
        <v>0</v>
      </c>
      <c r="N42" s="24">
        <f>IF(M42=TRUE,O42,0)</f>
        <v>0</v>
      </c>
      <c r="O42" s="26">
        <f>B40*E42-P42-(K40*G42)</f>
        <v>-375.74901</v>
      </c>
      <c r="P42" s="27">
        <f>E42*1.3*(1376.37-B40)-S42</f>
        <v>375.74901</v>
      </c>
      <c r="Q42" s="25">
        <f t="shared" si="2"/>
        <v>0</v>
      </c>
      <c r="R42" s="92">
        <f>IF(Q42&gt;0,1,)</f>
        <v>0</v>
      </c>
      <c r="S42" s="81">
        <f t="shared" si="3"/>
        <v>0</v>
      </c>
    </row>
    <row r="43" spans="2:22" ht="15" customHeight="1" thickBot="1" x14ac:dyDescent="0.35">
      <c r="B43" s="42">
        <f>IF(ROUNDDOWN(SUM(N40:N52),0)&lt;0,0,ROUNDDOWN(SUM(N40:N52),0))</f>
        <v>0</v>
      </c>
      <c r="C43" s="3" t="s">
        <v>7</v>
      </c>
      <c r="D43" s="4">
        <v>999.14</v>
      </c>
      <c r="E43" s="142">
        <f>IF(U44=1,21%-V44,21%)-V45</f>
        <v>0.21</v>
      </c>
      <c r="F43" s="4">
        <v>121.28</v>
      </c>
      <c r="G43" s="8">
        <v>34.29</v>
      </c>
      <c r="H43" s="55"/>
      <c r="I43" s="68">
        <v>5.3999999999999999E-2</v>
      </c>
      <c r="J43" s="64"/>
      <c r="K43" s="153"/>
      <c r="L43" s="122"/>
      <c r="M43" s="23" t="b">
        <f>AND((B40&gt;D42),(B40&lt;=D43))</f>
        <v>0</v>
      </c>
      <c r="N43" s="24">
        <f>IF(M43=TRUE,P43,0)</f>
        <v>0</v>
      </c>
      <c r="O43" s="23"/>
      <c r="P43" s="27">
        <f>B$40*E43-F43-(K40*G43)-S43</f>
        <v>-121.28</v>
      </c>
      <c r="Q43" s="25">
        <f t="shared" si="2"/>
        <v>0</v>
      </c>
      <c r="R43" s="92">
        <f>IF(Q43&gt;0,1,)</f>
        <v>0</v>
      </c>
      <c r="S43" s="81">
        <f t="shared" si="3"/>
        <v>0</v>
      </c>
      <c r="U43" s="124"/>
    </row>
    <row r="44" spans="2:22" ht="15" customHeight="1" thickTop="1" thickBot="1" x14ac:dyDescent="0.35">
      <c r="C44" s="3" t="s">
        <v>7</v>
      </c>
      <c r="D44" s="4">
        <v>1106.93</v>
      </c>
      <c r="E44" s="142">
        <f>IF(U44=1,26.5%-V44,26.5%)-V45</f>
        <v>0.26500000000000001</v>
      </c>
      <c r="F44" s="4">
        <v>176.23</v>
      </c>
      <c r="G44" s="8">
        <v>34.29</v>
      </c>
      <c r="H44" s="55"/>
      <c r="I44" s="68">
        <v>7.4999999999999997E-2</v>
      </c>
      <c r="J44" s="64"/>
      <c r="K44" s="153"/>
      <c r="L44" s="122"/>
      <c r="M44" s="23" t="b">
        <f>AND((B40&gt;D43),(B40&lt;=D44))</f>
        <v>0</v>
      </c>
      <c r="N44" s="24">
        <f t="shared" ref="N44:N48" si="4">IF(M44=TRUE,P44,0)</f>
        <v>0</v>
      </c>
      <c r="O44" s="27"/>
      <c r="P44" s="27">
        <f t="shared" ref="P44:P52" si="5">B$40*E44-F44-(K$40*G44)-S44</f>
        <v>-176.23</v>
      </c>
      <c r="Q44" s="25">
        <f t="shared" si="2"/>
        <v>0</v>
      </c>
      <c r="R44" s="92">
        <f t="shared" ref="R44:R46" si="6">IF(Q44&gt;0,1,)</f>
        <v>0</v>
      </c>
      <c r="S44" s="81">
        <f t="shared" si="3"/>
        <v>0</v>
      </c>
      <c r="U44" s="124">
        <f>IF(B40&lt;=2700,U41,)</f>
        <v>0</v>
      </c>
      <c r="V44" s="126">
        <v>0.02</v>
      </c>
    </row>
    <row r="45" spans="2:22" ht="15" customHeight="1" thickTop="1" thickBot="1" x14ac:dyDescent="0.35">
      <c r="B45" s="41" t="s">
        <v>45</v>
      </c>
      <c r="C45" s="3" t="s">
        <v>7</v>
      </c>
      <c r="D45" s="4">
        <v>1600.36</v>
      </c>
      <c r="E45" s="142">
        <f>IF(U44=1,28.5%-V44,28.5%)-V45</f>
        <v>0.28499999999999998</v>
      </c>
      <c r="F45" s="4">
        <v>198.37</v>
      </c>
      <c r="G45" s="8">
        <v>34.29</v>
      </c>
      <c r="H45" s="55"/>
      <c r="I45" s="68">
        <v>0.14000000000000001</v>
      </c>
      <c r="J45" s="64"/>
      <c r="K45" s="51">
        <v>0</v>
      </c>
      <c r="L45" s="122"/>
      <c r="M45" s="23" t="b">
        <f>AND((B40&gt;D44),(B40&lt;=D45))</f>
        <v>0</v>
      </c>
      <c r="N45" s="24">
        <f t="shared" si="4"/>
        <v>0</v>
      </c>
      <c r="O45" s="23"/>
      <c r="P45" s="27">
        <f t="shared" si="5"/>
        <v>-198.37</v>
      </c>
      <c r="Q45" s="25">
        <f t="shared" si="2"/>
        <v>0</v>
      </c>
      <c r="R45" s="92">
        <f t="shared" si="6"/>
        <v>0</v>
      </c>
      <c r="S45" s="81">
        <f t="shared" si="3"/>
        <v>0</v>
      </c>
      <c r="V45" s="126">
        <f>IF(K40&gt;=3,1%,)</f>
        <v>0</v>
      </c>
    </row>
    <row r="46" spans="2:22" ht="15" customHeight="1" thickTop="1" thickBot="1" x14ac:dyDescent="0.35">
      <c r="B46" s="42">
        <f>ROUND(B40*0.11,2)</f>
        <v>0</v>
      </c>
      <c r="C46" s="3" t="s">
        <v>7</v>
      </c>
      <c r="D46" s="4">
        <v>1961.36</v>
      </c>
      <c r="E46" s="142">
        <f>IF(U44=1,35%-V44,35%)-V45</f>
        <v>0.35</v>
      </c>
      <c r="F46" s="4">
        <v>302.39</v>
      </c>
      <c r="G46" s="8">
        <v>34.29</v>
      </c>
      <c r="H46" s="55"/>
      <c r="I46" s="68">
        <v>0.17799999999999999</v>
      </c>
      <c r="J46" s="64"/>
      <c r="M46" s="23" t="b">
        <f>AND((B40&gt;D45),(B40&lt;=D46))</f>
        <v>0</v>
      </c>
      <c r="N46" s="24">
        <f t="shared" si="4"/>
        <v>0</v>
      </c>
      <c r="O46" s="23"/>
      <c r="P46" s="27">
        <f t="shared" si="5"/>
        <v>-302.39</v>
      </c>
      <c r="Q46" s="25">
        <f t="shared" si="2"/>
        <v>0</v>
      </c>
      <c r="R46" s="92">
        <f t="shared" si="6"/>
        <v>0</v>
      </c>
      <c r="S46" s="81">
        <f t="shared" si="3"/>
        <v>0</v>
      </c>
    </row>
    <row r="47" spans="2:22" ht="15" customHeight="1" thickTop="1" thickBot="1" x14ac:dyDescent="0.35">
      <c r="C47" s="3" t="s">
        <v>7</v>
      </c>
      <c r="D47" s="4">
        <v>2529.0500000000002</v>
      </c>
      <c r="E47" s="142">
        <f>IF(U44=1,37%-V44,37%)-V45</f>
        <v>0.37</v>
      </c>
      <c r="F47" s="4">
        <v>341.62</v>
      </c>
      <c r="G47" s="8">
        <v>34.29</v>
      </c>
      <c r="H47" s="55"/>
      <c r="I47" s="68">
        <v>0.221</v>
      </c>
      <c r="J47" s="64"/>
      <c r="K47" s="139"/>
      <c r="M47" s="23" t="b">
        <f>AND((B40&gt;D46),(B40&lt;=D47))</f>
        <v>0</v>
      </c>
      <c r="N47" s="24">
        <f t="shared" si="4"/>
        <v>0</v>
      </c>
      <c r="O47" s="23"/>
      <c r="P47" s="27">
        <f t="shared" si="5"/>
        <v>-341.62</v>
      </c>
      <c r="Q47" s="25">
        <f t="shared" si="2"/>
        <v>0</v>
      </c>
      <c r="R47" s="92">
        <f>IF(Q47&gt;0,1,)</f>
        <v>0</v>
      </c>
      <c r="S47" s="81">
        <f t="shared" si="3"/>
        <v>0</v>
      </c>
    </row>
    <row r="48" spans="2:22" ht="15" customHeight="1" thickTop="1" x14ac:dyDescent="0.3">
      <c r="B48" s="41" t="s">
        <v>59</v>
      </c>
      <c r="C48" s="3" t="s">
        <v>7</v>
      </c>
      <c r="D48" s="4">
        <v>3694.46</v>
      </c>
      <c r="E48" s="142">
        <f>IF(U44=1,38.72%-V44,38.72%)-V45</f>
        <v>0.38719999999999999</v>
      </c>
      <c r="F48" s="4">
        <v>384.99</v>
      </c>
      <c r="G48" s="8">
        <v>34.29</v>
      </c>
      <c r="H48" s="55"/>
      <c r="I48" s="68">
        <v>0.27400000000000002</v>
      </c>
      <c r="J48" s="64"/>
      <c r="K48" s="19"/>
      <c r="M48" s="23" t="b">
        <f>AND((B40&gt;D47),(B40&lt;=D48))</f>
        <v>0</v>
      </c>
      <c r="N48" s="24">
        <f t="shared" si="4"/>
        <v>0</v>
      </c>
      <c r="O48" s="23"/>
      <c r="P48" s="27">
        <f t="shared" si="5"/>
        <v>-384.99</v>
      </c>
      <c r="Q48" s="25">
        <f t="shared" si="2"/>
        <v>0</v>
      </c>
      <c r="R48" s="92">
        <f>IF(Q48&gt;0,1,)</f>
        <v>0</v>
      </c>
      <c r="S48" s="81">
        <f t="shared" si="3"/>
        <v>0</v>
      </c>
    </row>
    <row r="49" spans="1:21" ht="15" customHeight="1" thickBot="1" x14ac:dyDescent="0.35">
      <c r="B49" s="42">
        <f>B40-B43-B46</f>
        <v>0</v>
      </c>
      <c r="C49" s="3" t="s">
        <v>7</v>
      </c>
      <c r="D49" s="4">
        <v>5469.9</v>
      </c>
      <c r="E49" s="142">
        <f>40.05%-V45</f>
        <v>0.40049999999999997</v>
      </c>
      <c r="F49" s="4">
        <v>434.32</v>
      </c>
      <c r="G49" s="8">
        <v>34.29</v>
      </c>
      <c r="H49" s="55"/>
      <c r="I49" s="68">
        <v>0.315</v>
      </c>
      <c r="J49" s="64"/>
      <c r="K49" s="19"/>
      <c r="M49" s="23" t="b">
        <f>AND((B40&gt;D48),(B40&lt;=D49))</f>
        <v>0</v>
      </c>
      <c r="N49" s="24">
        <f t="shared" ref="N49:N52" si="7">IF(M49=TRUE,P49,0)</f>
        <v>0</v>
      </c>
      <c r="O49" s="23"/>
      <c r="P49" s="27">
        <f t="shared" si="5"/>
        <v>-434.32</v>
      </c>
      <c r="Q49" s="25">
        <f t="shared" si="2"/>
        <v>0</v>
      </c>
      <c r="R49" s="92">
        <f>IF(Q49&gt;0,1,)</f>
        <v>0</v>
      </c>
      <c r="S49" s="81">
        <f t="shared" si="3"/>
        <v>0</v>
      </c>
    </row>
    <row r="50" spans="1:21" ht="15" customHeight="1" thickTop="1" thickBot="1" x14ac:dyDescent="0.35">
      <c r="C50" s="3" t="s">
        <v>7</v>
      </c>
      <c r="D50" s="4">
        <v>6420.55</v>
      </c>
      <c r="E50" s="142">
        <f>42.72%-V45</f>
        <v>0.42719999999999997</v>
      </c>
      <c r="F50" s="4">
        <v>580.36</v>
      </c>
      <c r="G50" s="8">
        <v>34.29</v>
      </c>
      <c r="H50" s="55"/>
      <c r="I50" s="68">
        <v>0.33100000000000002</v>
      </c>
      <c r="J50" s="64"/>
      <c r="K50" s="19"/>
      <c r="M50" s="23" t="b">
        <f>AND((B40&gt;D49),(B40&lt;=D50))</f>
        <v>0</v>
      </c>
      <c r="N50" s="24">
        <f t="shared" si="7"/>
        <v>0</v>
      </c>
      <c r="O50" s="23"/>
      <c r="P50" s="27">
        <f t="shared" si="5"/>
        <v>-580.36</v>
      </c>
      <c r="Q50" s="25">
        <f t="shared" si="2"/>
        <v>0</v>
      </c>
      <c r="R50" s="92">
        <f t="shared" ref="R50:R51" si="8">IF(Q50&gt;0,1,)</f>
        <v>0</v>
      </c>
      <c r="S50" s="81">
        <f t="shared" si="3"/>
        <v>0</v>
      </c>
    </row>
    <row r="51" spans="1:21" ht="15" customHeight="1" thickTop="1" x14ac:dyDescent="0.3">
      <c r="B51" s="41" t="s">
        <v>61</v>
      </c>
      <c r="C51" s="3" t="s">
        <v>7</v>
      </c>
      <c r="D51" s="4">
        <v>20064.21</v>
      </c>
      <c r="E51" s="142">
        <f>44.95%-V45</f>
        <v>0.44950000000000001</v>
      </c>
      <c r="F51" s="4">
        <v>723.22</v>
      </c>
      <c r="G51" s="8">
        <v>34.29</v>
      </c>
      <c r="H51" s="55"/>
      <c r="I51" s="68">
        <v>0.41199999999999998</v>
      </c>
      <c r="J51" s="64"/>
      <c r="K51" s="19"/>
      <c r="M51" s="23" t="b">
        <f>AND((B40&gt;D50),(B40&lt;=D51))</f>
        <v>0</v>
      </c>
      <c r="N51" s="24">
        <f t="shared" si="7"/>
        <v>0</v>
      </c>
      <c r="O51" s="23"/>
      <c r="P51" s="27">
        <f t="shared" si="5"/>
        <v>-723.22</v>
      </c>
      <c r="Q51" s="25">
        <f t="shared" si="2"/>
        <v>0</v>
      </c>
      <c r="R51" s="92">
        <f t="shared" si="8"/>
        <v>0</v>
      </c>
      <c r="S51" s="81">
        <f t="shared" si="3"/>
        <v>0</v>
      </c>
    </row>
    <row r="52" spans="1:21" ht="15" customHeight="1" thickBot="1" x14ac:dyDescent="0.35">
      <c r="B52" s="45">
        <f>IFERROR(B43/B40,0)</f>
        <v>0</v>
      </c>
      <c r="C52" s="3" t="s">
        <v>8</v>
      </c>
      <c r="D52" s="4">
        <v>20064.21</v>
      </c>
      <c r="E52" s="142">
        <f>47.17%-V45</f>
        <v>0.47170000000000001</v>
      </c>
      <c r="F52" s="4">
        <v>1169.6500000000001</v>
      </c>
      <c r="G52" s="8">
        <v>34.29</v>
      </c>
      <c r="H52" s="55"/>
      <c r="I52" s="68" t="s">
        <v>9</v>
      </c>
      <c r="J52" s="64"/>
      <c r="K52" s="19"/>
      <c r="M52" s="23" t="b">
        <f>AND(B40&gt;D51)</f>
        <v>0</v>
      </c>
      <c r="N52" s="24">
        <f t="shared" si="7"/>
        <v>0</v>
      </c>
      <c r="O52" s="23"/>
      <c r="P52" s="27">
        <f t="shared" si="5"/>
        <v>-1169.6500000000001</v>
      </c>
      <c r="Q52" s="25"/>
      <c r="R52" s="92">
        <f>IF(B54="n.a.",1,)</f>
        <v>0</v>
      </c>
      <c r="S52" s="81">
        <f t="shared" si="3"/>
        <v>0</v>
      </c>
    </row>
    <row r="53" spans="1:21" ht="15" customHeight="1" thickTop="1" x14ac:dyDescent="0.3">
      <c r="A53" s="147" t="s">
        <v>62</v>
      </c>
      <c r="B53" s="148"/>
      <c r="C53" s="110">
        <f ca="1">(B43*E53)</f>
        <v>0</v>
      </c>
      <c r="D53" s="78">
        <f ca="1">MONTH(TODAY())</f>
        <v>4</v>
      </c>
      <c r="E53" s="78">
        <f ca="1">IF(D53=7,2,IF(D53=8,3,IF(D53=9,4,IF(D53=10,5,IF(D53=11,7,IF(D53=12,8,))))))</f>
        <v>0</v>
      </c>
    </row>
    <row r="54" spans="1:21" ht="15" customHeight="1" x14ac:dyDescent="0.3">
      <c r="B54" s="73">
        <f>IF(M52=TRUE,"n.a.",SUM(Q40:Q51))</f>
        <v>0</v>
      </c>
    </row>
    <row r="55" spans="1:21" ht="3" customHeight="1" x14ac:dyDescent="0.3">
      <c r="B55" s="50"/>
      <c r="C55" s="36"/>
      <c r="D55" s="36"/>
      <c r="E55" s="36"/>
      <c r="F55" s="36"/>
      <c r="G55" s="36"/>
      <c r="H55" s="36"/>
      <c r="I55" s="36"/>
      <c r="J55" s="50"/>
      <c r="K55" s="50"/>
    </row>
    <row r="56" spans="1:21" ht="15" customHeight="1" x14ac:dyDescent="0.3"/>
    <row r="57" spans="1:21" ht="15" customHeight="1" x14ac:dyDescent="0.3">
      <c r="C57" s="1" t="s">
        <v>0</v>
      </c>
    </row>
    <row r="58" spans="1:21" ht="15" customHeight="1" x14ac:dyDescent="0.3">
      <c r="C58" s="1" t="s">
        <v>13</v>
      </c>
    </row>
    <row r="59" spans="1:21" ht="15" customHeight="1" x14ac:dyDescent="0.3">
      <c r="C59" s="11" t="s">
        <v>14</v>
      </c>
      <c r="D59" s="11"/>
      <c r="E59" s="11"/>
      <c r="F59" s="11"/>
    </row>
    <row r="60" spans="1:21" ht="15" customHeight="1" x14ac:dyDescent="0.3">
      <c r="J60" s="131"/>
      <c r="K60" s="131"/>
    </row>
    <row r="61" spans="1:21" ht="15" customHeight="1" x14ac:dyDescent="0.3">
      <c r="B61" s="127" t="s">
        <v>79</v>
      </c>
      <c r="J61" s="131"/>
      <c r="K61" s="131"/>
    </row>
    <row r="62" spans="1:21" ht="55" customHeight="1" thickBot="1" x14ac:dyDescent="0.35">
      <c r="B62" s="132" t="s">
        <v>90</v>
      </c>
      <c r="C62" s="1" t="str">
        <f>IF(B62="sim","Tem de ser habitação própria e permanente e não auferir mais de  2 700 euros/mês.","")</f>
        <v/>
      </c>
      <c r="J62" s="131"/>
      <c r="K62" s="131"/>
    </row>
    <row r="63" spans="1:21" ht="70" customHeight="1" thickTop="1" thickBot="1" x14ac:dyDescent="0.35">
      <c r="B63" s="134" t="s">
        <v>93</v>
      </c>
      <c r="C63" s="145" t="s">
        <v>65</v>
      </c>
      <c r="D63" s="146"/>
      <c r="E63" s="86" t="s">
        <v>4</v>
      </c>
      <c r="F63" s="86" t="s">
        <v>67</v>
      </c>
      <c r="G63" s="86" t="s">
        <v>12</v>
      </c>
      <c r="H63" s="88"/>
      <c r="I63" s="89" t="s">
        <v>6</v>
      </c>
      <c r="J63" s="64"/>
      <c r="K63" s="113" t="s">
        <v>92</v>
      </c>
      <c r="M63" s="22" t="s">
        <v>51</v>
      </c>
      <c r="N63" s="22" t="s">
        <v>50</v>
      </c>
      <c r="O63" s="22" t="s">
        <v>52</v>
      </c>
      <c r="P63" s="22" t="s">
        <v>48</v>
      </c>
      <c r="Q63" s="22" t="s">
        <v>6</v>
      </c>
      <c r="S63" s="96" t="s">
        <v>69</v>
      </c>
      <c r="T63" s="125" t="s">
        <v>90</v>
      </c>
      <c r="U63" s="124">
        <v>0</v>
      </c>
    </row>
    <row r="64" spans="1:21" ht="15" customHeight="1" thickTop="1" thickBot="1" x14ac:dyDescent="0.35">
      <c r="B64" s="48">
        <v>0</v>
      </c>
      <c r="C64" s="3" t="s">
        <v>7</v>
      </c>
      <c r="D64" s="4">
        <v>762</v>
      </c>
      <c r="E64" s="142">
        <v>0</v>
      </c>
      <c r="F64" s="4">
        <v>0</v>
      </c>
      <c r="G64" s="8">
        <v>0</v>
      </c>
      <c r="H64" s="55"/>
      <c r="I64" s="68">
        <v>0</v>
      </c>
      <c r="J64" s="64"/>
      <c r="K64" s="51">
        <v>0</v>
      </c>
      <c r="L64" s="122"/>
      <c r="M64" s="23" t="b">
        <f>AND(B64&lt;=D64)</f>
        <v>1</v>
      </c>
      <c r="N64" s="24">
        <f>IF(M64=TRUE,O64-P64,0)</f>
        <v>0</v>
      </c>
      <c r="O64" s="23">
        <f>B64*E64</f>
        <v>0</v>
      </c>
      <c r="P64" s="23">
        <v>0</v>
      </c>
      <c r="Q64" s="25">
        <f t="shared" ref="Q64:Q75" si="9">IF(M64=TRUE,I64,0)</f>
        <v>0</v>
      </c>
      <c r="R64" s="10">
        <v>0</v>
      </c>
      <c r="S64" s="80">
        <v>0</v>
      </c>
      <c r="T64" s="123" t="s">
        <v>78</v>
      </c>
      <c r="U64" s="124">
        <v>1</v>
      </c>
    </row>
    <row r="65" spans="1:22" ht="15" customHeight="1" thickTop="1" thickBot="1" x14ac:dyDescent="0.35">
      <c r="C65" s="3" t="s">
        <v>7</v>
      </c>
      <c r="D65" s="4">
        <v>886.57</v>
      </c>
      <c r="E65" s="142">
        <f>IF(U68=1,14.5%-V68,14.5%)-V69</f>
        <v>0.14499999999999999</v>
      </c>
      <c r="F65" s="6" t="s">
        <v>85</v>
      </c>
      <c r="G65" s="8">
        <v>21.43</v>
      </c>
      <c r="H65" s="55"/>
      <c r="I65" s="68">
        <v>4.2999999999999997E-2</v>
      </c>
      <c r="J65" s="64"/>
      <c r="K65" s="152" t="s">
        <v>106</v>
      </c>
      <c r="L65" s="122"/>
      <c r="M65" s="23" t="b">
        <f>AND((B64&gt;D64),(B64&lt;=D65))</f>
        <v>0</v>
      </c>
      <c r="N65" s="24">
        <f>IF(M65=TRUE,O65,0)</f>
        <v>0</v>
      </c>
      <c r="O65" s="26">
        <f>B64*E65-P65-(K64*G65)</f>
        <v>-364.61554999999993</v>
      </c>
      <c r="P65" s="27">
        <f>E65*2.3*(1093.3-B64)-S65</f>
        <v>364.61554999999993</v>
      </c>
      <c r="Q65" s="25">
        <f t="shared" si="9"/>
        <v>0</v>
      </c>
      <c r="R65" s="92">
        <f>IF(Q65&gt;0,1,)</f>
        <v>0</v>
      </c>
      <c r="S65" s="81">
        <f t="shared" ref="S65:S76" si="10">IF(R65=0,0,IF($K$69&gt;=1,42.41*$K$69,))</f>
        <v>0</v>
      </c>
      <c r="U65" s="124">
        <f>IF(B64=0,0,VLOOKUP(B62,T63:U64,2,FALSE))</f>
        <v>0</v>
      </c>
    </row>
    <row r="66" spans="1:22" ht="15" customHeight="1" thickTop="1" x14ac:dyDescent="0.3">
      <c r="B66" s="41" t="s">
        <v>57</v>
      </c>
      <c r="C66" s="3" t="s">
        <v>7</v>
      </c>
      <c r="D66" s="4">
        <v>932.14</v>
      </c>
      <c r="E66" s="142">
        <f>IF(U68=1,21%-V68,21%)-V69</f>
        <v>0.21</v>
      </c>
      <c r="F66" s="6" t="s">
        <v>84</v>
      </c>
      <c r="G66" s="8">
        <v>21.43</v>
      </c>
      <c r="H66" s="55"/>
      <c r="I66" s="68">
        <v>6.5000000000000002E-2</v>
      </c>
      <c r="J66" s="64"/>
      <c r="K66" s="153"/>
      <c r="L66" s="122"/>
      <c r="M66" s="23" t="b">
        <f>AND((B64&gt;D65),(B64&lt;=D66))</f>
        <v>0</v>
      </c>
      <c r="N66" s="24">
        <f>IF(M66=TRUE,O66,0)</f>
        <v>0</v>
      </c>
      <c r="O66" s="26">
        <f>B64*E66-P66-(K64*G66)</f>
        <v>-368.60733000000005</v>
      </c>
      <c r="P66" s="27">
        <f>E66*1.3*(1350.21-B64)-S66</f>
        <v>368.60733000000005</v>
      </c>
      <c r="Q66" s="25">
        <f t="shared" si="9"/>
        <v>0</v>
      </c>
      <c r="R66" s="92">
        <f>IF(Q66&gt;0,1,)</f>
        <v>0</v>
      </c>
      <c r="S66" s="81">
        <f t="shared" si="10"/>
        <v>0</v>
      </c>
      <c r="U66" s="124"/>
    </row>
    <row r="67" spans="1:22" ht="15" customHeight="1" thickBot="1" x14ac:dyDescent="0.35">
      <c r="B67" s="42">
        <f>IF(ROUNDDOWN(SUM(N64:N76),0)&lt;0,0,ROUNDDOWN(SUM(N64:N76),0))</f>
        <v>0</v>
      </c>
      <c r="C67" s="3" t="s">
        <v>7</v>
      </c>
      <c r="D67" s="4">
        <v>999.14</v>
      </c>
      <c r="E67" s="142">
        <f>IF(U68=1,21%-V68,21%)-V69</f>
        <v>0.21</v>
      </c>
      <c r="F67" s="4">
        <v>114.14</v>
      </c>
      <c r="G67" s="8">
        <v>21.43</v>
      </c>
      <c r="H67" s="55"/>
      <c r="I67" s="68">
        <v>7.3999999999999996E-2</v>
      </c>
      <c r="J67" s="64"/>
      <c r="K67" s="153"/>
      <c r="L67" s="122"/>
      <c r="M67" s="23" t="b">
        <f>AND((B64&gt;D66),(B64&lt;=D67))</f>
        <v>0</v>
      </c>
      <c r="N67" s="24">
        <f>IF(M67=TRUE,P67,0)</f>
        <v>0</v>
      </c>
      <c r="O67" s="26"/>
      <c r="P67" s="27">
        <f>B64*E67-F67-(K64*G67)-S67</f>
        <v>-114.14</v>
      </c>
      <c r="Q67" s="25">
        <f t="shared" si="9"/>
        <v>0</v>
      </c>
      <c r="R67" s="92">
        <f>IF(Q67&gt;0,1,)</f>
        <v>0</v>
      </c>
      <c r="S67" s="81">
        <f t="shared" si="10"/>
        <v>0</v>
      </c>
      <c r="U67" s="124"/>
    </row>
    <row r="68" spans="1:22" ht="15" customHeight="1" thickTop="1" thickBot="1" x14ac:dyDescent="0.35">
      <c r="C68" s="3" t="s">
        <v>7</v>
      </c>
      <c r="D68" s="4">
        <v>1106.93</v>
      </c>
      <c r="E68" s="142">
        <f>IF(U68=1,26.5%-V68,26.5%)-V69</f>
        <v>0.26500000000000001</v>
      </c>
      <c r="F68" s="4">
        <v>169.09</v>
      </c>
      <c r="G68" s="8">
        <v>21.43</v>
      </c>
      <c r="H68" s="55"/>
      <c r="I68" s="68">
        <v>9.2999999999999999E-2</v>
      </c>
      <c r="J68" s="64"/>
      <c r="K68" s="153"/>
      <c r="L68" s="122"/>
      <c r="M68" s="23" t="b">
        <f>AND((B64&gt;D67),(B64&lt;=D68))</f>
        <v>0</v>
      </c>
      <c r="N68" s="24">
        <f t="shared" ref="N68" si="11">IF(M68=TRUE,P68,0)</f>
        <v>0</v>
      </c>
      <c r="O68" s="26"/>
      <c r="P68" s="27">
        <f>B64*E68-F68-(K64*G68)-S68</f>
        <v>-169.09</v>
      </c>
      <c r="Q68" s="25">
        <f t="shared" si="9"/>
        <v>0</v>
      </c>
      <c r="R68" s="92">
        <f>IF(Q68&gt;0,1,)</f>
        <v>0</v>
      </c>
      <c r="S68" s="81">
        <f t="shared" si="10"/>
        <v>0</v>
      </c>
      <c r="U68" s="124">
        <f>IF(B64&lt;=2700,U65,)</f>
        <v>0</v>
      </c>
      <c r="V68" s="126">
        <v>0.02</v>
      </c>
    </row>
    <row r="69" spans="1:22" ht="15" customHeight="1" thickTop="1" thickBot="1" x14ac:dyDescent="0.35">
      <c r="B69" s="41" t="s">
        <v>45</v>
      </c>
      <c r="C69" s="3" t="s">
        <v>7</v>
      </c>
      <c r="D69" s="4">
        <v>1600.36</v>
      </c>
      <c r="E69" s="142">
        <f>IF(U68=1,28.5%-V68,28.5%)-V69</f>
        <v>0.28499999999999998</v>
      </c>
      <c r="F69" s="4">
        <v>191.23</v>
      </c>
      <c r="G69" s="8">
        <v>21.43</v>
      </c>
      <c r="H69" s="55"/>
      <c r="I69" s="68">
        <v>0.152</v>
      </c>
      <c r="J69" s="64"/>
      <c r="K69" s="51">
        <v>0</v>
      </c>
      <c r="L69" s="122"/>
      <c r="M69" s="23" t="b">
        <f>AND((B64&gt;D68),(B64&lt;=D69))</f>
        <v>0</v>
      </c>
      <c r="N69" s="24">
        <f>IF(M69=TRUE,P69,0)</f>
        <v>0</v>
      </c>
      <c r="O69" s="26"/>
      <c r="P69" s="27">
        <f>B64*E69-F69-(K64*G69)-S69</f>
        <v>-191.23</v>
      </c>
      <c r="Q69" s="25">
        <f t="shared" si="9"/>
        <v>0</v>
      </c>
      <c r="R69" s="92">
        <f t="shared" ref="R69:R70" si="12">IF(Q69&gt;0,1,)</f>
        <v>0</v>
      </c>
      <c r="S69" s="81">
        <f t="shared" si="10"/>
        <v>0</v>
      </c>
      <c r="V69" s="126">
        <f>IF(K64&gt;=3,1%,)</f>
        <v>0</v>
      </c>
    </row>
    <row r="70" spans="1:22" ht="15" customHeight="1" thickTop="1" thickBot="1" x14ac:dyDescent="0.35">
      <c r="B70" s="42">
        <f>ROUND(B64*0.11,2)</f>
        <v>0</v>
      </c>
      <c r="C70" s="3" t="s">
        <v>7</v>
      </c>
      <c r="D70" s="4">
        <v>1961.36</v>
      </c>
      <c r="E70" s="142">
        <f>IF(U68=1,35%-V68,35%)-V69</f>
        <v>0.35</v>
      </c>
      <c r="F70" s="4">
        <v>295.25</v>
      </c>
      <c r="G70" s="8">
        <v>21.43</v>
      </c>
      <c r="H70" s="55"/>
      <c r="I70" s="68">
        <v>0.189</v>
      </c>
      <c r="J70" s="64"/>
      <c r="K70" s="111"/>
      <c r="M70" s="23" t="b">
        <f>AND((B64&gt;D69),(B64&lt;=D70))</f>
        <v>0</v>
      </c>
      <c r="N70" s="24">
        <f t="shared" ref="N70:N76" si="13">IF(M70=TRUE,P70,0)</f>
        <v>0</v>
      </c>
      <c r="O70" s="26"/>
      <c r="P70" s="27">
        <f>B64*E70-F70-(K64*G70)-S70</f>
        <v>-295.25</v>
      </c>
      <c r="Q70" s="25">
        <f t="shared" si="9"/>
        <v>0</v>
      </c>
      <c r="R70" s="92">
        <f t="shared" si="12"/>
        <v>0</v>
      </c>
      <c r="S70" s="81">
        <f t="shared" si="10"/>
        <v>0</v>
      </c>
    </row>
    <row r="71" spans="1:22" ht="15" customHeight="1" thickTop="1" thickBot="1" x14ac:dyDescent="0.35">
      <c r="C71" s="3" t="s">
        <v>7</v>
      </c>
      <c r="D71" s="4">
        <v>2529.0500000000002</v>
      </c>
      <c r="E71" s="142">
        <f>IF(U68=1,37%-V68,37%)-V69</f>
        <v>0.37</v>
      </c>
      <c r="F71" s="4">
        <v>334.48</v>
      </c>
      <c r="G71" s="8">
        <v>21.43</v>
      </c>
      <c r="H71" s="55"/>
      <c r="I71" s="68">
        <v>0.22900000000000001</v>
      </c>
      <c r="J71" s="64"/>
      <c r="M71" s="23" t="b">
        <f>AND((B64&gt;D70),(B64&lt;=D71))</f>
        <v>0</v>
      </c>
      <c r="N71" s="24">
        <f t="shared" si="13"/>
        <v>0</v>
      </c>
      <c r="O71" s="26"/>
      <c r="P71" s="27">
        <f>B64*E71-F71-(K64*G71)-S71</f>
        <v>-334.48</v>
      </c>
      <c r="Q71" s="25">
        <f t="shared" si="9"/>
        <v>0</v>
      </c>
      <c r="R71" s="92">
        <f>IF(Q71&gt;0,1,)</f>
        <v>0</v>
      </c>
      <c r="S71" s="81">
        <f t="shared" si="10"/>
        <v>0</v>
      </c>
    </row>
    <row r="72" spans="1:22" ht="15" customHeight="1" thickTop="1" x14ac:dyDescent="0.3">
      <c r="B72" s="41" t="s">
        <v>59</v>
      </c>
      <c r="C72" s="3" t="s">
        <v>7</v>
      </c>
      <c r="D72" s="4">
        <v>3694.46</v>
      </c>
      <c r="E72" s="142">
        <f>IF(U68=1,38.72%-V68,38.72%)-V69</f>
        <v>0.38719999999999999</v>
      </c>
      <c r="F72" s="4">
        <v>377.85</v>
      </c>
      <c r="G72" s="8">
        <v>21.43</v>
      </c>
      <c r="H72" s="55"/>
      <c r="I72" s="68">
        <v>0.27900000000000003</v>
      </c>
      <c r="J72" s="64"/>
      <c r="K72" s="19"/>
      <c r="M72" s="23" t="b">
        <f>AND((B64&gt;D71),(B64&lt;=D72))</f>
        <v>0</v>
      </c>
      <c r="N72" s="24">
        <f t="shared" si="13"/>
        <v>0</v>
      </c>
      <c r="O72" s="26"/>
      <c r="P72" s="27">
        <f>B64*E72-F72-(K64*G72)-S72</f>
        <v>-377.85</v>
      </c>
      <c r="Q72" s="25">
        <f t="shared" si="9"/>
        <v>0</v>
      </c>
      <c r="R72" s="92">
        <f>IF(Q72&gt;0,1,)</f>
        <v>0</v>
      </c>
      <c r="S72" s="81">
        <f t="shared" si="10"/>
        <v>0</v>
      </c>
    </row>
    <row r="73" spans="1:22" ht="15" customHeight="1" thickBot="1" x14ac:dyDescent="0.35">
      <c r="B73" s="42">
        <f>B64-B67-B70</f>
        <v>0</v>
      </c>
      <c r="C73" s="3" t="s">
        <v>7</v>
      </c>
      <c r="D73" s="4">
        <v>5469.9</v>
      </c>
      <c r="E73" s="142">
        <f>40.05%-V69</f>
        <v>0.40049999999999997</v>
      </c>
      <c r="F73" s="4">
        <v>427.18</v>
      </c>
      <c r="G73" s="8">
        <v>21.43</v>
      </c>
      <c r="H73" s="55"/>
      <c r="I73" s="68">
        <v>0.318</v>
      </c>
      <c r="J73" s="64"/>
      <c r="K73" s="19"/>
      <c r="M73" s="23" t="b">
        <f>AND((B64&gt;D72),(B64&lt;=D73))</f>
        <v>0</v>
      </c>
      <c r="N73" s="24">
        <f t="shared" si="13"/>
        <v>0</v>
      </c>
      <c r="O73" s="26"/>
      <c r="P73" s="27">
        <f>B64*E73-F73-(K64*G73)-S73</f>
        <v>-427.18</v>
      </c>
      <c r="Q73" s="25">
        <f t="shared" si="9"/>
        <v>0</v>
      </c>
      <c r="R73" s="92">
        <f>IF(Q73&gt;0,1,)</f>
        <v>0</v>
      </c>
      <c r="S73" s="81">
        <f t="shared" si="10"/>
        <v>0</v>
      </c>
    </row>
    <row r="74" spans="1:22" ht="15" customHeight="1" thickTop="1" thickBot="1" x14ac:dyDescent="0.35">
      <c r="C74" s="3" t="s">
        <v>7</v>
      </c>
      <c r="D74" s="4">
        <v>6420.55</v>
      </c>
      <c r="E74" s="142">
        <f>42.72%-V69</f>
        <v>0.42719999999999997</v>
      </c>
      <c r="F74" s="4">
        <v>573.22</v>
      </c>
      <c r="G74" s="8">
        <v>21.43</v>
      </c>
      <c r="H74" s="55"/>
      <c r="I74" s="68">
        <v>0.33500000000000002</v>
      </c>
      <c r="J74" s="64"/>
      <c r="K74" s="19"/>
      <c r="M74" s="23" t="b">
        <f>AND((B64&gt;D73),(B64&lt;=D74))</f>
        <v>0</v>
      </c>
      <c r="N74" s="24">
        <f t="shared" si="13"/>
        <v>0</v>
      </c>
      <c r="O74" s="26"/>
      <c r="P74" s="27">
        <f>B64*E74-F74-(K64*G74)-S74</f>
        <v>-573.22</v>
      </c>
      <c r="Q74" s="25">
        <f t="shared" si="9"/>
        <v>0</v>
      </c>
      <c r="R74" s="92">
        <f t="shared" ref="R74:R75" si="14">IF(Q74&gt;0,1,)</f>
        <v>0</v>
      </c>
      <c r="S74" s="81">
        <f t="shared" si="10"/>
        <v>0</v>
      </c>
    </row>
    <row r="75" spans="1:22" ht="15" customHeight="1" thickTop="1" x14ac:dyDescent="0.3">
      <c r="B75" s="41" t="s">
        <v>61</v>
      </c>
      <c r="C75" s="3" t="s">
        <v>7</v>
      </c>
      <c r="D75" s="4">
        <v>20064.21</v>
      </c>
      <c r="E75" s="142">
        <f>44.95%-V69</f>
        <v>0.44950000000000001</v>
      </c>
      <c r="F75" s="4">
        <v>716.08</v>
      </c>
      <c r="G75" s="8">
        <v>21.43</v>
      </c>
      <c r="H75" s="55"/>
      <c r="I75" s="68">
        <v>0.41299999999999998</v>
      </c>
      <c r="J75" s="64"/>
      <c r="K75" s="19"/>
      <c r="M75" s="23" t="b">
        <f>AND((B64&gt;D74),(B64&lt;=D75))</f>
        <v>0</v>
      </c>
      <c r="N75" s="24">
        <f t="shared" si="13"/>
        <v>0</v>
      </c>
      <c r="O75" s="26"/>
      <c r="P75" s="27">
        <f>B64*E75-F75-(K64*G75)-S75</f>
        <v>-716.08</v>
      </c>
      <c r="Q75" s="25">
        <f t="shared" si="9"/>
        <v>0</v>
      </c>
      <c r="R75" s="92">
        <f t="shared" si="14"/>
        <v>0</v>
      </c>
      <c r="S75" s="81">
        <f t="shared" si="10"/>
        <v>0</v>
      </c>
    </row>
    <row r="76" spans="1:22" ht="15" customHeight="1" thickBot="1" x14ac:dyDescent="0.35">
      <c r="B76" s="45">
        <f>IFERROR(B67/B64,0)</f>
        <v>0</v>
      </c>
      <c r="C76" s="3" t="s">
        <v>8</v>
      </c>
      <c r="D76" s="4">
        <v>20064.21</v>
      </c>
      <c r="E76" s="142">
        <f>47.17%-V69</f>
        <v>0.47170000000000001</v>
      </c>
      <c r="F76" s="4">
        <v>1162.51</v>
      </c>
      <c r="G76" s="8">
        <v>21.43</v>
      </c>
      <c r="H76" s="55"/>
      <c r="I76" s="68" t="s">
        <v>9</v>
      </c>
      <c r="J76" s="64"/>
      <c r="K76" s="19"/>
      <c r="M76" s="23" t="b">
        <f>AND(B64&gt;D75)</f>
        <v>0</v>
      </c>
      <c r="N76" s="24">
        <f t="shared" si="13"/>
        <v>0</v>
      </c>
      <c r="O76" s="26"/>
      <c r="P76" s="27">
        <f>B64*E76-F76-(K64*G76)-S76</f>
        <v>-1162.51</v>
      </c>
      <c r="Q76" s="25"/>
      <c r="R76" s="92">
        <f>IF(B78="n.a.",1,)</f>
        <v>0</v>
      </c>
      <c r="S76" s="81">
        <f t="shared" si="10"/>
        <v>0</v>
      </c>
    </row>
    <row r="77" spans="1:22" ht="15" customHeight="1" thickTop="1" x14ac:dyDescent="0.3">
      <c r="A77" s="147" t="s">
        <v>62</v>
      </c>
      <c r="B77" s="148"/>
      <c r="C77" s="110">
        <f ca="1">B67*E77</f>
        <v>0</v>
      </c>
      <c r="D77" s="78">
        <f ca="1">MONTH(TODAY())</f>
        <v>4</v>
      </c>
      <c r="E77" s="78">
        <f ca="1">IF(D77=7,2,IF(D77=8,3,IF(D77=9,4,IF(D77=10,5,IF(D77=11,7,IF(D77=12,8,))))))</f>
        <v>0</v>
      </c>
    </row>
    <row r="78" spans="1:22" ht="15" customHeight="1" thickBot="1" x14ac:dyDescent="0.35">
      <c r="B78" s="108">
        <f>IF(M76=TRUE,"n.a.",SUM(Q64:Q75))</f>
        <v>0</v>
      </c>
      <c r="C78" s="10"/>
    </row>
    <row r="79" spans="1:22" ht="3" customHeight="1" thickTop="1" x14ac:dyDescent="0.25">
      <c r="B79" s="53"/>
      <c r="C79" s="50"/>
      <c r="D79" s="36"/>
      <c r="E79" s="36"/>
      <c r="F79" s="36"/>
      <c r="G79" s="36"/>
      <c r="H79" s="36"/>
      <c r="I79" s="36"/>
      <c r="J79" s="50"/>
      <c r="K79" s="50"/>
    </row>
    <row r="80" spans="1:22" ht="15" customHeight="1" x14ac:dyDescent="0.25">
      <c r="B80" s="52"/>
      <c r="C80" s="10"/>
    </row>
    <row r="81" spans="2:22" ht="15" customHeight="1" x14ac:dyDescent="0.25">
      <c r="B81" s="52"/>
      <c r="C81" s="1" t="s">
        <v>0</v>
      </c>
    </row>
    <row r="82" spans="2:22" ht="15" customHeight="1" x14ac:dyDescent="0.3">
      <c r="C82" s="1" t="s">
        <v>15</v>
      </c>
    </row>
    <row r="83" spans="2:22" ht="15" customHeight="1" x14ac:dyDescent="0.3">
      <c r="C83" s="11" t="s">
        <v>16</v>
      </c>
      <c r="D83" s="11"/>
      <c r="E83" s="11"/>
      <c r="F83" s="11"/>
    </row>
    <row r="84" spans="2:22" ht="15" customHeight="1" x14ac:dyDescent="0.3"/>
    <row r="85" spans="2:22" ht="15" customHeight="1" x14ac:dyDescent="0.3">
      <c r="B85" s="127" t="s">
        <v>79</v>
      </c>
      <c r="K85" s="128"/>
    </row>
    <row r="86" spans="2:22" ht="55" customHeight="1" thickBot="1" x14ac:dyDescent="0.35">
      <c r="B86" s="132" t="s">
        <v>90</v>
      </c>
      <c r="C86" s="1" t="str">
        <f>IF(B86="sim","Tem de ser habitação própria e permanente e não auferir mais de  2 700 euros/mês.","")</f>
        <v/>
      </c>
      <c r="K86" s="130"/>
    </row>
    <row r="87" spans="2:22" ht="70" customHeight="1" thickTop="1" thickBot="1" x14ac:dyDescent="0.35">
      <c r="B87" s="136" t="s">
        <v>95</v>
      </c>
      <c r="C87" s="145" t="s">
        <v>65</v>
      </c>
      <c r="D87" s="146"/>
      <c r="E87" s="86" t="s">
        <v>4</v>
      </c>
      <c r="F87" s="86" t="s">
        <v>66</v>
      </c>
      <c r="G87" s="93"/>
      <c r="H87" s="94"/>
      <c r="I87" s="89" t="s">
        <v>6</v>
      </c>
      <c r="J87" s="64"/>
      <c r="K87" s="156" t="s">
        <v>107</v>
      </c>
      <c r="L87" s="122"/>
      <c r="M87" s="22" t="s">
        <v>51</v>
      </c>
      <c r="N87" s="22" t="s">
        <v>50</v>
      </c>
      <c r="O87" s="22" t="s">
        <v>52</v>
      </c>
      <c r="P87" s="22" t="s">
        <v>48</v>
      </c>
      <c r="Q87" s="22" t="s">
        <v>6</v>
      </c>
      <c r="S87" s="97" t="s">
        <v>70</v>
      </c>
      <c r="T87" s="125" t="s">
        <v>90</v>
      </c>
      <c r="U87" s="124">
        <v>0</v>
      </c>
    </row>
    <row r="88" spans="2:22" ht="15" customHeight="1" thickTop="1" thickBot="1" x14ac:dyDescent="0.35">
      <c r="B88" s="48">
        <v>0</v>
      </c>
      <c r="C88" s="3" t="s">
        <v>7</v>
      </c>
      <c r="D88" s="4">
        <v>762</v>
      </c>
      <c r="E88" s="142">
        <v>0</v>
      </c>
      <c r="F88" s="4">
        <v>0</v>
      </c>
      <c r="H88" s="63"/>
      <c r="I88" s="68">
        <v>0</v>
      </c>
      <c r="J88" s="64"/>
      <c r="K88" s="157"/>
      <c r="L88" s="122"/>
      <c r="M88" s="23" t="b">
        <f>AND(B88&lt;=D88)</f>
        <v>1</v>
      </c>
      <c r="N88" s="24">
        <f>IF(M88=TRUE,O88-P88,0)</f>
        <v>0</v>
      </c>
      <c r="O88" s="23">
        <f>B88*E88</f>
        <v>0</v>
      </c>
      <c r="P88" s="23">
        <v>0</v>
      </c>
      <c r="Q88" s="25">
        <f t="shared" ref="Q88:Q99" si="15">IF(M88=TRUE,I88,0)</f>
        <v>0</v>
      </c>
      <c r="R88" s="10">
        <v>0</v>
      </c>
      <c r="S88" s="80">
        <v>0</v>
      </c>
      <c r="T88" s="123" t="s">
        <v>78</v>
      </c>
      <c r="U88" s="124">
        <v>1</v>
      </c>
    </row>
    <row r="89" spans="2:22" ht="15" customHeight="1" thickTop="1" thickBot="1" x14ac:dyDescent="0.35">
      <c r="C89" s="3" t="s">
        <v>7</v>
      </c>
      <c r="D89" s="4">
        <v>886.57</v>
      </c>
      <c r="E89" s="142">
        <f>IF(U92=1,14.5%-V92,14.5%)</f>
        <v>0.14499999999999999</v>
      </c>
      <c r="F89" s="6" t="s">
        <v>86</v>
      </c>
      <c r="H89" s="63"/>
      <c r="I89" s="68">
        <v>4.4999999999999998E-2</v>
      </c>
      <c r="J89" s="64"/>
      <c r="K89" s="51">
        <v>0</v>
      </c>
      <c r="M89" s="23" t="b">
        <f>AND((B88&gt;D88),(B88&lt;=D89))</f>
        <v>0</v>
      </c>
      <c r="N89" s="24">
        <f>IF(M89=TRUE,O89,0)</f>
        <v>0</v>
      </c>
      <c r="O89" s="26">
        <f>B88*E89-P89</f>
        <v>-384.61887999999993</v>
      </c>
      <c r="P89" s="27">
        <f>E89*2.3*(1153.28-B88)-S89</f>
        <v>384.61887999999993</v>
      </c>
      <c r="Q89" s="25">
        <f t="shared" si="15"/>
        <v>0</v>
      </c>
      <c r="R89" s="92">
        <f>IF(Q89&gt;0,1,)</f>
        <v>0</v>
      </c>
      <c r="S89" s="81">
        <f t="shared" ref="S89:S100" si="16">IF(R89=0,0,IF($K$89&gt;=1,135.71*$K$89,))</f>
        <v>0</v>
      </c>
      <c r="U89" s="124">
        <f>IF(B88=0,0,VLOOKUP(B86,T87:U88,2,FALSE))</f>
        <v>0</v>
      </c>
    </row>
    <row r="90" spans="2:22" ht="15" customHeight="1" thickTop="1" x14ac:dyDescent="0.3">
      <c r="B90" s="41" t="s">
        <v>58</v>
      </c>
      <c r="C90" s="3" t="s">
        <v>7</v>
      </c>
      <c r="D90" s="4">
        <v>932.14</v>
      </c>
      <c r="E90" s="142">
        <f>IF(U92=1,14.5%-V92,14.5%)</f>
        <v>0.14499999999999999</v>
      </c>
      <c r="F90" s="6" t="s">
        <v>87</v>
      </c>
      <c r="H90" s="63"/>
      <c r="I90" s="68">
        <v>6.3E-2</v>
      </c>
      <c r="J90" s="64"/>
      <c r="K90" s="19"/>
      <c r="M90" s="23" t="b">
        <f>AND((B88&gt;D89),(B88&lt;=D90))</f>
        <v>0</v>
      </c>
      <c r="N90" s="24">
        <f>IF(M90=TRUE,O90,0)</f>
        <v>0</v>
      </c>
      <c r="O90" s="26">
        <f>B88*E90-P90</f>
        <v>-331.02490365</v>
      </c>
      <c r="P90" s="27">
        <f>E90*1.883*(1212.39-B88)-S90</f>
        <v>331.02490365</v>
      </c>
      <c r="Q90" s="25">
        <f t="shared" si="15"/>
        <v>0</v>
      </c>
      <c r="R90" s="92">
        <f>IF(Q90&gt;0,1,)</f>
        <v>0</v>
      </c>
      <c r="S90" s="81">
        <f t="shared" si="16"/>
        <v>0</v>
      </c>
      <c r="U90" s="124"/>
    </row>
    <row r="91" spans="2:22" ht="15" customHeight="1" thickBot="1" x14ac:dyDescent="0.35">
      <c r="B91" s="42">
        <f>IF(ROUNDDOWN(SUM(N88:N100),0)&lt;0,0,ROUNDDOWN(SUM(N88:N100),0))</f>
        <v>0</v>
      </c>
      <c r="C91" s="3" t="s">
        <v>7</v>
      </c>
      <c r="D91" s="4">
        <v>1027.71</v>
      </c>
      <c r="E91" s="142">
        <f>IF(U92=1,14.5%-V92,14.5%)</f>
        <v>0.14499999999999999</v>
      </c>
      <c r="F91" s="4">
        <v>76.510000000000005</v>
      </c>
      <c r="H91" s="63"/>
      <c r="I91" s="68">
        <v>7.0999999999999994E-2</v>
      </c>
      <c r="J91" s="64"/>
      <c r="K91" s="19"/>
      <c r="M91" s="23" t="b">
        <f>AND((B88&gt;D90),(B88&lt;=D91))</f>
        <v>0</v>
      </c>
      <c r="N91" s="24">
        <f t="shared" ref="N91:N100" si="17">IF(M91=TRUE,P91,0)</f>
        <v>0</v>
      </c>
      <c r="O91" s="23"/>
      <c r="P91" s="27">
        <f>B88*E91-F91-S91</f>
        <v>-76.510000000000005</v>
      </c>
      <c r="Q91" s="25">
        <f t="shared" si="15"/>
        <v>0</v>
      </c>
      <c r="R91" s="92">
        <f>IF(Q91&gt;0,1,)</f>
        <v>0</v>
      </c>
      <c r="S91" s="81">
        <f t="shared" si="16"/>
        <v>0</v>
      </c>
      <c r="U91" s="124"/>
    </row>
    <row r="92" spans="2:22" ht="15" customHeight="1" thickTop="1" thickBot="1" x14ac:dyDescent="0.35">
      <c r="C92" s="3" t="s">
        <v>7</v>
      </c>
      <c r="D92" s="4">
        <v>1278.3599999999999</v>
      </c>
      <c r="E92" s="142">
        <f>IF(U92=1,15.93%-V92,15.93%)</f>
        <v>0.1593</v>
      </c>
      <c r="F92" s="4">
        <v>91.2</v>
      </c>
      <c r="H92" s="63"/>
      <c r="I92" s="68">
        <v>8.7999999999999995E-2</v>
      </c>
      <c r="J92" s="64"/>
      <c r="K92" s="19"/>
      <c r="M92" s="23" t="b">
        <f>AND((B88&gt;D91),(B88&lt;=D92))</f>
        <v>0</v>
      </c>
      <c r="N92" s="24">
        <f t="shared" si="17"/>
        <v>0</v>
      </c>
      <c r="O92" s="23"/>
      <c r="P92" s="27">
        <f>B88*E92-F92-S92</f>
        <v>-91.2</v>
      </c>
      <c r="Q92" s="25">
        <f t="shared" si="15"/>
        <v>0</v>
      </c>
      <c r="R92" s="92">
        <f>IF(Q92&gt;0,1,)</f>
        <v>0</v>
      </c>
      <c r="S92" s="81">
        <f t="shared" si="16"/>
        <v>0</v>
      </c>
      <c r="U92" s="124">
        <f>IF(B88&lt;=2700,U89,)</f>
        <v>0</v>
      </c>
      <c r="V92" s="126">
        <v>0.02</v>
      </c>
    </row>
    <row r="93" spans="2:22" ht="15" customHeight="1" thickTop="1" x14ac:dyDescent="0.3">
      <c r="B93" s="41" t="s">
        <v>45</v>
      </c>
      <c r="C93" s="3" t="s">
        <v>7</v>
      </c>
      <c r="D93" s="4">
        <v>1700.36</v>
      </c>
      <c r="E93" s="142">
        <f>IF(U92=1,21%-V92,21%)</f>
        <v>0.21</v>
      </c>
      <c r="F93" s="4">
        <v>156.03</v>
      </c>
      <c r="H93" s="63"/>
      <c r="I93" s="68">
        <v>0.11799999999999999</v>
      </c>
      <c r="J93" s="64"/>
      <c r="K93" s="19"/>
      <c r="M93" s="23" t="b">
        <f>AND((B88&gt;D92),(B88&lt;=D93))</f>
        <v>0</v>
      </c>
      <c r="N93" s="24">
        <f t="shared" si="17"/>
        <v>0</v>
      </c>
      <c r="O93" s="23"/>
      <c r="P93" s="27">
        <f>B88*E93-F93-S93</f>
        <v>-156.03</v>
      </c>
      <c r="Q93" s="25">
        <f t="shared" si="15"/>
        <v>0</v>
      </c>
      <c r="R93" s="92">
        <f t="shared" ref="R93:R94" si="18">IF(Q93&gt;0,1,)</f>
        <v>0</v>
      </c>
      <c r="S93" s="81">
        <f t="shared" si="16"/>
        <v>0</v>
      </c>
    </row>
    <row r="94" spans="2:22" ht="15" customHeight="1" thickBot="1" x14ac:dyDescent="0.35">
      <c r="B94" s="42">
        <f>ROUND(B88*0.11,2)</f>
        <v>0</v>
      </c>
      <c r="C94" s="3" t="s">
        <v>7</v>
      </c>
      <c r="D94" s="4">
        <v>1961.36</v>
      </c>
      <c r="E94" s="142">
        <f>IF(U92=1,24.68%-V92,24.68%)</f>
        <v>0.24679999999999999</v>
      </c>
      <c r="F94" s="4">
        <v>218.66</v>
      </c>
      <c r="H94" s="63"/>
      <c r="I94" s="68">
        <v>0.13500000000000001</v>
      </c>
      <c r="J94" s="64"/>
      <c r="K94" s="19"/>
      <c r="M94" s="23" t="b">
        <f>AND((B88&gt;D93),(B88&lt;=D94))</f>
        <v>0</v>
      </c>
      <c r="N94" s="24">
        <f t="shared" si="17"/>
        <v>0</v>
      </c>
      <c r="O94" s="23"/>
      <c r="P94" s="27">
        <f>B88*E94-F94-S94</f>
        <v>-218.66</v>
      </c>
      <c r="Q94" s="25">
        <f t="shared" si="15"/>
        <v>0</v>
      </c>
      <c r="R94" s="92">
        <f t="shared" si="18"/>
        <v>0</v>
      </c>
      <c r="S94" s="81">
        <f t="shared" si="16"/>
        <v>0</v>
      </c>
    </row>
    <row r="95" spans="2:22" ht="15" customHeight="1" thickTop="1" thickBot="1" x14ac:dyDescent="0.35">
      <c r="C95" s="3" t="s">
        <v>7</v>
      </c>
      <c r="D95" s="4">
        <v>2529.0500000000002</v>
      </c>
      <c r="E95" s="142">
        <f>IF(U92=1,27.58%-V92,27.58%)</f>
        <v>0.27579999999999999</v>
      </c>
      <c r="F95" s="4">
        <v>275.52</v>
      </c>
      <c r="H95" s="63"/>
      <c r="I95" s="68">
        <v>0.16700000000000001</v>
      </c>
      <c r="J95" s="64"/>
      <c r="K95" s="19"/>
      <c r="M95" s="23" t="b">
        <f>AND((B88&gt;D94),(B88&lt;=D95))</f>
        <v>0</v>
      </c>
      <c r="N95" s="24">
        <f t="shared" si="17"/>
        <v>0</v>
      </c>
      <c r="O95" s="23"/>
      <c r="P95" s="27">
        <f>B88*E95-F95-S95</f>
        <v>-275.52</v>
      </c>
      <c r="Q95" s="25">
        <f t="shared" si="15"/>
        <v>0</v>
      </c>
      <c r="R95" s="92">
        <f>IF(Q95&gt;0,1,)</f>
        <v>0</v>
      </c>
      <c r="S95" s="81">
        <f t="shared" si="16"/>
        <v>0</v>
      </c>
    </row>
    <row r="96" spans="2:22" ht="15" customHeight="1" thickTop="1" x14ac:dyDescent="0.3">
      <c r="B96" s="41" t="s">
        <v>59</v>
      </c>
      <c r="C96" s="3" t="s">
        <v>7</v>
      </c>
      <c r="D96" s="4">
        <v>3694.46</v>
      </c>
      <c r="E96" s="142">
        <f>IF(U92=1,29.8%-V92,29.8%)</f>
        <v>0.29799999999999999</v>
      </c>
      <c r="F96" s="4">
        <v>331.54</v>
      </c>
      <c r="H96" s="63"/>
      <c r="I96" s="68">
        <v>0.20799999999999999</v>
      </c>
      <c r="J96" s="64"/>
      <c r="K96" s="19"/>
      <c r="M96" s="23" t="b">
        <f>AND((B88&gt;D95),(B88&lt;=D96))</f>
        <v>0</v>
      </c>
      <c r="N96" s="24">
        <f t="shared" si="17"/>
        <v>0</v>
      </c>
      <c r="O96" s="23"/>
      <c r="P96" s="27">
        <f>B88*E96-F96-S96</f>
        <v>-331.54</v>
      </c>
      <c r="Q96" s="25">
        <f t="shared" si="15"/>
        <v>0</v>
      </c>
      <c r="R96" s="92">
        <f>IF(Q96&gt;0,1,)</f>
        <v>0</v>
      </c>
      <c r="S96" s="81">
        <f t="shared" si="16"/>
        <v>0</v>
      </c>
    </row>
    <row r="97" spans="1:22" ht="15" customHeight="1" thickBot="1" x14ac:dyDescent="0.35">
      <c r="B97" s="42">
        <f>B88-B91-B94</f>
        <v>0</v>
      </c>
      <c r="C97" s="3" t="s">
        <v>7</v>
      </c>
      <c r="D97" s="4">
        <v>6327.05</v>
      </c>
      <c r="E97" s="142">
        <v>0.33110000000000001</v>
      </c>
      <c r="F97" s="4">
        <v>453.94</v>
      </c>
      <c r="H97" s="63"/>
      <c r="I97" s="68">
        <v>0.25900000000000001</v>
      </c>
      <c r="J97" s="64"/>
      <c r="K97" s="19"/>
      <c r="M97" s="23" t="b">
        <f>AND((B88&gt;D96),(B88&lt;=D97))</f>
        <v>0</v>
      </c>
      <c r="N97" s="24">
        <f t="shared" si="17"/>
        <v>0</v>
      </c>
      <c r="O97" s="23"/>
      <c r="P97" s="27">
        <f>B88*E97-F97-S97</f>
        <v>-453.94</v>
      </c>
      <c r="Q97" s="25">
        <f t="shared" si="15"/>
        <v>0</v>
      </c>
      <c r="R97" s="92">
        <f>IF(Q97&gt;0,1,)</f>
        <v>0</v>
      </c>
      <c r="S97" s="81">
        <f t="shared" si="16"/>
        <v>0</v>
      </c>
    </row>
    <row r="98" spans="1:22" ht="15" customHeight="1" thickTop="1" thickBot="1" x14ac:dyDescent="0.35">
      <c r="C98" s="3" t="s">
        <v>7</v>
      </c>
      <c r="D98" s="4">
        <v>6420.55</v>
      </c>
      <c r="E98" s="142">
        <v>0.38719999999999999</v>
      </c>
      <c r="F98" s="4">
        <v>808.52</v>
      </c>
      <c r="H98" s="63"/>
      <c r="I98" s="68">
        <v>0.26100000000000001</v>
      </c>
      <c r="J98" s="64"/>
      <c r="K98" s="19"/>
      <c r="M98" s="23" t="b">
        <f>AND((B88&gt;D97),(B88&lt;=D98))</f>
        <v>0</v>
      </c>
      <c r="N98" s="24">
        <f t="shared" si="17"/>
        <v>0</v>
      </c>
      <c r="O98" s="23"/>
      <c r="P98" s="27">
        <f>B88*E98-F98-S98</f>
        <v>-808.52</v>
      </c>
      <c r="Q98" s="25">
        <f t="shared" si="15"/>
        <v>0</v>
      </c>
      <c r="R98" s="92">
        <f t="shared" ref="R98:R99" si="19">IF(Q98&gt;0,1,)</f>
        <v>0</v>
      </c>
      <c r="S98" s="81">
        <f t="shared" si="16"/>
        <v>0</v>
      </c>
    </row>
    <row r="99" spans="1:22" ht="15" customHeight="1" thickTop="1" x14ac:dyDescent="0.3">
      <c r="B99" s="41" t="s">
        <v>61</v>
      </c>
      <c r="C99" s="3" t="s">
        <v>7</v>
      </c>
      <c r="D99" s="4">
        <v>20064.21</v>
      </c>
      <c r="E99" s="142">
        <v>0.42509999999999998</v>
      </c>
      <c r="F99" s="4">
        <v>1052.4000000000001</v>
      </c>
      <c r="H99" s="63"/>
      <c r="I99" s="68">
        <v>0.373</v>
      </c>
      <c r="J99" s="64"/>
      <c r="K99" s="19"/>
      <c r="M99" s="23" t="b">
        <f>AND((B88&gt;D98),(B88&lt;=D99))</f>
        <v>0</v>
      </c>
      <c r="N99" s="24">
        <f t="shared" si="17"/>
        <v>0</v>
      </c>
      <c r="O99" s="23"/>
      <c r="P99" s="27">
        <f>B88*E99-F99-S99</f>
        <v>-1052.4000000000001</v>
      </c>
      <c r="Q99" s="25">
        <f t="shared" si="15"/>
        <v>0</v>
      </c>
      <c r="R99" s="92">
        <f t="shared" si="19"/>
        <v>0</v>
      </c>
      <c r="S99" s="81">
        <f t="shared" si="16"/>
        <v>0</v>
      </c>
    </row>
    <row r="100" spans="1:22" ht="15" customHeight="1" thickBot="1" x14ac:dyDescent="0.35">
      <c r="B100" s="45">
        <f>IFERROR(B91/B88,0)</f>
        <v>0</v>
      </c>
      <c r="C100" s="3" t="s">
        <v>8</v>
      </c>
      <c r="D100" s="4">
        <v>20064.21</v>
      </c>
      <c r="E100" s="142">
        <v>0.47170000000000001</v>
      </c>
      <c r="F100" s="4">
        <v>1986.71</v>
      </c>
      <c r="H100" s="63"/>
      <c r="I100" s="68" t="s">
        <v>9</v>
      </c>
      <c r="J100" s="64"/>
      <c r="K100" s="19"/>
      <c r="M100" s="23" t="b">
        <f>AND(B88&gt;D99)</f>
        <v>0</v>
      </c>
      <c r="N100" s="24">
        <f t="shared" si="17"/>
        <v>0</v>
      </c>
      <c r="O100" s="23"/>
      <c r="P100" s="27">
        <f>B88*E100-F100-S100</f>
        <v>-1986.71</v>
      </c>
      <c r="Q100" s="25"/>
      <c r="R100" s="92">
        <f>IF(B102="n.a.",1,)</f>
        <v>0</v>
      </c>
      <c r="S100" s="81">
        <f t="shared" si="16"/>
        <v>0</v>
      </c>
    </row>
    <row r="101" spans="1:22" ht="15" customHeight="1" thickTop="1" x14ac:dyDescent="0.3">
      <c r="A101" s="147" t="s">
        <v>62</v>
      </c>
      <c r="B101" s="148"/>
      <c r="C101" s="110">
        <f ca="1">B91*E101</f>
        <v>0</v>
      </c>
      <c r="D101" s="78">
        <f ca="1">MONTH(TODAY())</f>
        <v>4</v>
      </c>
      <c r="E101" s="78">
        <f ca="1">IF(D101=7,2,IF(D101=8,3,IF(D101=9,4,IF(D101=10,5,IF(D101=11,7,IF(D101=12,8,))))))</f>
        <v>0</v>
      </c>
    </row>
    <row r="102" spans="1:22" ht="15" customHeight="1" x14ac:dyDescent="0.3">
      <c r="B102" s="73">
        <f>IF(M100=TRUE,"n.a.",SUM(Q88:Q99))</f>
        <v>0</v>
      </c>
    </row>
    <row r="103" spans="1:22" ht="3" customHeight="1" x14ac:dyDescent="0.3">
      <c r="B103" s="50"/>
      <c r="C103" s="36"/>
      <c r="D103" s="36"/>
      <c r="E103" s="36"/>
      <c r="F103" s="36"/>
      <c r="G103" s="36"/>
      <c r="H103" s="36"/>
      <c r="I103" s="36"/>
      <c r="J103" s="50"/>
      <c r="K103" s="50"/>
    </row>
    <row r="104" spans="1:22" ht="15" customHeight="1" x14ac:dyDescent="0.3"/>
    <row r="105" spans="1:22" ht="15" customHeight="1" x14ac:dyDescent="0.3">
      <c r="C105" s="1" t="s">
        <v>0</v>
      </c>
    </row>
    <row r="106" spans="1:22" ht="15" customHeight="1" x14ac:dyDescent="0.3">
      <c r="C106" s="1" t="s">
        <v>17</v>
      </c>
    </row>
    <row r="107" spans="1:22" ht="15" customHeight="1" x14ac:dyDescent="0.3">
      <c r="C107" s="11" t="s">
        <v>18</v>
      </c>
      <c r="D107" s="11"/>
      <c r="E107" s="11"/>
      <c r="F107" s="11"/>
    </row>
    <row r="108" spans="1:22" ht="15" customHeight="1" x14ac:dyDescent="0.3">
      <c r="J108" s="131"/>
      <c r="K108" s="131"/>
    </row>
    <row r="109" spans="1:22" ht="15" customHeight="1" x14ac:dyDescent="0.3">
      <c r="B109" s="127" t="s">
        <v>79</v>
      </c>
      <c r="J109" s="131"/>
      <c r="K109" s="131"/>
    </row>
    <row r="110" spans="1:22" ht="55" customHeight="1" thickBot="1" x14ac:dyDescent="0.35">
      <c r="B110" s="132" t="s">
        <v>90</v>
      </c>
      <c r="C110" s="1" t="str">
        <f>IF(B110="sim","Tem de ser habitação própria e permanente e não auferir mais de  2 700 euros/mês.","")</f>
        <v/>
      </c>
      <c r="J110" s="131"/>
      <c r="K110" s="131"/>
    </row>
    <row r="111" spans="1:22" ht="70" customHeight="1" thickTop="1" thickBot="1" x14ac:dyDescent="0.35">
      <c r="B111" s="137" t="s">
        <v>93</v>
      </c>
      <c r="C111" s="145" t="s">
        <v>65</v>
      </c>
      <c r="D111" s="146"/>
      <c r="E111" s="86" t="s">
        <v>4</v>
      </c>
      <c r="F111" s="86" t="s">
        <v>66</v>
      </c>
      <c r="G111" s="86" t="s">
        <v>12</v>
      </c>
      <c r="H111" s="88"/>
      <c r="I111" s="89" t="s">
        <v>6</v>
      </c>
      <c r="J111" s="64"/>
      <c r="K111" s="113" t="s">
        <v>92</v>
      </c>
      <c r="M111" s="22" t="s">
        <v>51</v>
      </c>
      <c r="N111" s="22" t="s">
        <v>50</v>
      </c>
      <c r="O111" s="22" t="s">
        <v>52</v>
      </c>
      <c r="P111" s="22" t="s">
        <v>48</v>
      </c>
      <c r="Q111" s="22" t="s">
        <v>6</v>
      </c>
      <c r="S111" s="96" t="s">
        <v>69</v>
      </c>
      <c r="T111" s="97" t="s">
        <v>70</v>
      </c>
      <c r="U111" s="125" t="s">
        <v>90</v>
      </c>
      <c r="V111" s="124">
        <v>0</v>
      </c>
    </row>
    <row r="112" spans="1:22" ht="15" customHeight="1" thickTop="1" thickBot="1" x14ac:dyDescent="0.35">
      <c r="B112" s="48">
        <v>0</v>
      </c>
      <c r="C112" s="3" t="s">
        <v>7</v>
      </c>
      <c r="D112" s="4">
        <v>762</v>
      </c>
      <c r="E112" s="142">
        <v>0</v>
      </c>
      <c r="F112" s="4">
        <v>0</v>
      </c>
      <c r="G112" s="8">
        <v>0</v>
      </c>
      <c r="H112" s="55"/>
      <c r="I112" s="68">
        <v>0</v>
      </c>
      <c r="J112" s="64"/>
      <c r="K112" s="51">
        <v>0</v>
      </c>
      <c r="L112" s="122"/>
      <c r="M112" s="23" t="b">
        <f>AND(B112&lt;=D112)</f>
        <v>1</v>
      </c>
      <c r="N112" s="24">
        <f>IF(M112=TRUE,O112-P112,0)</f>
        <v>0</v>
      </c>
      <c r="O112" s="24">
        <f>B112*E112</f>
        <v>0</v>
      </c>
      <c r="P112" s="23">
        <v>0</v>
      </c>
      <c r="Q112" s="25">
        <f t="shared" ref="Q112:Q123" si="20">IF(M112=TRUE,I112,0)</f>
        <v>0</v>
      </c>
      <c r="R112" s="10">
        <v>0</v>
      </c>
      <c r="S112" s="80">
        <v>0</v>
      </c>
      <c r="T112" s="98">
        <v>0</v>
      </c>
      <c r="U112" s="123" t="s">
        <v>78</v>
      </c>
      <c r="V112" s="124">
        <v>1</v>
      </c>
    </row>
    <row r="113" spans="1:23" ht="15" customHeight="1" thickTop="1" thickBot="1" x14ac:dyDescent="0.35">
      <c r="C113" s="3" t="s">
        <v>7</v>
      </c>
      <c r="D113" s="4">
        <v>886.57</v>
      </c>
      <c r="E113" s="142">
        <f>IF(V116=1,14.5%-W116,14.5%)-W117</f>
        <v>0.14499999999999999</v>
      </c>
      <c r="F113" s="6" t="s">
        <v>88</v>
      </c>
      <c r="G113" s="8">
        <v>42.86</v>
      </c>
      <c r="H113" s="55"/>
      <c r="I113" s="68">
        <v>0</v>
      </c>
      <c r="J113" s="64"/>
      <c r="K113" s="152" t="s">
        <v>104</v>
      </c>
      <c r="L113" s="122"/>
      <c r="M113" s="23" t="b">
        <f>AND((B112&gt;D112),(B112&lt;=D113))</f>
        <v>0</v>
      </c>
      <c r="N113" s="24">
        <f>IF(M113=TRUE,O113,0)</f>
        <v>0</v>
      </c>
      <c r="O113" s="24">
        <f>B112*E113-P113-(K112*G113)</f>
        <v>-382.47113999999993</v>
      </c>
      <c r="P113" s="27">
        <f>E113*2.3*(1146.84-B112)-S113-T113</f>
        <v>382.47113999999993</v>
      </c>
      <c r="Q113" s="25">
        <f t="shared" si="20"/>
        <v>0</v>
      </c>
      <c r="R113" s="92">
        <f>IF(Q113&gt;0,1,)</f>
        <v>0</v>
      </c>
      <c r="S113" s="81">
        <f t="shared" ref="S113:S124" si="21">IF(R113=0,0,IF($K$117&gt;=1,84.82*$K$117,))</f>
        <v>0</v>
      </c>
      <c r="T113" s="99">
        <f t="shared" ref="T113:T124" si="22">IF(R113=0,0,IF($K$123&gt;=1,135.71*$K$123,))</f>
        <v>0</v>
      </c>
      <c r="V113" s="124">
        <f>IF(B112=0,0,VLOOKUP(B110,U111:V112,2,FALSE))</f>
        <v>0</v>
      </c>
    </row>
    <row r="114" spans="1:23" ht="15" customHeight="1" thickTop="1" x14ac:dyDescent="0.3">
      <c r="B114" s="41" t="s">
        <v>58</v>
      </c>
      <c r="C114" s="3" t="s">
        <v>7</v>
      </c>
      <c r="D114" s="4">
        <v>932.14</v>
      </c>
      <c r="E114" s="142">
        <f>IF(V116=1,14.5%-W116,14.5%)-W117</f>
        <v>0.14499999999999999</v>
      </c>
      <c r="F114" s="6" t="s">
        <v>89</v>
      </c>
      <c r="G114" s="8">
        <v>42.86</v>
      </c>
      <c r="H114" s="55"/>
      <c r="I114" s="68">
        <v>1.9E-2</v>
      </c>
      <c r="J114" s="64"/>
      <c r="K114" s="153"/>
      <c r="L114" s="122"/>
      <c r="M114" s="23" t="b">
        <f>AND((B112&gt;D113),(B112&lt;=D114))</f>
        <v>0</v>
      </c>
      <c r="N114" s="24">
        <f>IF(M114=TRUE,O114,0)</f>
        <v>0</v>
      </c>
      <c r="O114" s="24">
        <f>B112*E114-P114-(K112*G114)</f>
        <v>-328.88430924999994</v>
      </c>
      <c r="P114" s="27">
        <f>E114*1.883*(1204.55-B112)-S114-T114</f>
        <v>328.88430924999994</v>
      </c>
      <c r="Q114" s="25">
        <f t="shared" si="20"/>
        <v>0</v>
      </c>
      <c r="R114" s="92">
        <f t="shared" ref="R114:R122" si="23">IF(Q114&gt;0,1,)</f>
        <v>0</v>
      </c>
      <c r="S114" s="81">
        <f t="shared" si="21"/>
        <v>0</v>
      </c>
      <c r="T114" s="99">
        <f t="shared" si="22"/>
        <v>0</v>
      </c>
      <c r="V114" s="124"/>
    </row>
    <row r="115" spans="1:23" ht="15" customHeight="1" thickBot="1" x14ac:dyDescent="0.35">
      <c r="B115" s="42">
        <f>IF(ROUNDDOWN(SUM(N112:N124),0)&lt;0,0,ROUNDDOWN(SUM(N112:N124),0))</f>
        <v>0</v>
      </c>
      <c r="C115" s="3" t="s">
        <v>7</v>
      </c>
      <c r="D115" s="4">
        <v>999.14</v>
      </c>
      <c r="E115" s="142">
        <f>IF(V116=1,14.5%-W116,14.5%)-W117</f>
        <v>0.14499999999999999</v>
      </c>
      <c r="F115" s="4">
        <v>74.37</v>
      </c>
      <c r="G115" s="8">
        <v>42.86</v>
      </c>
      <c r="H115" s="55"/>
      <c r="I115" s="68">
        <v>2.8000000000000001E-2</v>
      </c>
      <c r="J115" s="64"/>
      <c r="K115" s="153"/>
      <c r="L115" s="122"/>
      <c r="M115" s="23" t="b">
        <f>AND((B112&gt;D114),(B112&lt;=D115))</f>
        <v>0</v>
      </c>
      <c r="N115" s="24">
        <f t="shared" ref="N115:N124" si="24">IF(M115=TRUE,P115,0)</f>
        <v>0</v>
      </c>
      <c r="O115" s="23"/>
      <c r="P115" s="27">
        <f>B112*E115-F115-(K112*G115)-S115-T115</f>
        <v>-74.37</v>
      </c>
      <c r="Q115" s="25">
        <f t="shared" si="20"/>
        <v>0</v>
      </c>
      <c r="R115" s="92">
        <f t="shared" si="23"/>
        <v>0</v>
      </c>
      <c r="S115" s="81">
        <f t="shared" si="21"/>
        <v>0</v>
      </c>
      <c r="T115" s="99">
        <f t="shared" si="22"/>
        <v>0</v>
      </c>
      <c r="V115" s="124"/>
    </row>
    <row r="116" spans="1:23" ht="15" customHeight="1" thickTop="1" thickBot="1" x14ac:dyDescent="0.35">
      <c r="C116" s="3" t="s">
        <v>7</v>
      </c>
      <c r="D116" s="4">
        <v>1106.93</v>
      </c>
      <c r="E116" s="142">
        <f>IF(V116=1,15.93%-W116,15.93%)-W117</f>
        <v>0.1593</v>
      </c>
      <c r="F116" s="4">
        <v>88.64</v>
      </c>
      <c r="G116" s="8">
        <v>42.86</v>
      </c>
      <c r="H116" s="55"/>
      <c r="I116" s="68">
        <v>4.1000000000000002E-2</v>
      </c>
      <c r="J116" s="64"/>
      <c r="K116" s="153"/>
      <c r="L116" s="122"/>
      <c r="M116" s="23" t="b">
        <f>AND((B112&gt;D115),(B112&lt;=D116))</f>
        <v>0</v>
      </c>
      <c r="N116" s="24">
        <f>IF(M116=TRUE,P116,0)</f>
        <v>0</v>
      </c>
      <c r="O116" s="23"/>
      <c r="P116" s="27">
        <f>B112*E116-F116-(K112*G116)-S116-T116</f>
        <v>-88.64</v>
      </c>
      <c r="Q116" s="25">
        <f t="shared" si="20"/>
        <v>0</v>
      </c>
      <c r="R116" s="92">
        <f t="shared" si="23"/>
        <v>0</v>
      </c>
      <c r="S116" s="81">
        <f t="shared" si="21"/>
        <v>0</v>
      </c>
      <c r="T116" s="99">
        <f t="shared" si="22"/>
        <v>0</v>
      </c>
      <c r="V116" s="124">
        <f>IF(B112&lt;=2700,V113,)</f>
        <v>0</v>
      </c>
      <c r="W116" s="126">
        <v>0.02</v>
      </c>
    </row>
    <row r="117" spans="1:23" ht="15" customHeight="1" thickTop="1" thickBot="1" x14ac:dyDescent="0.35">
      <c r="B117" s="41" t="s">
        <v>45</v>
      </c>
      <c r="C117" s="3" t="s">
        <v>7</v>
      </c>
      <c r="D117" s="4">
        <v>1600.36</v>
      </c>
      <c r="E117" s="142">
        <f>IF(V116=1,21%-W116,21%)-W117</f>
        <v>0.21</v>
      </c>
      <c r="F117" s="4">
        <v>144.78</v>
      </c>
      <c r="G117" s="8">
        <v>42.86</v>
      </c>
      <c r="H117" s="55"/>
      <c r="I117" s="68">
        <v>9.2999999999999999E-2</v>
      </c>
      <c r="J117" s="64"/>
      <c r="K117" s="51">
        <v>0</v>
      </c>
      <c r="L117" s="122"/>
      <c r="M117" s="23" t="b">
        <f>AND((B112&gt;D116),(B112&lt;=D117))</f>
        <v>0</v>
      </c>
      <c r="N117" s="24">
        <f t="shared" si="24"/>
        <v>0</v>
      </c>
      <c r="O117" s="23"/>
      <c r="P117" s="27">
        <f>B112*E117-F117-(K112*G117)-S117-T117</f>
        <v>-144.78</v>
      </c>
      <c r="Q117" s="25">
        <f t="shared" si="20"/>
        <v>0</v>
      </c>
      <c r="R117" s="92">
        <f t="shared" si="23"/>
        <v>0</v>
      </c>
      <c r="S117" s="81">
        <f t="shared" si="21"/>
        <v>0</v>
      </c>
      <c r="T117" s="99">
        <f t="shared" si="22"/>
        <v>0</v>
      </c>
      <c r="W117" s="126">
        <f>IF(K112&gt;=3,1%,)</f>
        <v>0</v>
      </c>
    </row>
    <row r="118" spans="1:23" ht="15" customHeight="1" thickTop="1" thickBot="1" x14ac:dyDescent="0.35">
      <c r="B118" s="42">
        <f>ROUND(B112*0.11,2)</f>
        <v>0</v>
      </c>
      <c r="C118" s="3" t="s">
        <v>7</v>
      </c>
      <c r="D118" s="4">
        <v>1961.36</v>
      </c>
      <c r="E118" s="142">
        <f>IF(V116=1,24.68%-W116,24.68%)-W117</f>
        <v>0.24679999999999999</v>
      </c>
      <c r="F118" s="4">
        <v>203.73</v>
      </c>
      <c r="G118" s="8">
        <v>42.86</v>
      </c>
      <c r="H118" s="55"/>
      <c r="I118" s="68">
        <v>0.121</v>
      </c>
      <c r="J118" s="64"/>
      <c r="K118" s="158" t="s">
        <v>105</v>
      </c>
      <c r="L118" s="122"/>
      <c r="M118" s="23" t="b">
        <f>AND((B112&gt;D117),(B112&lt;=D118))</f>
        <v>0</v>
      </c>
      <c r="N118" s="24">
        <f t="shared" si="24"/>
        <v>0</v>
      </c>
      <c r="O118" s="23"/>
      <c r="P118" s="27">
        <f>B112*E118-F118-(K112*G118)-S118-T118</f>
        <v>-203.73</v>
      </c>
      <c r="Q118" s="25">
        <f t="shared" si="20"/>
        <v>0</v>
      </c>
      <c r="R118" s="92">
        <f t="shared" si="23"/>
        <v>0</v>
      </c>
      <c r="S118" s="81">
        <f t="shared" si="21"/>
        <v>0</v>
      </c>
      <c r="T118" s="99">
        <f t="shared" si="22"/>
        <v>0</v>
      </c>
    </row>
    <row r="119" spans="1:23" ht="15" customHeight="1" thickTop="1" thickBot="1" x14ac:dyDescent="0.35">
      <c r="C119" s="3" t="s">
        <v>7</v>
      </c>
      <c r="D119" s="4">
        <v>2529.0500000000002</v>
      </c>
      <c r="E119" s="142">
        <f>IF(V116=1,27.58%-W116,27.58%)-W117</f>
        <v>0.27579999999999999</v>
      </c>
      <c r="F119" s="4">
        <v>260.58999999999997</v>
      </c>
      <c r="G119" s="8">
        <v>42.86</v>
      </c>
      <c r="H119" s="55"/>
      <c r="I119" s="68">
        <v>0.156</v>
      </c>
      <c r="J119" s="64"/>
      <c r="K119" s="159"/>
      <c r="L119" s="122"/>
      <c r="M119" s="23" t="b">
        <f>AND((B112&gt;D118),(B112&lt;=D119))</f>
        <v>0</v>
      </c>
      <c r="N119" s="24">
        <f t="shared" si="24"/>
        <v>0</v>
      </c>
      <c r="O119" s="23"/>
      <c r="P119" s="27">
        <f>B112*E119-F119-(K112*G119)-S119-T119</f>
        <v>-260.58999999999997</v>
      </c>
      <c r="Q119" s="25">
        <f t="shared" si="20"/>
        <v>0</v>
      </c>
      <c r="R119" s="92">
        <f t="shared" si="23"/>
        <v>0</v>
      </c>
      <c r="S119" s="81">
        <f t="shared" si="21"/>
        <v>0</v>
      </c>
      <c r="T119" s="99">
        <f t="shared" si="22"/>
        <v>0</v>
      </c>
    </row>
    <row r="120" spans="1:23" ht="15" customHeight="1" thickTop="1" x14ac:dyDescent="0.3">
      <c r="B120" s="82" t="s">
        <v>59</v>
      </c>
      <c r="C120" s="3" t="s">
        <v>7</v>
      </c>
      <c r="D120" s="4">
        <v>3694.46</v>
      </c>
      <c r="E120" s="142">
        <f>IF(V116=1,29.8%-W116,29.8%)-W117</f>
        <v>0.29799999999999999</v>
      </c>
      <c r="F120" s="4">
        <v>316.61</v>
      </c>
      <c r="G120" s="8">
        <v>42.86</v>
      </c>
      <c r="H120" s="55"/>
      <c r="I120" s="68">
        <v>0.20100000000000001</v>
      </c>
      <c r="J120" s="64"/>
      <c r="K120" s="159"/>
      <c r="L120" s="122"/>
      <c r="M120" s="23" t="b">
        <f>AND((B112&gt;D119),(B112&lt;=D120))</f>
        <v>0</v>
      </c>
      <c r="N120" s="24">
        <f t="shared" si="24"/>
        <v>0</v>
      </c>
      <c r="O120" s="23"/>
      <c r="P120" s="27">
        <f>B112*E120-F120-(K112*G120)-S120-T120</f>
        <v>-316.61</v>
      </c>
      <c r="Q120" s="25">
        <f t="shared" si="20"/>
        <v>0</v>
      </c>
      <c r="R120" s="92">
        <f t="shared" si="23"/>
        <v>0</v>
      </c>
      <c r="S120" s="81">
        <f t="shared" si="21"/>
        <v>0</v>
      </c>
      <c r="T120" s="99">
        <f t="shared" si="22"/>
        <v>0</v>
      </c>
    </row>
    <row r="121" spans="1:23" ht="15" customHeight="1" thickBot="1" x14ac:dyDescent="0.35">
      <c r="B121" s="83">
        <f>B112-B115-B118</f>
        <v>0</v>
      </c>
      <c r="C121" s="3" t="s">
        <v>7</v>
      </c>
      <c r="D121" s="4">
        <v>5469.9</v>
      </c>
      <c r="E121" s="142">
        <f>33.11%-W117</f>
        <v>0.33110000000000001</v>
      </c>
      <c r="F121" s="4">
        <v>439.01</v>
      </c>
      <c r="G121" s="8">
        <v>42.86</v>
      </c>
      <c r="H121" s="55"/>
      <c r="I121" s="68">
        <v>0.24299999999999999</v>
      </c>
      <c r="J121" s="64"/>
      <c r="K121" s="159"/>
      <c r="L121" s="122"/>
      <c r="M121" s="23" t="b">
        <f>AND((B112&gt;D120),(B112&lt;=D121))</f>
        <v>0</v>
      </c>
      <c r="N121" s="24">
        <f t="shared" si="24"/>
        <v>0</v>
      </c>
      <c r="O121" s="23"/>
      <c r="P121" s="27">
        <f>B112*E121-F121-(K112*G121)-S121-T121</f>
        <v>-439.01</v>
      </c>
      <c r="Q121" s="25">
        <f t="shared" si="20"/>
        <v>0</v>
      </c>
      <c r="R121" s="92">
        <f t="shared" si="23"/>
        <v>0</v>
      </c>
      <c r="S121" s="81">
        <f t="shared" si="21"/>
        <v>0</v>
      </c>
      <c r="T121" s="99">
        <f t="shared" si="22"/>
        <v>0</v>
      </c>
    </row>
    <row r="122" spans="1:23" ht="15" customHeight="1" thickTop="1" thickBot="1" x14ac:dyDescent="0.35">
      <c r="C122" s="3" t="s">
        <v>7</v>
      </c>
      <c r="D122" s="4">
        <v>6420.55</v>
      </c>
      <c r="E122" s="142">
        <f>38.72%-W117</f>
        <v>0.38719999999999999</v>
      </c>
      <c r="F122" s="4">
        <v>745.55</v>
      </c>
      <c r="G122" s="8">
        <v>42.86</v>
      </c>
      <c r="H122" s="55"/>
      <c r="I122" s="68">
        <v>0.26400000000000001</v>
      </c>
      <c r="J122" s="64"/>
      <c r="K122" s="159"/>
      <c r="L122" s="122"/>
      <c r="M122" s="23" t="b">
        <f>AND((B112&gt;D121),(B112&lt;=D122))</f>
        <v>0</v>
      </c>
      <c r="N122" s="24">
        <f t="shared" si="24"/>
        <v>0</v>
      </c>
      <c r="O122" s="23"/>
      <c r="P122" s="27">
        <f>B112*E122-F122-(K112*G122)-S122-T122</f>
        <v>-745.55</v>
      </c>
      <c r="Q122" s="25">
        <f t="shared" si="20"/>
        <v>0</v>
      </c>
      <c r="R122" s="92">
        <f t="shared" si="23"/>
        <v>0</v>
      </c>
      <c r="S122" s="81">
        <f t="shared" si="21"/>
        <v>0</v>
      </c>
      <c r="T122" s="99">
        <f t="shared" si="22"/>
        <v>0</v>
      </c>
    </row>
    <row r="123" spans="1:23" ht="15" customHeight="1" thickTop="1" thickBot="1" x14ac:dyDescent="0.35">
      <c r="B123" s="82" t="s">
        <v>61</v>
      </c>
      <c r="C123" s="3" t="s">
        <v>7</v>
      </c>
      <c r="D123" s="4">
        <v>20064.21</v>
      </c>
      <c r="E123" s="142">
        <f>42.51%-W117</f>
        <v>0.42509999999999998</v>
      </c>
      <c r="F123" s="4">
        <v>989.43</v>
      </c>
      <c r="G123" s="8">
        <v>42.86</v>
      </c>
      <c r="H123" s="55"/>
      <c r="I123" s="68">
        <v>0.374</v>
      </c>
      <c r="J123" s="64"/>
      <c r="K123" s="51">
        <v>0</v>
      </c>
      <c r="L123" s="122"/>
      <c r="M123" s="23" t="b">
        <f>AND((B112&gt;D122),(B112&lt;=D123))</f>
        <v>0</v>
      </c>
      <c r="N123" s="24">
        <f t="shared" si="24"/>
        <v>0</v>
      </c>
      <c r="O123" s="23"/>
      <c r="P123" s="27">
        <f>B112*E123-F123-(K112*G123)-S123-T123</f>
        <v>-989.43</v>
      </c>
      <c r="Q123" s="25">
        <f t="shared" si="20"/>
        <v>0</v>
      </c>
      <c r="R123" s="92">
        <f>IF(Q123&gt;0,1,)</f>
        <v>0</v>
      </c>
      <c r="S123" s="81">
        <f t="shared" si="21"/>
        <v>0</v>
      </c>
      <c r="T123" s="99">
        <f t="shared" si="22"/>
        <v>0</v>
      </c>
    </row>
    <row r="124" spans="1:23" ht="15" customHeight="1" thickTop="1" thickBot="1" x14ac:dyDescent="0.35">
      <c r="B124" s="45">
        <f>IFERROR(B115/B112,0)</f>
        <v>0</v>
      </c>
      <c r="C124" s="67" t="s">
        <v>8</v>
      </c>
      <c r="D124" s="4">
        <v>20064.21</v>
      </c>
      <c r="E124" s="142">
        <f>47.17%-W117</f>
        <v>0.47170000000000001</v>
      </c>
      <c r="F124" s="4">
        <v>1923.74</v>
      </c>
      <c r="G124" s="8">
        <v>42.86</v>
      </c>
      <c r="H124" s="55"/>
      <c r="I124" s="68" t="s">
        <v>9</v>
      </c>
      <c r="J124" s="64"/>
      <c r="L124" s="122"/>
      <c r="M124" s="23" t="b">
        <f>AND(B112&gt;D123)</f>
        <v>0</v>
      </c>
      <c r="N124" s="24">
        <f t="shared" si="24"/>
        <v>0</v>
      </c>
      <c r="O124" s="23"/>
      <c r="P124" s="27">
        <f>B112*E124-F124-(K112*G124)-S124-T124</f>
        <v>-1923.74</v>
      </c>
      <c r="Q124" s="25"/>
      <c r="R124" s="92">
        <f>IF(B126="n.a.",1,)</f>
        <v>0</v>
      </c>
      <c r="S124" s="81">
        <f t="shared" si="21"/>
        <v>0</v>
      </c>
      <c r="T124" s="99">
        <f t="shared" si="22"/>
        <v>0</v>
      </c>
    </row>
    <row r="125" spans="1:23" ht="15" customHeight="1" thickTop="1" x14ac:dyDescent="0.3">
      <c r="A125" s="147" t="s">
        <v>62</v>
      </c>
      <c r="B125" s="147"/>
      <c r="C125" s="110">
        <f ca="1">B115*E125</f>
        <v>0</v>
      </c>
      <c r="D125" s="78">
        <f ca="1">MONTH(TODAY())</f>
        <v>4</v>
      </c>
      <c r="E125" s="78">
        <f ca="1">IF(D125=7,2,IF(D125=8,3,IF(D125=9,4,IF(D125=10,5,IF(D125=11,7,IF(D125=12,8,))))))</f>
        <v>0</v>
      </c>
    </row>
    <row r="126" spans="1:23" ht="15" customHeight="1" x14ac:dyDescent="0.3">
      <c r="B126" s="73">
        <f>IF(M124=TRUE,"n.a.",SUM(Q112:Q123))</f>
        <v>0</v>
      </c>
    </row>
    <row r="127" spans="1:23" ht="3" customHeight="1" x14ac:dyDescent="0.3">
      <c r="B127" s="50"/>
      <c r="C127" s="36"/>
      <c r="D127" s="36"/>
      <c r="E127" s="36"/>
      <c r="F127" s="36"/>
      <c r="G127" s="36"/>
      <c r="H127" s="36"/>
      <c r="I127" s="36"/>
      <c r="J127" s="50"/>
      <c r="K127" s="50"/>
    </row>
    <row r="128" spans="1:23" ht="15" customHeight="1" x14ac:dyDescent="0.3"/>
    <row r="129" spans="2:19" ht="15" customHeight="1" x14ac:dyDescent="0.3">
      <c r="C129" s="1" t="s">
        <v>0</v>
      </c>
    </row>
    <row r="130" spans="2:19" ht="15" customHeight="1" x14ac:dyDescent="0.3">
      <c r="C130" s="1" t="s">
        <v>19</v>
      </c>
    </row>
    <row r="131" spans="2:19" ht="15" customHeight="1" x14ac:dyDescent="0.3">
      <c r="C131" s="11" t="s">
        <v>20</v>
      </c>
      <c r="D131" s="11"/>
      <c r="E131" s="11"/>
      <c r="F131" s="11"/>
      <c r="G131" s="12"/>
    </row>
    <row r="132" spans="2:19" ht="15" customHeight="1" x14ac:dyDescent="0.3"/>
    <row r="133" spans="2:19" ht="15" customHeight="1" x14ac:dyDescent="0.3">
      <c r="B133" s="127" t="s">
        <v>79</v>
      </c>
    </row>
    <row r="134" spans="2:19" ht="55" customHeight="1" thickBot="1" x14ac:dyDescent="0.35">
      <c r="B134" s="132" t="s">
        <v>90</v>
      </c>
      <c r="C134" s="1" t="str">
        <f>IF(B134="sim","Tem de ser habitação própria e permanente e não auferir mais de  2 700 euros/mês.","")</f>
        <v/>
      </c>
    </row>
    <row r="135" spans="2:19" ht="80" customHeight="1" thickTop="1" thickBot="1" x14ac:dyDescent="0.35">
      <c r="B135" s="137" t="s">
        <v>95</v>
      </c>
      <c r="C135" s="145" t="s">
        <v>68</v>
      </c>
      <c r="D135" s="146"/>
      <c r="E135" s="86" t="s">
        <v>4</v>
      </c>
      <c r="F135" s="86" t="s">
        <v>66</v>
      </c>
      <c r="G135" s="93"/>
      <c r="H135" s="94"/>
      <c r="I135" s="89" t="s">
        <v>6</v>
      </c>
      <c r="J135" s="64"/>
      <c r="K135" s="19"/>
      <c r="M135" s="22" t="s">
        <v>51</v>
      </c>
      <c r="N135" s="22" t="s">
        <v>50</v>
      </c>
      <c r="O135" s="22" t="s">
        <v>48</v>
      </c>
      <c r="P135" s="22" t="s">
        <v>6</v>
      </c>
      <c r="Q135" s="125" t="s">
        <v>90</v>
      </c>
      <c r="R135" s="124">
        <v>0</v>
      </c>
    </row>
    <row r="136" spans="2:19" ht="15" customHeight="1" thickTop="1" thickBot="1" x14ac:dyDescent="0.35">
      <c r="B136" s="48">
        <v>0</v>
      </c>
      <c r="C136" s="3" t="s">
        <v>7</v>
      </c>
      <c r="D136" s="4">
        <v>1519.41</v>
      </c>
      <c r="E136" s="142">
        <v>0</v>
      </c>
      <c r="F136" s="4">
        <v>0</v>
      </c>
      <c r="H136" s="63"/>
      <c r="I136" s="68">
        <v>0</v>
      </c>
      <c r="J136" s="64"/>
      <c r="K136" s="19"/>
      <c r="M136" s="23" t="b">
        <f>AND(B136&lt;=D136)</f>
        <v>1</v>
      </c>
      <c r="N136" s="24">
        <f t="shared" ref="N136:N145" si="25">IF(M136=TRUE,O136,0)</f>
        <v>0</v>
      </c>
      <c r="O136" s="27">
        <f t="shared" ref="O136:O144" si="26">$B$136*E136-F136</f>
        <v>0</v>
      </c>
      <c r="P136" s="25">
        <f t="shared" ref="P136:P144" si="27">IF(M136=TRUE,I136,0)</f>
        <v>0</v>
      </c>
      <c r="Q136" s="123" t="s">
        <v>78</v>
      </c>
      <c r="R136" s="124">
        <v>1</v>
      </c>
    </row>
    <row r="137" spans="2:19" ht="15" customHeight="1" thickTop="1" thickBot="1" x14ac:dyDescent="0.35">
      <c r="C137" s="3" t="s">
        <v>7</v>
      </c>
      <c r="D137" s="4">
        <v>1971.21</v>
      </c>
      <c r="E137" s="142">
        <f>IF(R140=1,26.5%-S140,26.5%)</f>
        <v>0.26500000000000001</v>
      </c>
      <c r="F137" s="4">
        <v>402.64</v>
      </c>
      <c r="H137" s="63"/>
      <c r="I137" s="68">
        <v>6.0999999999999999E-2</v>
      </c>
      <c r="J137" s="64"/>
      <c r="K137" s="19"/>
      <c r="M137" s="23" t="b">
        <f>AND((B136&gt;D136),(B136&lt;=D137))</f>
        <v>0</v>
      </c>
      <c r="N137" s="24">
        <f>IF(M137=TRUE,O137,0)</f>
        <v>0</v>
      </c>
      <c r="O137" s="27">
        <f t="shared" si="26"/>
        <v>-402.64</v>
      </c>
      <c r="P137" s="25">
        <f t="shared" si="27"/>
        <v>0</v>
      </c>
      <c r="R137" s="124">
        <f>IF(B136=0,0,VLOOKUP(B134,Q135:R136,2,FALSE))</f>
        <v>0</v>
      </c>
    </row>
    <row r="138" spans="2:19" ht="15" customHeight="1" thickTop="1" x14ac:dyDescent="0.3">
      <c r="B138" s="41" t="s">
        <v>58</v>
      </c>
      <c r="C138" s="3" t="s">
        <v>7</v>
      </c>
      <c r="D138" s="4">
        <v>2093.21</v>
      </c>
      <c r="E138" s="142">
        <f>IF(R140=1,28.5%-S140,28.5%)</f>
        <v>0.28499999999999998</v>
      </c>
      <c r="F138" s="4">
        <v>442.07</v>
      </c>
      <c r="H138" s="63"/>
      <c r="I138" s="68">
        <v>7.3999999999999996E-2</v>
      </c>
      <c r="J138" s="64"/>
      <c r="K138" s="19"/>
      <c r="M138" s="23" t="b">
        <f>AND((B136&gt;D137),(B136&lt;=D138))</f>
        <v>0</v>
      </c>
      <c r="N138" s="24">
        <f t="shared" si="25"/>
        <v>0</v>
      </c>
      <c r="O138" s="27">
        <f t="shared" si="26"/>
        <v>-442.07</v>
      </c>
      <c r="P138" s="25">
        <f t="shared" si="27"/>
        <v>0</v>
      </c>
      <c r="R138" s="124"/>
    </row>
    <row r="139" spans="2:19" ht="15" customHeight="1" thickBot="1" x14ac:dyDescent="0.35">
      <c r="B139" s="42">
        <f>IF(ROUNDDOWN(SUM(N136:N145),0)&lt;0,0,ROUNDDOWN(SUM(N136:N145),0))</f>
        <v>0</v>
      </c>
      <c r="C139" s="3" t="s">
        <v>7</v>
      </c>
      <c r="D139" s="4">
        <v>2354.21</v>
      </c>
      <c r="E139" s="142">
        <f>IF(R140=1,35%-S140,35%)</f>
        <v>0.35</v>
      </c>
      <c r="F139" s="4">
        <v>578.13</v>
      </c>
      <c r="H139" s="63"/>
      <c r="I139" s="68">
        <v>0.104</v>
      </c>
      <c r="J139" s="64"/>
      <c r="K139" s="19"/>
      <c r="M139" s="23" t="b">
        <f>AND((B136&gt;D138),(B136&lt;=D139))</f>
        <v>0</v>
      </c>
      <c r="N139" s="24">
        <f t="shared" si="25"/>
        <v>0</v>
      </c>
      <c r="O139" s="27">
        <f t="shared" si="26"/>
        <v>-578.13</v>
      </c>
      <c r="P139" s="25">
        <f t="shared" si="27"/>
        <v>0</v>
      </c>
      <c r="R139" s="124"/>
    </row>
    <row r="140" spans="2:19" ht="15" customHeight="1" thickTop="1" thickBot="1" x14ac:dyDescent="0.35">
      <c r="C140" s="3" t="s">
        <v>7</v>
      </c>
      <c r="D140" s="4">
        <v>4015.41</v>
      </c>
      <c r="E140" s="142">
        <f>IF(R140=1,37%-S140,37%)</f>
        <v>0.37</v>
      </c>
      <c r="F140" s="4">
        <v>625.21</v>
      </c>
      <c r="H140" s="63"/>
      <c r="I140" s="68">
        <v>0.214</v>
      </c>
      <c r="J140" s="64"/>
      <c r="K140" s="19"/>
      <c r="M140" s="23" t="b">
        <f>AND((B136&gt;D139),(B136&lt;=D140))</f>
        <v>0</v>
      </c>
      <c r="N140" s="24">
        <f t="shared" si="25"/>
        <v>0</v>
      </c>
      <c r="O140" s="27">
        <f t="shared" si="26"/>
        <v>-625.21</v>
      </c>
      <c r="P140" s="25">
        <f t="shared" si="27"/>
        <v>0</v>
      </c>
      <c r="R140" s="124">
        <f>IF(B136&lt;=2700,R137,)</f>
        <v>0</v>
      </c>
      <c r="S140" s="126">
        <v>0.02</v>
      </c>
    </row>
    <row r="141" spans="2:19" ht="15" customHeight="1" thickTop="1" x14ac:dyDescent="0.3">
      <c r="B141" s="41" t="s">
        <v>45</v>
      </c>
      <c r="C141" s="3" t="s">
        <v>7</v>
      </c>
      <c r="D141" s="4">
        <v>4252.25</v>
      </c>
      <c r="E141" s="142">
        <v>0.38719999999999999</v>
      </c>
      <c r="F141" s="4">
        <v>694.08</v>
      </c>
      <c r="H141" s="63"/>
      <c r="I141" s="68">
        <v>0.224</v>
      </c>
      <c r="J141" s="64"/>
      <c r="K141" s="19"/>
      <c r="M141" s="23" t="b">
        <f>AND((B136&gt;D140),(B136&lt;=D141))</f>
        <v>0</v>
      </c>
      <c r="N141" s="24">
        <f t="shared" si="25"/>
        <v>0</v>
      </c>
      <c r="O141" s="27">
        <f t="shared" si="26"/>
        <v>-694.08</v>
      </c>
      <c r="P141" s="25">
        <f t="shared" si="27"/>
        <v>0</v>
      </c>
      <c r="R141" s="19"/>
    </row>
    <row r="142" spans="2:19" ht="15" customHeight="1" thickBot="1" x14ac:dyDescent="0.35">
      <c r="B142" s="42">
        <f>ROUND(B136*0.11,2)</f>
        <v>0</v>
      </c>
      <c r="C142" s="3" t="s">
        <v>7</v>
      </c>
      <c r="D142" s="4">
        <v>6527.69</v>
      </c>
      <c r="E142" s="142">
        <v>0.40050000000000002</v>
      </c>
      <c r="F142" s="4">
        <v>750.84</v>
      </c>
      <c r="H142" s="63"/>
      <c r="I142" s="68">
        <v>0.28499999999999998</v>
      </c>
      <c r="J142" s="64"/>
      <c r="K142" s="19"/>
      <c r="M142" s="23" t="b">
        <f>AND((B136&gt;D141),(B136&lt;=D142))</f>
        <v>0</v>
      </c>
      <c r="N142" s="24">
        <f t="shared" si="25"/>
        <v>0</v>
      </c>
      <c r="O142" s="27">
        <f t="shared" si="26"/>
        <v>-750.84</v>
      </c>
      <c r="P142" s="25">
        <f t="shared" si="27"/>
        <v>0</v>
      </c>
      <c r="R142" s="19"/>
    </row>
    <row r="143" spans="2:19" ht="15" customHeight="1" thickTop="1" thickBot="1" x14ac:dyDescent="0.35">
      <c r="C143" s="3" t="s">
        <v>7</v>
      </c>
      <c r="D143" s="4">
        <v>6621.19</v>
      </c>
      <c r="E143" s="142">
        <v>0.42720000000000002</v>
      </c>
      <c r="F143" s="4">
        <v>925.13</v>
      </c>
      <c r="H143" s="63"/>
      <c r="I143" s="68">
        <v>0.28699999999999998</v>
      </c>
      <c r="J143" s="64"/>
      <c r="K143" s="19"/>
      <c r="M143" s="23" t="b">
        <f>AND((B136&gt;D142),(B136&lt;=D143))</f>
        <v>0</v>
      </c>
      <c r="N143" s="24">
        <f t="shared" si="25"/>
        <v>0</v>
      </c>
      <c r="O143" s="27">
        <f t="shared" si="26"/>
        <v>-925.13</v>
      </c>
      <c r="P143" s="25">
        <f t="shared" si="27"/>
        <v>0</v>
      </c>
      <c r="R143" s="19"/>
    </row>
    <row r="144" spans="2:19" ht="15" customHeight="1" thickTop="1" x14ac:dyDescent="0.3">
      <c r="B144" s="41" t="s">
        <v>59</v>
      </c>
      <c r="C144" s="3" t="s">
        <v>7</v>
      </c>
      <c r="D144" s="4">
        <v>20264.849999999999</v>
      </c>
      <c r="E144" s="142">
        <v>0.44950000000000001</v>
      </c>
      <c r="F144" s="4">
        <v>1072.45</v>
      </c>
      <c r="H144" s="63"/>
      <c r="I144" s="68">
        <v>0.39700000000000002</v>
      </c>
      <c r="J144" s="64"/>
      <c r="K144" s="19"/>
      <c r="M144" s="23" t="b">
        <f>AND((B136&gt;D143),(B136&lt;=D144))</f>
        <v>0</v>
      </c>
      <c r="N144" s="24">
        <f t="shared" si="25"/>
        <v>0</v>
      </c>
      <c r="O144" s="27">
        <f t="shared" si="26"/>
        <v>-1072.45</v>
      </c>
      <c r="P144" s="25">
        <f t="shared" si="27"/>
        <v>0</v>
      </c>
      <c r="R144" s="19"/>
    </row>
    <row r="145" spans="1:20" ht="15" customHeight="1" thickBot="1" x14ac:dyDescent="0.35">
      <c r="B145" s="42">
        <f>B136-B139-B142</f>
        <v>0</v>
      </c>
      <c r="C145" s="3" t="s">
        <v>8</v>
      </c>
      <c r="D145" s="4">
        <v>20264.849999999999</v>
      </c>
      <c r="E145" s="142">
        <v>0.47170000000000001</v>
      </c>
      <c r="F145" s="4">
        <v>1523.35</v>
      </c>
      <c r="H145" s="63"/>
      <c r="I145" s="68" t="s">
        <v>9</v>
      </c>
      <c r="J145" s="64"/>
      <c r="K145" s="19"/>
      <c r="M145" s="23" t="b">
        <f>AND(B136&gt;D144)</f>
        <v>0</v>
      </c>
      <c r="N145" s="24">
        <f t="shared" si="25"/>
        <v>0</v>
      </c>
      <c r="O145" s="27">
        <f>B136*E145-F145</f>
        <v>-1523.35</v>
      </c>
      <c r="P145" s="25"/>
      <c r="Q145" s="18"/>
      <c r="R145" s="19"/>
    </row>
    <row r="146" spans="1:20" ht="15" customHeight="1" thickTop="1" thickBot="1" x14ac:dyDescent="0.35">
      <c r="J146" s="1"/>
      <c r="K146" s="1"/>
      <c r="L146" s="120"/>
      <c r="M146" s="15"/>
      <c r="N146" s="16"/>
      <c r="O146" s="15"/>
      <c r="P146" s="15"/>
      <c r="Q146" s="14"/>
      <c r="R146" s="19"/>
    </row>
    <row r="147" spans="1:20" ht="15" customHeight="1" thickTop="1" x14ac:dyDescent="0.3">
      <c r="B147" s="41" t="s">
        <v>61</v>
      </c>
      <c r="J147" s="1"/>
      <c r="K147" s="1"/>
      <c r="L147" s="120"/>
      <c r="N147" s="13"/>
      <c r="Q147" s="14"/>
      <c r="R147" s="19"/>
    </row>
    <row r="148" spans="1:20" ht="15" customHeight="1" thickBot="1" x14ac:dyDescent="0.35">
      <c r="B148" s="45">
        <f>IFERROR(B139/B136,0)</f>
        <v>0</v>
      </c>
      <c r="J148" s="1"/>
      <c r="K148" s="1"/>
      <c r="L148" s="120"/>
      <c r="N148" s="13"/>
      <c r="Q148" s="14"/>
    </row>
    <row r="149" spans="1:20" ht="15" customHeight="1" thickTop="1" x14ac:dyDescent="0.3">
      <c r="A149" s="147" t="s">
        <v>62</v>
      </c>
      <c r="B149" s="148"/>
      <c r="C149" s="110">
        <f ca="1">B139*E149</f>
        <v>0</v>
      </c>
      <c r="D149" s="76">
        <f ca="1">MONTH(TODAY())</f>
        <v>4</v>
      </c>
      <c r="E149" s="77">
        <f ca="1">IF(D149=7,2,IF(D149=8,3,IF(D149=9,4,IF(D149=10,5,IF(D149=11,7,IF(D149=12,8,))))))</f>
        <v>0</v>
      </c>
      <c r="J149" s="1"/>
      <c r="K149" s="1"/>
      <c r="L149" s="120"/>
      <c r="N149" s="13"/>
      <c r="Q149" s="14"/>
    </row>
    <row r="150" spans="1:20" ht="15" customHeight="1" x14ac:dyDescent="0.3">
      <c r="B150" s="73">
        <f>IF(M145=TRUE,"n.a.",SUM(P136:P144))</f>
        <v>0</v>
      </c>
      <c r="J150" s="1"/>
      <c r="K150" s="1"/>
      <c r="L150" s="120"/>
      <c r="N150" s="13"/>
      <c r="Q150" s="14"/>
    </row>
    <row r="151" spans="1:20" ht="3" customHeight="1" x14ac:dyDescent="0.3">
      <c r="B151" s="50"/>
      <c r="C151" s="36"/>
      <c r="D151" s="36"/>
      <c r="E151" s="36"/>
      <c r="F151" s="36"/>
      <c r="G151" s="36"/>
      <c r="H151" s="36"/>
      <c r="I151" s="36"/>
      <c r="J151" s="36"/>
      <c r="K151" s="36"/>
      <c r="L151" s="120"/>
      <c r="N151" s="13"/>
      <c r="Q151" s="14"/>
    </row>
    <row r="152" spans="1:20" ht="15" customHeight="1" x14ac:dyDescent="0.3">
      <c r="J152" s="1"/>
      <c r="K152" s="1"/>
      <c r="L152" s="120"/>
      <c r="N152" s="13"/>
      <c r="Q152" s="14"/>
    </row>
    <row r="153" spans="1:20" ht="15" customHeight="1" x14ac:dyDescent="0.3">
      <c r="C153" s="1" t="s">
        <v>0</v>
      </c>
    </row>
    <row r="154" spans="1:20" ht="15" customHeight="1" x14ac:dyDescent="0.3">
      <c r="C154" s="1" t="s">
        <v>21</v>
      </c>
    </row>
    <row r="155" spans="1:20" ht="15" customHeight="1" x14ac:dyDescent="0.45">
      <c r="C155" s="11" t="s">
        <v>22</v>
      </c>
      <c r="D155" s="11"/>
      <c r="E155" s="11"/>
      <c r="F155" s="11"/>
      <c r="G155" s="95"/>
    </row>
    <row r="156" spans="1:20" ht="15" customHeight="1" x14ac:dyDescent="0.3">
      <c r="J156" s="131"/>
      <c r="K156" s="131"/>
    </row>
    <row r="157" spans="1:20" ht="15" customHeight="1" x14ac:dyDescent="0.3">
      <c r="B157" s="127" t="s">
        <v>79</v>
      </c>
      <c r="J157" s="131"/>
      <c r="K157" s="131"/>
    </row>
    <row r="158" spans="1:20" ht="55" customHeight="1" thickBot="1" x14ac:dyDescent="0.35">
      <c r="B158" s="132" t="s">
        <v>90</v>
      </c>
      <c r="C158" s="1" t="str">
        <f>IF(B158="sim","Tem de ser habitação própria e permanente e não auferir mais de  2 700 euros/mês.","")</f>
        <v/>
      </c>
      <c r="J158" s="131"/>
      <c r="K158" s="131"/>
    </row>
    <row r="159" spans="1:20" ht="70" customHeight="1" thickTop="1" thickBot="1" x14ac:dyDescent="0.35">
      <c r="B159" s="137" t="s">
        <v>93</v>
      </c>
      <c r="C159" s="145" t="s">
        <v>65</v>
      </c>
      <c r="D159" s="146"/>
      <c r="E159" s="86" t="s">
        <v>4</v>
      </c>
      <c r="F159" s="86" t="s">
        <v>66</v>
      </c>
      <c r="G159" s="86" t="s">
        <v>12</v>
      </c>
      <c r="H159" s="88"/>
      <c r="I159" s="89" t="s">
        <v>6</v>
      </c>
      <c r="J159" s="64"/>
      <c r="K159" s="113" t="s">
        <v>92</v>
      </c>
      <c r="M159" s="22" t="s">
        <v>51</v>
      </c>
      <c r="N159" s="22" t="s">
        <v>50</v>
      </c>
      <c r="O159" s="22" t="s">
        <v>48</v>
      </c>
      <c r="P159" s="22" t="s">
        <v>6</v>
      </c>
      <c r="R159" s="79" t="s">
        <v>64</v>
      </c>
      <c r="S159" s="125" t="s">
        <v>90</v>
      </c>
      <c r="T159" s="124">
        <v>0</v>
      </c>
    </row>
    <row r="160" spans="1:20" ht="15" customHeight="1" thickTop="1" thickBot="1" x14ac:dyDescent="0.35">
      <c r="B160" s="48">
        <v>0</v>
      </c>
      <c r="C160" s="3" t="s">
        <v>7</v>
      </c>
      <c r="D160" s="4">
        <v>1677.09</v>
      </c>
      <c r="E160" s="142">
        <v>0</v>
      </c>
      <c r="F160" s="4">
        <v>0</v>
      </c>
      <c r="G160" s="8">
        <v>0</v>
      </c>
      <c r="H160" s="55"/>
      <c r="I160" s="68">
        <v>0</v>
      </c>
      <c r="J160" s="64"/>
      <c r="K160" s="51">
        <v>0</v>
      </c>
      <c r="L160" s="122"/>
      <c r="M160" s="23" t="b">
        <f>AND(B160&lt;=D160)</f>
        <v>1</v>
      </c>
      <c r="N160" s="24">
        <f>IF(M160=TRUE,O160,0)</f>
        <v>0</v>
      </c>
      <c r="O160" s="24">
        <f>$B$160*E160-F160-(K160*G160)</f>
        <v>0</v>
      </c>
      <c r="P160" s="25">
        <f t="shared" ref="P160:P168" si="28">IF(M160=TRUE,I160,0)</f>
        <v>0</v>
      </c>
      <c r="Q160" s="10">
        <v>0</v>
      </c>
      <c r="R160" s="80">
        <v>0</v>
      </c>
      <c r="S160" s="123" t="s">
        <v>78</v>
      </c>
      <c r="T160" s="124">
        <v>1</v>
      </c>
    </row>
    <row r="161" spans="1:21" ht="15" customHeight="1" thickTop="1" thickBot="1" x14ac:dyDescent="0.35">
      <c r="C161" s="3" t="s">
        <v>7</v>
      </c>
      <c r="D161" s="4">
        <v>2042.64</v>
      </c>
      <c r="E161" s="142">
        <f>IF(T164=1,26.5%-U164,26.5%)-U165</f>
        <v>0.26500000000000001</v>
      </c>
      <c r="F161" s="4">
        <v>401.57</v>
      </c>
      <c r="G161" s="8">
        <v>42.86</v>
      </c>
      <c r="H161" s="55"/>
      <c r="I161" s="68">
        <v>4.7E-2</v>
      </c>
      <c r="J161" s="64"/>
      <c r="K161" s="152" t="s">
        <v>104</v>
      </c>
      <c r="L161" s="122"/>
      <c r="M161" s="23" t="b">
        <f t="shared" ref="M161:M168" si="29">AND(($B$160&gt;D160),($B$160&lt;=D161))</f>
        <v>0</v>
      </c>
      <c r="N161" s="24">
        <f>IF(M161=TRUE,O161,0)</f>
        <v>0</v>
      </c>
      <c r="O161" s="27">
        <f t="shared" ref="O161:O169" si="30">$B$160*E161-F161-($K$160*G161)-R161</f>
        <v>-401.57</v>
      </c>
      <c r="P161" s="25">
        <f t="shared" si="28"/>
        <v>0</v>
      </c>
      <c r="Q161" s="92">
        <f>IF(P161&gt;0,1,)</f>
        <v>0</v>
      </c>
      <c r="R161" s="81">
        <f t="shared" ref="R161:R169" si="31">IF(Q161=0,0,IF($K$165&gt;=1,84.82*$K$165,))</f>
        <v>0</v>
      </c>
      <c r="T161" s="124">
        <f>IF(B160=0,0,VLOOKUP(B158,S159:T160,2,FALSE))</f>
        <v>0</v>
      </c>
    </row>
    <row r="162" spans="1:21" ht="15" customHeight="1" thickTop="1" x14ac:dyDescent="0.3">
      <c r="B162" s="41" t="s">
        <v>58</v>
      </c>
      <c r="C162" s="3" t="s">
        <v>7</v>
      </c>
      <c r="D162" s="4">
        <v>2307.5</v>
      </c>
      <c r="E162" s="142">
        <f>IF(T164=1,28.5%-U164,28.5%)-U165</f>
        <v>0.28499999999999998</v>
      </c>
      <c r="F162" s="4">
        <v>442.42</v>
      </c>
      <c r="G162" s="8">
        <v>42.86</v>
      </c>
      <c r="H162" s="55"/>
      <c r="I162" s="68">
        <v>7.4999999999999997E-2</v>
      </c>
      <c r="J162" s="64"/>
      <c r="K162" s="153"/>
      <c r="L162" s="122"/>
      <c r="M162" s="23" t="b">
        <f t="shared" si="29"/>
        <v>0</v>
      </c>
      <c r="N162" s="24">
        <f>IF(M162=TRUE,O162,0)</f>
        <v>0</v>
      </c>
      <c r="O162" s="27">
        <f t="shared" si="30"/>
        <v>-442.42</v>
      </c>
      <c r="P162" s="25">
        <f t="shared" si="28"/>
        <v>0</v>
      </c>
      <c r="Q162" s="92">
        <f>IF(P162&gt;0,1,)</f>
        <v>0</v>
      </c>
      <c r="R162" s="81">
        <f t="shared" si="31"/>
        <v>0</v>
      </c>
      <c r="T162" s="124"/>
    </row>
    <row r="163" spans="1:21" ht="15" customHeight="1" thickBot="1" x14ac:dyDescent="0.35">
      <c r="B163" s="42">
        <f>IF(ROUNDDOWN(SUM(N160:N169),0)&lt;0,0,ROUNDDOWN(SUM(N160:N169),0))</f>
        <v>0</v>
      </c>
      <c r="C163" s="3" t="s">
        <v>7</v>
      </c>
      <c r="D163" s="4">
        <v>2425.64</v>
      </c>
      <c r="E163" s="142">
        <f>IF(T164=1,35%-U164,35%)-U165</f>
        <v>0.35</v>
      </c>
      <c r="F163" s="4">
        <v>592.41</v>
      </c>
      <c r="G163" s="8">
        <v>42.86</v>
      </c>
      <c r="H163" s="55"/>
      <c r="I163" s="68">
        <v>8.7999999999999995E-2</v>
      </c>
      <c r="J163" s="64"/>
      <c r="K163" s="153"/>
      <c r="L163" s="122"/>
      <c r="M163" s="23" t="b">
        <f t="shared" si="29"/>
        <v>0</v>
      </c>
      <c r="N163" s="24">
        <f>IF(M163=TRUE,O163,0)</f>
        <v>0</v>
      </c>
      <c r="O163" s="27">
        <f t="shared" si="30"/>
        <v>-592.41</v>
      </c>
      <c r="P163" s="25">
        <f t="shared" si="28"/>
        <v>0</v>
      </c>
      <c r="Q163" s="92">
        <f>IF(P163&gt;0,1,)</f>
        <v>0</v>
      </c>
      <c r="R163" s="81">
        <f t="shared" si="31"/>
        <v>0</v>
      </c>
      <c r="T163" s="124"/>
    </row>
    <row r="164" spans="1:21" ht="15" customHeight="1" thickTop="1" thickBot="1" x14ac:dyDescent="0.35">
      <c r="C164" s="3" t="s">
        <v>7</v>
      </c>
      <c r="D164" s="4">
        <v>3743.98</v>
      </c>
      <c r="E164" s="142">
        <f>IF(T164=1,37%-U164,37%)-U165</f>
        <v>0.37</v>
      </c>
      <c r="F164" s="4">
        <v>640.91999999999996</v>
      </c>
      <c r="G164" s="8">
        <v>42.86</v>
      </c>
      <c r="H164" s="55"/>
      <c r="I164" s="68">
        <v>0.187</v>
      </c>
      <c r="J164" s="64"/>
      <c r="K164" s="153"/>
      <c r="L164" s="122"/>
      <c r="M164" s="23" t="b">
        <f t="shared" si="29"/>
        <v>0</v>
      </c>
      <c r="N164" s="24">
        <f>IF(M164=TRUE,O164,0)</f>
        <v>0</v>
      </c>
      <c r="O164" s="27">
        <f t="shared" si="30"/>
        <v>-640.91999999999996</v>
      </c>
      <c r="P164" s="25">
        <f t="shared" si="28"/>
        <v>0</v>
      </c>
      <c r="Q164" s="92">
        <f t="shared" ref="Q164:Q166" si="32">IF(P164&gt;0,1,)</f>
        <v>0</v>
      </c>
      <c r="R164" s="81">
        <f t="shared" si="31"/>
        <v>0</v>
      </c>
      <c r="T164" s="124">
        <f>IF(B160&lt;=2700,T161,)</f>
        <v>0</v>
      </c>
      <c r="U164" s="126">
        <v>0.02</v>
      </c>
    </row>
    <row r="165" spans="1:21" ht="15" customHeight="1" thickTop="1" thickBot="1" x14ac:dyDescent="0.35">
      <c r="B165" s="41" t="s">
        <v>45</v>
      </c>
      <c r="C165" s="3" t="s">
        <v>7</v>
      </c>
      <c r="D165" s="4">
        <v>4252.25</v>
      </c>
      <c r="E165" s="142">
        <f>38.72%-U165</f>
        <v>0.38719999999999999</v>
      </c>
      <c r="F165" s="4">
        <v>705.13</v>
      </c>
      <c r="G165" s="8">
        <v>42.86</v>
      </c>
      <c r="H165" s="55"/>
      <c r="I165" s="68">
        <v>0.21099999999999999</v>
      </c>
      <c r="J165" s="64"/>
      <c r="K165" s="51">
        <v>0</v>
      </c>
      <c r="L165" s="122"/>
      <c r="M165" s="23" t="b">
        <f t="shared" si="29"/>
        <v>0</v>
      </c>
      <c r="N165" s="24">
        <f t="shared" ref="N165:N169" si="33">IF(M165=TRUE,O165,0)</f>
        <v>0</v>
      </c>
      <c r="O165" s="27">
        <f t="shared" si="30"/>
        <v>-705.13</v>
      </c>
      <c r="P165" s="25">
        <f t="shared" si="28"/>
        <v>0</v>
      </c>
      <c r="Q165" s="92">
        <f t="shared" si="32"/>
        <v>0</v>
      </c>
      <c r="R165" s="81">
        <f t="shared" si="31"/>
        <v>0</v>
      </c>
      <c r="U165" s="126">
        <f>IF(K160&gt;=3,1%,)</f>
        <v>0</v>
      </c>
    </row>
    <row r="166" spans="1:21" ht="15" customHeight="1" thickTop="1" thickBot="1" x14ac:dyDescent="0.35">
      <c r="B166" s="42">
        <f>ROUND(B160*0.11,2)</f>
        <v>0</v>
      </c>
      <c r="C166" s="3" t="s">
        <v>7</v>
      </c>
      <c r="D166" s="4">
        <v>6527.69</v>
      </c>
      <c r="E166" s="142">
        <f>40.05%-U165</f>
        <v>0.40049999999999997</v>
      </c>
      <c r="F166" s="4">
        <v>761.9</v>
      </c>
      <c r="G166" s="8">
        <v>42.86</v>
      </c>
      <c r="H166" s="55"/>
      <c r="I166" s="68">
        <v>0.27700000000000002</v>
      </c>
      <c r="J166" s="64"/>
      <c r="K166" s="111"/>
      <c r="M166" s="23" t="b">
        <f t="shared" si="29"/>
        <v>0</v>
      </c>
      <c r="N166" s="24">
        <f t="shared" si="33"/>
        <v>0</v>
      </c>
      <c r="O166" s="27">
        <f t="shared" si="30"/>
        <v>-761.9</v>
      </c>
      <c r="P166" s="25">
        <f t="shared" si="28"/>
        <v>0</v>
      </c>
      <c r="Q166" s="92">
        <f t="shared" si="32"/>
        <v>0</v>
      </c>
      <c r="R166" s="81">
        <f t="shared" si="31"/>
        <v>0</v>
      </c>
    </row>
    <row r="167" spans="1:21" ht="15" customHeight="1" thickTop="1" thickBot="1" x14ac:dyDescent="0.35">
      <c r="C167" s="3" t="s">
        <v>7</v>
      </c>
      <c r="D167" s="4">
        <v>6621.19</v>
      </c>
      <c r="E167" s="142">
        <f>42.72%-U165</f>
        <v>0.42719999999999997</v>
      </c>
      <c r="F167" s="4">
        <v>936.19</v>
      </c>
      <c r="G167" s="8">
        <v>42.86</v>
      </c>
      <c r="H167" s="55"/>
      <c r="I167" s="68">
        <v>0.27900000000000003</v>
      </c>
      <c r="J167" s="64"/>
      <c r="K167" s="19"/>
      <c r="M167" s="23" t="b">
        <f t="shared" si="29"/>
        <v>0</v>
      </c>
      <c r="N167" s="24">
        <f t="shared" si="33"/>
        <v>0</v>
      </c>
      <c r="O167" s="27">
        <f t="shared" si="30"/>
        <v>-936.19</v>
      </c>
      <c r="P167" s="25">
        <f t="shared" si="28"/>
        <v>0</v>
      </c>
      <c r="Q167" s="92">
        <f>IF(P167&gt;0,1,)</f>
        <v>0</v>
      </c>
      <c r="R167" s="81">
        <f t="shared" si="31"/>
        <v>0</v>
      </c>
    </row>
    <row r="168" spans="1:21" ht="15" customHeight="1" thickTop="1" x14ac:dyDescent="0.3">
      <c r="B168" s="41" t="s">
        <v>59</v>
      </c>
      <c r="C168" s="3" t="s">
        <v>7</v>
      </c>
      <c r="D168" s="4">
        <v>20264.849999999999</v>
      </c>
      <c r="E168" s="142">
        <f>44.95%-U165</f>
        <v>0.44950000000000001</v>
      </c>
      <c r="F168" s="4">
        <v>1083.51</v>
      </c>
      <c r="G168" s="8">
        <v>42.86</v>
      </c>
      <c r="H168" s="55"/>
      <c r="I168" s="68">
        <v>0.39400000000000002</v>
      </c>
      <c r="J168" s="64"/>
      <c r="K168" s="19"/>
      <c r="M168" s="23" t="b">
        <f t="shared" si="29"/>
        <v>0</v>
      </c>
      <c r="N168" s="24">
        <f t="shared" si="33"/>
        <v>0</v>
      </c>
      <c r="O168" s="27">
        <f t="shared" si="30"/>
        <v>-1083.51</v>
      </c>
      <c r="P168" s="25">
        <f t="shared" si="28"/>
        <v>0</v>
      </c>
      <c r="Q168" s="92">
        <f>IF(P168&gt;0,1,)</f>
        <v>0</v>
      </c>
      <c r="R168" s="81">
        <f t="shared" si="31"/>
        <v>0</v>
      </c>
    </row>
    <row r="169" spans="1:21" ht="15" customHeight="1" thickBot="1" x14ac:dyDescent="0.35">
      <c r="B169" s="42">
        <f>B160-B163-B166</f>
        <v>0</v>
      </c>
      <c r="C169" s="3" t="s">
        <v>8</v>
      </c>
      <c r="D169" s="4">
        <v>20264.849999999999</v>
      </c>
      <c r="E169" s="142">
        <f>47.17%-U165</f>
        <v>0.47170000000000001</v>
      </c>
      <c r="F169" s="4">
        <v>1534.4</v>
      </c>
      <c r="G169" s="8">
        <v>42.86</v>
      </c>
      <c r="H169" s="55"/>
      <c r="I169" s="68" t="s">
        <v>9</v>
      </c>
      <c r="J169" s="64"/>
      <c r="K169" s="19"/>
      <c r="M169" s="23" t="b">
        <f>AND(B160&gt;D168)</f>
        <v>0</v>
      </c>
      <c r="N169" s="28">
        <f t="shared" si="33"/>
        <v>0</v>
      </c>
      <c r="O169" s="27">
        <f t="shared" si="30"/>
        <v>-1534.4</v>
      </c>
      <c r="P169" s="29"/>
      <c r="Q169" s="92">
        <f>IF(B174="n.a.",1,)</f>
        <v>0</v>
      </c>
      <c r="R169" s="81">
        <f t="shared" si="31"/>
        <v>0</v>
      </c>
    </row>
    <row r="170" spans="1:21" ht="15" customHeight="1" thickTop="1" thickBot="1" x14ac:dyDescent="0.35">
      <c r="J170" s="1"/>
      <c r="K170" s="1"/>
      <c r="L170" s="120"/>
      <c r="N170" s="15"/>
      <c r="O170" s="16"/>
      <c r="P170" s="15"/>
    </row>
    <row r="171" spans="1:21" ht="15" customHeight="1" thickTop="1" x14ac:dyDescent="0.3">
      <c r="B171" s="41" t="s">
        <v>61</v>
      </c>
      <c r="J171" s="1"/>
      <c r="K171" s="1"/>
      <c r="L171" s="120"/>
      <c r="O171" s="13"/>
    </row>
    <row r="172" spans="1:21" ht="15" customHeight="1" thickBot="1" x14ac:dyDescent="0.35">
      <c r="B172" s="45">
        <f>IFERROR(B163/B160,0)</f>
        <v>0</v>
      </c>
      <c r="J172" s="1"/>
      <c r="K172" s="1"/>
      <c r="L172" s="120"/>
      <c r="O172" s="13"/>
    </row>
    <row r="173" spans="1:21" ht="15" customHeight="1" thickTop="1" x14ac:dyDescent="0.3">
      <c r="A173" s="147" t="s">
        <v>62</v>
      </c>
      <c r="B173" s="148"/>
      <c r="C173" s="110">
        <f ca="1">B163*E173</f>
        <v>0</v>
      </c>
      <c r="D173" s="76">
        <f ca="1">MONTH(TODAY())</f>
        <v>4</v>
      </c>
      <c r="E173" s="77">
        <f ca="1">IF(D173=7,2,IF(D173=8,3,IF(D173=9,4,IF(D173=10,5,IF(D173=11,7,IF(D173=12,8,))))))</f>
        <v>0</v>
      </c>
      <c r="J173" s="1"/>
      <c r="K173" s="1"/>
      <c r="L173" s="120"/>
      <c r="O173" s="13"/>
    </row>
    <row r="174" spans="1:21" ht="15" customHeight="1" x14ac:dyDescent="0.3">
      <c r="B174" s="73">
        <f>IF(M169=TRUE,"n.a.",SUM(P160:P168))</f>
        <v>0</v>
      </c>
      <c r="J174" s="1"/>
      <c r="K174" s="1"/>
      <c r="L174" s="120"/>
      <c r="O174" s="13"/>
      <c r="R174" s="14"/>
    </row>
    <row r="175" spans="1:21" ht="3" customHeight="1" x14ac:dyDescent="0.3">
      <c r="B175" s="50"/>
      <c r="C175" s="36"/>
      <c r="D175" s="36"/>
      <c r="E175" s="36"/>
      <c r="F175" s="36"/>
      <c r="G175" s="36"/>
      <c r="H175" s="36"/>
      <c r="I175" s="36"/>
      <c r="J175" s="36"/>
      <c r="K175" s="36"/>
      <c r="L175" s="120"/>
      <c r="O175" s="13"/>
      <c r="R175" s="14"/>
    </row>
    <row r="176" spans="1:21" ht="15" customHeight="1" x14ac:dyDescent="0.3">
      <c r="J176" s="1"/>
      <c r="K176" s="1"/>
      <c r="L176" s="120"/>
      <c r="O176" s="13"/>
      <c r="R176" s="14"/>
    </row>
    <row r="177" spans="2:21" ht="15" customHeight="1" x14ac:dyDescent="0.3">
      <c r="C177" s="1" t="s">
        <v>0</v>
      </c>
    </row>
    <row r="178" spans="2:21" ht="15" customHeight="1" x14ac:dyDescent="0.3">
      <c r="C178" s="1" t="s">
        <v>23</v>
      </c>
    </row>
    <row r="179" spans="2:21" ht="15" customHeight="1" x14ac:dyDescent="0.3">
      <c r="C179" s="11" t="s">
        <v>24</v>
      </c>
      <c r="D179" s="11"/>
      <c r="E179" s="11"/>
      <c r="F179" s="11"/>
      <c r="G179" s="11"/>
    </row>
    <row r="180" spans="2:21" ht="15" customHeight="1" x14ac:dyDescent="0.3">
      <c r="J180" s="131"/>
      <c r="K180" s="131"/>
    </row>
    <row r="181" spans="2:21" ht="15" customHeight="1" x14ac:dyDescent="0.3">
      <c r="B181" s="127" t="s">
        <v>79</v>
      </c>
      <c r="J181" s="131"/>
      <c r="K181" s="131"/>
    </row>
    <row r="182" spans="2:21" ht="55" customHeight="1" thickBot="1" x14ac:dyDescent="0.35">
      <c r="B182" s="132" t="s">
        <v>90</v>
      </c>
      <c r="C182" s="1" t="str">
        <f>IF(B182="sim","Tem de ser habitação própria e permanente e não auferir mais de  2 700 euros/mês.","")</f>
        <v/>
      </c>
      <c r="J182" s="131"/>
      <c r="K182" s="131"/>
    </row>
    <row r="183" spans="2:21" ht="70" customHeight="1" thickTop="1" thickBot="1" x14ac:dyDescent="0.35">
      <c r="B183" s="137" t="s">
        <v>93</v>
      </c>
      <c r="C183" s="145" t="s">
        <v>3</v>
      </c>
      <c r="D183" s="146"/>
      <c r="E183" s="86" t="s">
        <v>4</v>
      </c>
      <c r="F183" s="86" t="s">
        <v>66</v>
      </c>
      <c r="G183" s="86" t="s">
        <v>12</v>
      </c>
      <c r="H183" s="88"/>
      <c r="I183" s="89" t="s">
        <v>6</v>
      </c>
      <c r="J183" s="64"/>
      <c r="K183" s="113" t="s">
        <v>92</v>
      </c>
      <c r="M183" s="22" t="s">
        <v>51</v>
      </c>
      <c r="N183" s="22" t="s">
        <v>50</v>
      </c>
      <c r="O183" s="22" t="s">
        <v>48</v>
      </c>
      <c r="P183" s="22" t="s">
        <v>6</v>
      </c>
      <c r="R183" s="79" t="s">
        <v>64</v>
      </c>
      <c r="S183" s="125" t="s">
        <v>90</v>
      </c>
      <c r="T183" s="124">
        <v>0</v>
      </c>
    </row>
    <row r="184" spans="2:21" ht="15" customHeight="1" thickTop="1" thickBot="1" x14ac:dyDescent="0.35">
      <c r="B184" s="48">
        <v>0</v>
      </c>
      <c r="C184" s="3" t="s">
        <v>7</v>
      </c>
      <c r="D184" s="4">
        <v>1574.66</v>
      </c>
      <c r="E184" s="142">
        <v>0</v>
      </c>
      <c r="F184" s="4">
        <v>0</v>
      </c>
      <c r="G184" s="8">
        <v>0</v>
      </c>
      <c r="H184" s="55"/>
      <c r="I184" s="68">
        <v>0</v>
      </c>
      <c r="J184" s="64"/>
      <c r="K184" s="51">
        <v>0</v>
      </c>
      <c r="L184" s="122"/>
      <c r="M184" s="23" t="b">
        <f>AND(B184&lt;=D184)</f>
        <v>1</v>
      </c>
      <c r="N184" s="24">
        <f>IF(M184=TRUE,O184,0)</f>
        <v>0</v>
      </c>
      <c r="O184" s="24">
        <f>$B$160*E184-F184-($K$184*G184)</f>
        <v>0</v>
      </c>
      <c r="P184" s="25">
        <f t="shared" ref="P184:P192" si="34">IF(M184=TRUE,I184,0)</f>
        <v>0</v>
      </c>
      <c r="Q184" s="10">
        <v>0</v>
      </c>
      <c r="R184" s="80">
        <v>0</v>
      </c>
      <c r="S184" s="123" t="s">
        <v>78</v>
      </c>
      <c r="T184" s="124">
        <v>1</v>
      </c>
    </row>
    <row r="185" spans="2:21" ht="15" customHeight="1" thickTop="1" thickBot="1" x14ac:dyDescent="0.35">
      <c r="C185" s="3" t="s">
        <v>7</v>
      </c>
      <c r="D185" s="4">
        <v>2185.5</v>
      </c>
      <c r="E185" s="142">
        <f>IF(T188=1,26.5%-U188,26.5%)-U189</f>
        <v>0.26500000000000001</v>
      </c>
      <c r="F185" s="4">
        <v>395.86</v>
      </c>
      <c r="G185" s="8">
        <v>21.43</v>
      </c>
      <c r="H185" s="55"/>
      <c r="I185" s="68">
        <v>7.3999999999999996E-2</v>
      </c>
      <c r="J185" s="64"/>
      <c r="K185" s="152" t="s">
        <v>104</v>
      </c>
      <c r="L185" s="122"/>
      <c r="M185" s="23" t="b">
        <f t="shared" ref="M185:M192" si="35">AND(($B$184&gt;D184),($B$184&lt;=D185))</f>
        <v>0</v>
      </c>
      <c r="N185" s="24">
        <f>IF(M185=TRUE,O185,0)</f>
        <v>0</v>
      </c>
      <c r="O185" s="27">
        <f t="shared" ref="O185:O193" si="36">$B$184*E185-F185-($K$184*G185)-R185</f>
        <v>-395.86</v>
      </c>
      <c r="P185" s="25">
        <f t="shared" si="34"/>
        <v>0</v>
      </c>
      <c r="Q185" s="92">
        <f>IF(P185&gt;0,1,)</f>
        <v>0</v>
      </c>
      <c r="R185" s="81">
        <f t="shared" ref="R185:R193" si="37">IF(Q185=0,0,IF($K$189&gt;=1,42.41*$K$189,))</f>
        <v>0</v>
      </c>
      <c r="T185" s="124">
        <f>IF(B184=0,0,VLOOKUP(B182,S183:T184,2,FALSE))</f>
        <v>0</v>
      </c>
    </row>
    <row r="186" spans="2:21" ht="15" customHeight="1" thickTop="1" x14ac:dyDescent="0.3">
      <c r="B186" s="41" t="s">
        <v>58</v>
      </c>
      <c r="C186" s="3" t="s">
        <v>7</v>
      </c>
      <c r="D186" s="4">
        <v>2307.5</v>
      </c>
      <c r="E186" s="142">
        <f>IF(T188=1,28.5%-U188,28.5%)-U189</f>
        <v>0.28499999999999998</v>
      </c>
      <c r="F186" s="4">
        <v>439.57</v>
      </c>
      <c r="G186" s="8">
        <v>21.43</v>
      </c>
      <c r="H186" s="55"/>
      <c r="I186" s="68">
        <v>8.5000000000000006E-2</v>
      </c>
      <c r="J186" s="64"/>
      <c r="K186" s="153"/>
      <c r="L186" s="122"/>
      <c r="M186" s="23" t="b">
        <f t="shared" si="35"/>
        <v>0</v>
      </c>
      <c r="N186" s="24">
        <f>IF(M186=TRUE,O186,0)</f>
        <v>0</v>
      </c>
      <c r="O186" s="27">
        <f t="shared" si="36"/>
        <v>-439.57</v>
      </c>
      <c r="P186" s="25">
        <f t="shared" si="34"/>
        <v>0</v>
      </c>
      <c r="Q186" s="92">
        <f>IF(P186&gt;0,1,)</f>
        <v>0</v>
      </c>
      <c r="R186" s="81">
        <f t="shared" si="37"/>
        <v>0</v>
      </c>
      <c r="T186" s="124"/>
    </row>
    <row r="187" spans="2:21" ht="15" customHeight="1" thickBot="1" x14ac:dyDescent="0.35">
      <c r="B187" s="42">
        <f>IF(ROUNDDOWN(SUM(N184:N193),0)&lt;0,0,ROUNDDOWN(SUM(N184:N193),0))</f>
        <v>0</v>
      </c>
      <c r="C187" s="3" t="s">
        <v>7</v>
      </c>
      <c r="D187" s="4">
        <v>2354.21</v>
      </c>
      <c r="E187" s="142">
        <f>IF(T188=1,35%-U188,35%)-U189</f>
        <v>0.35</v>
      </c>
      <c r="F187" s="4">
        <v>589.54999999999995</v>
      </c>
      <c r="G187" s="8">
        <v>21.43</v>
      </c>
      <c r="H187" s="55"/>
      <c r="I187" s="68">
        <v>0.09</v>
      </c>
      <c r="J187" s="64"/>
      <c r="K187" s="153"/>
      <c r="L187" s="122"/>
      <c r="M187" s="23" t="b">
        <f t="shared" si="35"/>
        <v>0</v>
      </c>
      <c r="N187" s="24">
        <f>IF(M187=TRUE,O187,0)</f>
        <v>0</v>
      </c>
      <c r="O187" s="27">
        <f t="shared" si="36"/>
        <v>-589.54999999999995</v>
      </c>
      <c r="P187" s="25">
        <f t="shared" si="34"/>
        <v>0</v>
      </c>
      <c r="Q187" s="92">
        <f>IF(P187&gt;0,1,)</f>
        <v>0</v>
      </c>
      <c r="R187" s="81">
        <f t="shared" si="37"/>
        <v>0</v>
      </c>
      <c r="T187" s="124"/>
    </row>
    <row r="188" spans="2:21" ht="15" customHeight="1" thickTop="1" thickBot="1" x14ac:dyDescent="0.35">
      <c r="C188" s="3" t="s">
        <v>7</v>
      </c>
      <c r="D188" s="4">
        <v>3301.12</v>
      </c>
      <c r="E188" s="142">
        <f>IF(T188=1,37%-U188,37%)-U189</f>
        <v>0.37</v>
      </c>
      <c r="F188" s="4">
        <v>636.64</v>
      </c>
      <c r="G188" s="8">
        <v>21.43</v>
      </c>
      <c r="H188" s="55"/>
      <c r="I188" s="68">
        <v>0.17100000000000001</v>
      </c>
      <c r="J188" s="64"/>
      <c r="K188" s="153"/>
      <c r="L188" s="122"/>
      <c r="M188" s="23" t="b">
        <f t="shared" si="35"/>
        <v>0</v>
      </c>
      <c r="N188" s="24">
        <f>IF(M188=TRUE,O188,0)</f>
        <v>0</v>
      </c>
      <c r="O188" s="27">
        <f t="shared" si="36"/>
        <v>-636.64</v>
      </c>
      <c r="P188" s="25">
        <f t="shared" si="34"/>
        <v>0</v>
      </c>
      <c r="Q188" s="92">
        <f t="shared" ref="Q188:Q190" si="38">IF(P188&gt;0,1,)</f>
        <v>0</v>
      </c>
      <c r="R188" s="81">
        <f t="shared" si="37"/>
        <v>0</v>
      </c>
      <c r="T188" s="124">
        <f>IF(B184&lt;=2700,T185,)</f>
        <v>0</v>
      </c>
      <c r="U188" s="126">
        <v>0.02</v>
      </c>
    </row>
    <row r="189" spans="2:21" ht="15" customHeight="1" thickTop="1" thickBot="1" x14ac:dyDescent="0.35">
      <c r="B189" s="41" t="s">
        <v>45</v>
      </c>
      <c r="C189" s="3" t="s">
        <v>7</v>
      </c>
      <c r="D189" s="4">
        <v>4252.25</v>
      </c>
      <c r="E189" s="142">
        <f>38.72%-U189</f>
        <v>0.38719999999999999</v>
      </c>
      <c r="F189" s="4">
        <v>693.25</v>
      </c>
      <c r="G189" s="8">
        <v>21.43</v>
      </c>
      <c r="H189" s="55"/>
      <c r="I189" s="68">
        <v>0.219</v>
      </c>
      <c r="J189" s="64"/>
      <c r="K189" s="51">
        <v>0</v>
      </c>
      <c r="L189" s="122"/>
      <c r="M189" s="23" t="b">
        <f t="shared" si="35"/>
        <v>0</v>
      </c>
      <c r="N189" s="24">
        <f t="shared" ref="N189:N193" si="39">IF(M189=TRUE,O189,0)</f>
        <v>0</v>
      </c>
      <c r="O189" s="27">
        <f t="shared" si="36"/>
        <v>-693.25</v>
      </c>
      <c r="P189" s="25">
        <f t="shared" si="34"/>
        <v>0</v>
      </c>
      <c r="Q189" s="92">
        <f t="shared" si="38"/>
        <v>0</v>
      </c>
      <c r="R189" s="81">
        <f t="shared" si="37"/>
        <v>0</v>
      </c>
      <c r="U189" s="126">
        <f>IF(K184&gt;=3,1%,)</f>
        <v>0</v>
      </c>
    </row>
    <row r="190" spans="2:21" ht="15" customHeight="1" thickTop="1" thickBot="1" x14ac:dyDescent="0.35">
      <c r="B190" s="42">
        <f>ROUND(B184*0.11,2)</f>
        <v>0</v>
      </c>
      <c r="C190" s="3" t="s">
        <v>7</v>
      </c>
      <c r="D190" s="4">
        <v>6527.69</v>
      </c>
      <c r="E190" s="142">
        <f>40.05%-U189</f>
        <v>0.40049999999999997</v>
      </c>
      <c r="F190" s="4">
        <v>750.02</v>
      </c>
      <c r="G190" s="8">
        <v>21.43</v>
      </c>
      <c r="H190" s="55"/>
      <c r="I190" s="68">
        <v>0.28199999999999997</v>
      </c>
      <c r="J190" s="64"/>
      <c r="K190" s="111"/>
      <c r="M190" s="23" t="b">
        <f t="shared" si="35"/>
        <v>0</v>
      </c>
      <c r="N190" s="24">
        <f>IF(M190=TRUE,O190,0)</f>
        <v>0</v>
      </c>
      <c r="O190" s="27">
        <f t="shared" si="36"/>
        <v>-750.02</v>
      </c>
      <c r="P190" s="25">
        <f t="shared" si="34"/>
        <v>0</v>
      </c>
      <c r="Q190" s="92">
        <f t="shared" si="38"/>
        <v>0</v>
      </c>
      <c r="R190" s="81">
        <f t="shared" si="37"/>
        <v>0</v>
      </c>
    </row>
    <row r="191" spans="2:21" ht="15" customHeight="1" thickTop="1" thickBot="1" x14ac:dyDescent="0.35">
      <c r="C191" s="3" t="s">
        <v>7</v>
      </c>
      <c r="D191" s="4">
        <v>6621.19</v>
      </c>
      <c r="E191" s="142">
        <f>42.72%-U189</f>
        <v>0.42719999999999997</v>
      </c>
      <c r="F191" s="4">
        <v>924.31</v>
      </c>
      <c r="G191" s="8">
        <v>21.43</v>
      </c>
      <c r="H191" s="55"/>
      <c r="I191" s="68">
        <v>0.28399999999999997</v>
      </c>
      <c r="J191" s="64"/>
      <c r="K191" s="19"/>
      <c r="M191" s="23" t="b">
        <f t="shared" si="35"/>
        <v>0</v>
      </c>
      <c r="N191" s="24">
        <f t="shared" si="39"/>
        <v>0</v>
      </c>
      <c r="O191" s="27">
        <f t="shared" si="36"/>
        <v>-924.31</v>
      </c>
      <c r="P191" s="25">
        <f t="shared" si="34"/>
        <v>0</v>
      </c>
      <c r="Q191" s="92">
        <f>IF(P191&gt;0,1,)</f>
        <v>0</v>
      </c>
      <c r="R191" s="81">
        <f t="shared" si="37"/>
        <v>0</v>
      </c>
    </row>
    <row r="192" spans="2:21" ht="15" customHeight="1" thickTop="1" x14ac:dyDescent="0.3">
      <c r="B192" s="41" t="s">
        <v>59</v>
      </c>
      <c r="C192" s="3" t="s">
        <v>7</v>
      </c>
      <c r="D192" s="4">
        <v>20264.849999999999</v>
      </c>
      <c r="E192" s="142">
        <f>44.95%-U189</f>
        <v>0.44950000000000001</v>
      </c>
      <c r="F192" s="4">
        <v>1071.6300000000001</v>
      </c>
      <c r="G192" s="8">
        <v>21.43</v>
      </c>
      <c r="H192" s="55"/>
      <c r="I192" s="68">
        <v>0.39600000000000002</v>
      </c>
      <c r="J192" s="64"/>
      <c r="K192" s="19"/>
      <c r="M192" s="23" t="b">
        <f t="shared" si="35"/>
        <v>0</v>
      </c>
      <c r="N192" s="24">
        <f t="shared" si="39"/>
        <v>0</v>
      </c>
      <c r="O192" s="27">
        <f t="shared" si="36"/>
        <v>-1071.6300000000001</v>
      </c>
      <c r="P192" s="25">
        <f t="shared" si="34"/>
        <v>0</v>
      </c>
      <c r="Q192" s="92">
        <f>IF(P192&gt;0,1,)</f>
        <v>0</v>
      </c>
      <c r="R192" s="81">
        <f t="shared" si="37"/>
        <v>0</v>
      </c>
    </row>
    <row r="193" spans="1:20" ht="15" customHeight="1" thickBot="1" x14ac:dyDescent="0.35">
      <c r="B193" s="42">
        <f>B184-B187-B190</f>
        <v>0</v>
      </c>
      <c r="C193" s="3" t="s">
        <v>8</v>
      </c>
      <c r="D193" s="4">
        <v>20264.849999999999</v>
      </c>
      <c r="E193" s="142">
        <f>47.17%-U189</f>
        <v>0.47170000000000001</v>
      </c>
      <c r="F193" s="4">
        <v>1522.52</v>
      </c>
      <c r="G193" s="8">
        <v>21.43</v>
      </c>
      <c r="H193" s="55"/>
      <c r="I193" s="68" t="s">
        <v>9</v>
      </c>
      <c r="J193" s="64"/>
      <c r="K193" s="19"/>
      <c r="M193" s="23" t="b">
        <f>AND(B184&gt;D192)</f>
        <v>0</v>
      </c>
      <c r="N193" s="28">
        <f t="shared" si="39"/>
        <v>0</v>
      </c>
      <c r="O193" s="27">
        <f t="shared" si="36"/>
        <v>-1522.52</v>
      </c>
      <c r="P193" s="29"/>
      <c r="Q193" s="92">
        <f>IF(B198="n.a.",1,)</f>
        <v>0</v>
      </c>
      <c r="R193" s="81">
        <f t="shared" si="37"/>
        <v>0</v>
      </c>
    </row>
    <row r="194" spans="1:20" ht="15" customHeight="1" thickTop="1" thickBot="1" x14ac:dyDescent="0.35">
      <c r="J194" s="1"/>
      <c r="K194" s="1"/>
      <c r="L194" s="120"/>
      <c r="N194" s="15"/>
      <c r="O194" s="16"/>
      <c r="P194" s="15"/>
    </row>
    <row r="195" spans="1:20" ht="15" customHeight="1" thickTop="1" x14ac:dyDescent="0.3">
      <c r="B195" s="41" t="s">
        <v>61</v>
      </c>
      <c r="C195" s="10"/>
      <c r="D195" s="10"/>
      <c r="E195" s="10"/>
      <c r="F195" s="10"/>
      <c r="G195" s="10"/>
      <c r="H195" s="10"/>
      <c r="J195" s="1"/>
      <c r="K195" s="1"/>
      <c r="L195" s="120"/>
      <c r="O195" s="13"/>
    </row>
    <row r="196" spans="1:20" ht="15" customHeight="1" thickBot="1" x14ac:dyDescent="0.35">
      <c r="B196" s="45">
        <f>IFERROR(B187/B184,0)</f>
        <v>0</v>
      </c>
      <c r="C196" s="10"/>
      <c r="D196" s="10"/>
      <c r="E196" s="10"/>
      <c r="F196" s="10"/>
      <c r="G196" s="10"/>
      <c r="H196" s="10"/>
      <c r="J196" s="1"/>
      <c r="K196" s="1"/>
      <c r="L196" s="120"/>
      <c r="O196" s="13"/>
    </row>
    <row r="197" spans="1:20" ht="15" customHeight="1" thickTop="1" x14ac:dyDescent="0.3">
      <c r="A197" s="147" t="s">
        <v>62</v>
      </c>
      <c r="B197" s="148"/>
      <c r="C197" s="110">
        <f ca="1">B187*E197</f>
        <v>0</v>
      </c>
      <c r="D197" s="76">
        <f ca="1">MONTH(TODAY())</f>
        <v>4</v>
      </c>
      <c r="E197" s="77">
        <f ca="1">IF(D197=7,2,IF(D197=8,3,IF(D197=9,4,IF(D197=10,5,IF(D197=11,7,IF(D197=12,8,))))))</f>
        <v>0</v>
      </c>
      <c r="F197" s="10"/>
      <c r="G197" s="10"/>
      <c r="H197" s="10"/>
      <c r="J197" s="1"/>
      <c r="K197" s="1"/>
      <c r="L197" s="120"/>
      <c r="O197" s="13"/>
    </row>
    <row r="198" spans="1:20" ht="15" customHeight="1" x14ac:dyDescent="0.3">
      <c r="B198" s="73">
        <f>IF(M193=TRUE,"n.a.",SUM(P184:P192))</f>
        <v>0</v>
      </c>
      <c r="C198" s="10"/>
      <c r="D198" s="10"/>
      <c r="E198" s="10"/>
      <c r="F198" s="10"/>
      <c r="G198" s="10"/>
      <c r="H198" s="10"/>
      <c r="J198" s="1"/>
      <c r="K198" s="1"/>
      <c r="L198" s="120"/>
      <c r="O198" s="13"/>
    </row>
    <row r="199" spans="1:20" ht="3" customHeight="1" x14ac:dyDescent="0.3">
      <c r="B199" s="50"/>
      <c r="C199" s="50"/>
      <c r="D199" s="50"/>
      <c r="E199" s="50"/>
      <c r="F199" s="50"/>
      <c r="G199" s="50"/>
      <c r="H199" s="50"/>
      <c r="I199" s="36"/>
      <c r="J199" s="36"/>
      <c r="K199" s="36"/>
      <c r="L199" s="120"/>
      <c r="O199" s="13"/>
    </row>
    <row r="200" spans="1:20" ht="15" customHeight="1" x14ac:dyDescent="0.3">
      <c r="C200" s="10"/>
      <c r="D200" s="10"/>
      <c r="E200" s="10"/>
      <c r="F200" s="10"/>
      <c r="G200" s="10"/>
      <c r="H200" s="10"/>
      <c r="J200" s="1"/>
      <c r="K200" s="1"/>
      <c r="L200" s="120"/>
      <c r="O200" s="13"/>
    </row>
    <row r="201" spans="1:20" ht="15" customHeight="1" x14ac:dyDescent="0.3">
      <c r="C201" s="1" t="s">
        <v>0</v>
      </c>
    </row>
    <row r="202" spans="1:20" ht="15" customHeight="1" x14ac:dyDescent="0.3">
      <c r="C202" s="1" t="s">
        <v>25</v>
      </c>
    </row>
    <row r="203" spans="1:20" ht="15" customHeight="1" x14ac:dyDescent="0.3">
      <c r="C203" s="11" t="s">
        <v>26</v>
      </c>
      <c r="D203" s="11"/>
      <c r="E203" s="11"/>
      <c r="F203" s="11"/>
    </row>
    <row r="204" spans="1:20" ht="15" customHeight="1" x14ac:dyDescent="0.3"/>
    <row r="205" spans="1:20" ht="15" customHeight="1" x14ac:dyDescent="0.3">
      <c r="B205" s="127" t="s">
        <v>79</v>
      </c>
      <c r="K205" s="128"/>
    </row>
    <row r="206" spans="1:20" ht="55" customHeight="1" thickBot="1" x14ac:dyDescent="0.35">
      <c r="B206" s="132" t="s">
        <v>90</v>
      </c>
      <c r="C206" s="1" t="str">
        <f>IF(B206="sim","Tem de ser habitação própria e permanente e não auferir mais de  2 700 euros/mês.","")</f>
        <v/>
      </c>
      <c r="K206" s="130"/>
    </row>
    <row r="207" spans="1:20" ht="70" customHeight="1" thickTop="1" thickBot="1" x14ac:dyDescent="0.35">
      <c r="B207" s="135" t="s">
        <v>93</v>
      </c>
      <c r="C207" s="145" t="s">
        <v>68</v>
      </c>
      <c r="D207" s="146"/>
      <c r="E207" s="86" t="s">
        <v>4</v>
      </c>
      <c r="F207" s="86" t="s">
        <v>66</v>
      </c>
      <c r="G207" s="93"/>
      <c r="H207" s="94"/>
      <c r="I207" s="85" t="s">
        <v>6</v>
      </c>
      <c r="J207" s="64"/>
      <c r="K207" s="154" t="s">
        <v>105</v>
      </c>
      <c r="L207" s="122"/>
      <c r="M207" s="22" t="s">
        <v>51</v>
      </c>
      <c r="N207" s="22" t="s">
        <v>50</v>
      </c>
      <c r="O207" s="22" t="s">
        <v>48</v>
      </c>
      <c r="P207" s="22" t="s">
        <v>6</v>
      </c>
      <c r="R207" s="97" t="s">
        <v>70</v>
      </c>
      <c r="S207" s="125" t="s">
        <v>90</v>
      </c>
      <c r="T207" s="124">
        <v>0</v>
      </c>
    </row>
    <row r="208" spans="1:20" ht="15" customHeight="1" thickTop="1" thickBot="1" x14ac:dyDescent="0.35">
      <c r="B208" s="48">
        <v>0</v>
      </c>
      <c r="C208" s="3" t="s">
        <v>7</v>
      </c>
      <c r="D208" s="4">
        <v>1779.19</v>
      </c>
      <c r="E208" s="142">
        <v>0</v>
      </c>
      <c r="F208" s="4">
        <v>0</v>
      </c>
      <c r="H208" s="63"/>
      <c r="I208" s="70">
        <v>0</v>
      </c>
      <c r="J208" s="64"/>
      <c r="K208" s="155"/>
      <c r="L208" s="122"/>
      <c r="M208" s="23" t="b">
        <f>AND($B$208&lt;=D208)</f>
        <v>1</v>
      </c>
      <c r="N208" s="24">
        <f>IF(M208=TRUE,O208,0)</f>
        <v>0</v>
      </c>
      <c r="O208" s="27">
        <f>$B$208*E208-F208</f>
        <v>0</v>
      </c>
      <c r="P208" s="25">
        <f t="shared" ref="P208:P215" si="40">IF(M208=TRUE,I208,0)</f>
        <v>0</v>
      </c>
      <c r="Q208" s="10">
        <v>0</v>
      </c>
      <c r="R208" s="98">
        <v>0</v>
      </c>
      <c r="S208" s="123" t="s">
        <v>78</v>
      </c>
      <c r="T208" s="124">
        <v>1</v>
      </c>
    </row>
    <row r="209" spans="1:21" ht="15" customHeight="1" thickTop="1" thickBot="1" x14ac:dyDescent="0.35">
      <c r="C209" s="3" t="s">
        <v>7</v>
      </c>
      <c r="D209" s="4">
        <v>2664.64</v>
      </c>
      <c r="E209" s="142">
        <f>IF(T212=1,21%-U212,21%)</f>
        <v>0.21</v>
      </c>
      <c r="F209" s="4">
        <v>373.63</v>
      </c>
      <c r="H209" s="63"/>
      <c r="I209" s="70">
        <v>7.0000000000000007E-2</v>
      </c>
      <c r="J209" s="64"/>
      <c r="K209" s="51">
        <v>0</v>
      </c>
      <c r="M209" s="23" t="b">
        <f t="shared" ref="M209:M215" si="41">AND(($B$208&gt;D208),($B$208&lt;=D209))</f>
        <v>0</v>
      </c>
      <c r="N209" s="24">
        <f>IF(M209=TRUE,O209,0)</f>
        <v>0</v>
      </c>
      <c r="O209" s="27">
        <f t="shared" ref="O209:O216" si="42">$B$208*E209-F209-R209</f>
        <v>-373.63</v>
      </c>
      <c r="P209" s="25">
        <f t="shared" si="40"/>
        <v>0</v>
      </c>
      <c r="Q209" s="92">
        <f>IF(P209&gt;0,1,)</f>
        <v>0</v>
      </c>
      <c r="R209" s="99">
        <f t="shared" ref="R209:R216" si="43">IF(Q209=0,0,IF($K$209&gt;=1,135.71*$K$209,))</f>
        <v>0</v>
      </c>
      <c r="T209" s="124">
        <f>IF(B208=0,0,VLOOKUP(B206,S207:T208,2,FALSE))</f>
        <v>0</v>
      </c>
    </row>
    <row r="210" spans="1:21" ht="15" customHeight="1" thickTop="1" x14ac:dyDescent="0.3">
      <c r="B210" s="41" t="s">
        <v>58</v>
      </c>
      <c r="C210" s="3" t="s">
        <v>7</v>
      </c>
      <c r="D210" s="4">
        <v>2818.5</v>
      </c>
      <c r="E210" s="142">
        <f>IF(T212=1,24.68%-U212,24.68%)</f>
        <v>0.24679999999999999</v>
      </c>
      <c r="F210" s="4">
        <v>471.79</v>
      </c>
      <c r="H210" s="63"/>
      <c r="I210" s="70">
        <v>7.9000000000000001E-2</v>
      </c>
      <c r="J210" s="64"/>
      <c r="K210" s="19"/>
      <c r="M210" s="23" t="b">
        <f t="shared" si="41"/>
        <v>0</v>
      </c>
      <c r="N210" s="24">
        <f t="shared" ref="N210:N215" si="44">IF(M210=TRUE,O210,0)</f>
        <v>0</v>
      </c>
      <c r="O210" s="27">
        <f t="shared" si="42"/>
        <v>-471.79</v>
      </c>
      <c r="P210" s="25">
        <f t="shared" si="40"/>
        <v>0</v>
      </c>
      <c r="Q210" s="92">
        <f>IF(P210&gt;0,1,)</f>
        <v>0</v>
      </c>
      <c r="R210" s="99">
        <f t="shared" si="43"/>
        <v>0</v>
      </c>
      <c r="T210" s="124"/>
    </row>
    <row r="211" spans="1:21" ht="15" customHeight="1" thickBot="1" x14ac:dyDescent="0.35">
      <c r="B211" s="42">
        <f>IF(ROUNDDOWN(SUM(N208:N216),0)&lt;0,0,ROUNDDOWN(SUM(N208:N216),0))</f>
        <v>0</v>
      </c>
      <c r="C211" s="3" t="s">
        <v>7</v>
      </c>
      <c r="D211" s="4">
        <v>3051.12</v>
      </c>
      <c r="E211" s="142">
        <v>0.27579999999999999</v>
      </c>
      <c r="F211" s="4">
        <v>553.49</v>
      </c>
      <c r="H211" s="63"/>
      <c r="I211" s="70">
        <v>9.4E-2</v>
      </c>
      <c r="J211" s="64"/>
      <c r="K211" s="19"/>
      <c r="M211" s="23" t="b">
        <f t="shared" si="41"/>
        <v>0</v>
      </c>
      <c r="N211" s="24">
        <f t="shared" si="44"/>
        <v>0</v>
      </c>
      <c r="O211" s="27">
        <f t="shared" si="42"/>
        <v>-553.49</v>
      </c>
      <c r="P211" s="25">
        <f t="shared" si="40"/>
        <v>0</v>
      </c>
      <c r="Q211" s="92">
        <f>IF(P211&gt;0,1,)</f>
        <v>0</v>
      </c>
      <c r="R211" s="99">
        <f t="shared" si="43"/>
        <v>0</v>
      </c>
      <c r="T211" s="124"/>
    </row>
    <row r="212" spans="1:21" ht="15" customHeight="1" thickTop="1" thickBot="1" x14ac:dyDescent="0.35">
      <c r="C212" s="3" t="s">
        <v>7</v>
      </c>
      <c r="D212" s="4">
        <v>3395.1</v>
      </c>
      <c r="E212" s="142">
        <v>0.29799999999999999</v>
      </c>
      <c r="F212" s="4">
        <v>621.08000000000004</v>
      </c>
      <c r="H212" s="63"/>
      <c r="I212" s="70">
        <v>0.115</v>
      </c>
      <c r="J212" s="64"/>
      <c r="K212" s="19"/>
      <c r="M212" s="23" t="b">
        <f t="shared" si="41"/>
        <v>0</v>
      </c>
      <c r="N212" s="24">
        <f t="shared" si="44"/>
        <v>0</v>
      </c>
      <c r="O212" s="27">
        <f t="shared" si="42"/>
        <v>-621.08000000000004</v>
      </c>
      <c r="P212" s="25">
        <f t="shared" si="40"/>
        <v>0</v>
      </c>
      <c r="Q212" s="92">
        <f t="shared" ref="Q212:Q213" si="45">IF(P212&gt;0,1,)</f>
        <v>0</v>
      </c>
      <c r="R212" s="99">
        <f t="shared" si="43"/>
        <v>0</v>
      </c>
      <c r="T212" s="124">
        <f>IF(B208&lt;=2700,T209,)</f>
        <v>0</v>
      </c>
      <c r="U212" s="126">
        <v>0.02</v>
      </c>
    </row>
    <row r="213" spans="1:21" ht="15" customHeight="1" thickTop="1" x14ac:dyDescent="0.3">
      <c r="B213" s="41" t="s">
        <v>45</v>
      </c>
      <c r="C213" s="3" t="s">
        <v>7</v>
      </c>
      <c r="D213" s="4">
        <v>6527.69</v>
      </c>
      <c r="E213" s="142">
        <v>0.33110000000000001</v>
      </c>
      <c r="F213" s="4">
        <v>733.56</v>
      </c>
      <c r="H213" s="63"/>
      <c r="I213" s="70">
        <v>0.219</v>
      </c>
      <c r="J213" s="64"/>
      <c r="K213" s="19"/>
      <c r="M213" s="23" t="b">
        <f t="shared" si="41"/>
        <v>0</v>
      </c>
      <c r="N213" s="24">
        <f t="shared" si="44"/>
        <v>0</v>
      </c>
      <c r="O213" s="27">
        <f t="shared" si="42"/>
        <v>-733.56</v>
      </c>
      <c r="P213" s="25">
        <f t="shared" si="40"/>
        <v>0</v>
      </c>
      <c r="Q213" s="92">
        <f t="shared" si="45"/>
        <v>0</v>
      </c>
      <c r="R213" s="99">
        <f t="shared" si="43"/>
        <v>0</v>
      </c>
    </row>
    <row r="214" spans="1:21" ht="15" customHeight="1" thickBot="1" x14ac:dyDescent="0.35">
      <c r="B214" s="42">
        <f>ROUND(B208*0.11,2)</f>
        <v>0</v>
      </c>
      <c r="C214" s="3" t="s">
        <v>7</v>
      </c>
      <c r="D214" s="4">
        <v>6621.19</v>
      </c>
      <c r="E214" s="142">
        <v>0.38719999999999999</v>
      </c>
      <c r="F214" s="4">
        <v>1099.3900000000001</v>
      </c>
      <c r="H214" s="63"/>
      <c r="I214" s="70">
        <v>0.221</v>
      </c>
      <c r="J214" s="64"/>
      <c r="K214" s="19"/>
      <c r="M214" s="23" t="b">
        <f t="shared" si="41"/>
        <v>0</v>
      </c>
      <c r="N214" s="24">
        <f t="shared" si="44"/>
        <v>0</v>
      </c>
      <c r="O214" s="27">
        <f t="shared" si="42"/>
        <v>-1099.3900000000001</v>
      </c>
      <c r="P214" s="25">
        <f t="shared" si="40"/>
        <v>0</v>
      </c>
      <c r="Q214" s="92">
        <f>IF(P214&gt;0,1,)</f>
        <v>0</v>
      </c>
      <c r="R214" s="99">
        <f t="shared" si="43"/>
        <v>0</v>
      </c>
    </row>
    <row r="215" spans="1:21" ht="15" customHeight="1" thickTop="1" thickBot="1" x14ac:dyDescent="0.35">
      <c r="C215" s="3" t="s">
        <v>7</v>
      </c>
      <c r="D215" s="4">
        <v>20264.849999999999</v>
      </c>
      <c r="E215" s="142">
        <v>0.42509999999999998</v>
      </c>
      <c r="F215" s="4">
        <v>1350.89</v>
      </c>
      <c r="H215" s="63"/>
      <c r="I215" s="70">
        <v>0.35799999999999998</v>
      </c>
      <c r="J215" s="64"/>
      <c r="K215" s="19"/>
      <c r="M215" s="23" t="b">
        <f t="shared" si="41"/>
        <v>0</v>
      </c>
      <c r="N215" s="24">
        <f t="shared" si="44"/>
        <v>0</v>
      </c>
      <c r="O215" s="27">
        <f t="shared" si="42"/>
        <v>-1350.89</v>
      </c>
      <c r="P215" s="25">
        <f t="shared" si="40"/>
        <v>0</v>
      </c>
      <c r="Q215" s="92">
        <f>IF(P215&gt;0,1,)</f>
        <v>0</v>
      </c>
      <c r="R215" s="99">
        <f t="shared" si="43"/>
        <v>0</v>
      </c>
    </row>
    <row r="216" spans="1:21" ht="15" customHeight="1" thickTop="1" x14ac:dyDescent="0.3">
      <c r="B216" s="41" t="s">
        <v>59</v>
      </c>
      <c r="C216" s="3" t="s">
        <v>8</v>
      </c>
      <c r="D216" s="4">
        <v>20264.849999999999</v>
      </c>
      <c r="E216" s="142">
        <v>0.47170000000000001</v>
      </c>
      <c r="F216" s="4">
        <v>2294.54</v>
      </c>
      <c r="H216" s="63"/>
      <c r="I216" s="70" t="s">
        <v>9</v>
      </c>
      <c r="J216" s="64"/>
      <c r="K216" s="19"/>
      <c r="M216" s="23" t="b">
        <f>AND(B208&gt;D215)</f>
        <v>0</v>
      </c>
      <c r="N216" s="24">
        <f>IF(M216=TRUE,O216,0)</f>
        <v>0</v>
      </c>
      <c r="O216" s="27">
        <f t="shared" si="42"/>
        <v>-2294.54</v>
      </c>
      <c r="P216" s="25"/>
      <c r="Q216" s="92">
        <f>IF(B222="n.a.",1,)</f>
        <v>0</v>
      </c>
      <c r="R216" s="99">
        <f t="shared" si="43"/>
        <v>0</v>
      </c>
    </row>
    <row r="217" spans="1:21" ht="15" customHeight="1" thickBot="1" x14ac:dyDescent="0.35">
      <c r="B217" s="42">
        <f>B208-B211-B214</f>
        <v>0</v>
      </c>
      <c r="J217" s="1"/>
      <c r="K217" s="1"/>
      <c r="L217" s="120"/>
      <c r="M217" s="15"/>
      <c r="N217" s="16"/>
      <c r="O217" s="20"/>
      <c r="P217" s="17"/>
    </row>
    <row r="218" spans="1:21" ht="15" customHeight="1" thickTop="1" thickBot="1" x14ac:dyDescent="0.35">
      <c r="C218" s="10"/>
      <c r="D218" s="10"/>
      <c r="E218" s="10"/>
      <c r="F218" s="10"/>
      <c r="G218" s="10"/>
      <c r="H218" s="10"/>
      <c r="J218" s="1"/>
      <c r="K218" s="1"/>
      <c r="L218" s="120"/>
    </row>
    <row r="219" spans="1:21" ht="15" customHeight="1" thickTop="1" x14ac:dyDescent="0.3">
      <c r="B219" s="41" t="s">
        <v>61</v>
      </c>
      <c r="C219" s="10"/>
      <c r="D219" s="10"/>
      <c r="E219" s="10"/>
      <c r="F219" s="10"/>
      <c r="G219" s="10"/>
      <c r="H219" s="10"/>
      <c r="J219" s="1"/>
      <c r="K219" s="1"/>
      <c r="L219" s="120"/>
    </row>
    <row r="220" spans="1:21" ht="15" customHeight="1" thickBot="1" x14ac:dyDescent="0.35">
      <c r="B220" s="45">
        <f>IFERROR(B211/B208,0)</f>
        <v>0</v>
      </c>
      <c r="C220" s="10"/>
      <c r="D220" s="10"/>
      <c r="E220" s="10"/>
      <c r="F220" s="10"/>
      <c r="G220" s="10"/>
      <c r="H220" s="10"/>
      <c r="J220" s="1"/>
      <c r="K220" s="1"/>
      <c r="L220" s="120"/>
    </row>
    <row r="221" spans="1:21" ht="15" customHeight="1" thickTop="1" x14ac:dyDescent="0.3">
      <c r="A221" s="147" t="s">
        <v>62</v>
      </c>
      <c r="B221" s="148"/>
      <c r="C221" s="110">
        <f ca="1">B211*E221</f>
        <v>0</v>
      </c>
      <c r="D221" s="76">
        <f ca="1">MONTH(TODAY())</f>
        <v>4</v>
      </c>
      <c r="E221" s="77">
        <f ca="1">IF(D221=7,2,IF(D221=8,3,IF(D221=9,4,IF(D221=10,5,IF(D221=11,7,IF(D221=12,8,))))))</f>
        <v>0</v>
      </c>
      <c r="F221" s="10"/>
      <c r="G221" s="10"/>
      <c r="H221" s="10"/>
      <c r="J221" s="1"/>
      <c r="K221" s="1"/>
      <c r="L221" s="120"/>
    </row>
    <row r="222" spans="1:21" ht="15" customHeight="1" x14ac:dyDescent="0.3">
      <c r="B222" s="73">
        <f>IF(M216=TRUE,"n.a.",SUM(P208:P215))</f>
        <v>0</v>
      </c>
      <c r="C222" s="10"/>
      <c r="D222" s="10"/>
      <c r="E222" s="10"/>
      <c r="F222" s="10"/>
      <c r="G222" s="10"/>
      <c r="H222" s="10"/>
      <c r="J222" s="1"/>
      <c r="K222" s="1"/>
      <c r="L222" s="120"/>
    </row>
    <row r="223" spans="1:21" ht="3" customHeight="1" x14ac:dyDescent="0.3">
      <c r="B223" s="50"/>
      <c r="C223" s="50"/>
      <c r="D223" s="50"/>
      <c r="E223" s="50"/>
      <c r="F223" s="50"/>
      <c r="G223" s="50"/>
      <c r="H223" s="50"/>
      <c r="I223" s="36"/>
      <c r="J223" s="36"/>
      <c r="K223" s="36"/>
      <c r="L223" s="120"/>
    </row>
    <row r="224" spans="1:21" ht="15" customHeight="1" x14ac:dyDescent="0.3">
      <c r="C224" s="10"/>
      <c r="D224" s="10"/>
      <c r="E224" s="10"/>
      <c r="F224" s="10"/>
      <c r="G224" s="10"/>
      <c r="H224" s="10"/>
      <c r="J224" s="1"/>
      <c r="K224" s="1"/>
      <c r="L224" s="120"/>
    </row>
    <row r="225" spans="2:22" ht="15" customHeight="1" x14ac:dyDescent="0.3">
      <c r="C225" s="1" t="s">
        <v>0</v>
      </c>
    </row>
    <row r="226" spans="2:22" ht="15" customHeight="1" x14ac:dyDescent="0.3">
      <c r="C226" s="1" t="s">
        <v>27</v>
      </c>
    </row>
    <row r="227" spans="2:22" ht="15" customHeight="1" x14ac:dyDescent="0.3">
      <c r="C227" s="11" t="s">
        <v>28</v>
      </c>
      <c r="D227" s="11"/>
      <c r="E227" s="11"/>
      <c r="F227" s="11"/>
      <c r="G227" s="11"/>
    </row>
    <row r="228" spans="2:22" ht="15" customHeight="1" x14ac:dyDescent="0.3">
      <c r="J228" s="131"/>
      <c r="K228" s="131"/>
    </row>
    <row r="229" spans="2:22" ht="15" customHeight="1" x14ac:dyDescent="0.3">
      <c r="B229" s="127" t="s">
        <v>79</v>
      </c>
      <c r="J229" s="131"/>
      <c r="K229" s="131"/>
    </row>
    <row r="230" spans="2:22" ht="55" customHeight="1" thickBot="1" x14ac:dyDescent="0.35">
      <c r="B230" s="132" t="s">
        <v>90</v>
      </c>
      <c r="C230" s="1" t="str">
        <f>IF(B230="sim","Tem de ser habitação própria e permanente e não auferir mais de  2 700 euros/mês.","")</f>
        <v/>
      </c>
      <c r="J230" s="131"/>
      <c r="K230" s="131"/>
    </row>
    <row r="231" spans="2:22" ht="70" customHeight="1" thickTop="1" thickBot="1" x14ac:dyDescent="0.35">
      <c r="B231" s="137" t="s">
        <v>95</v>
      </c>
      <c r="C231" s="145" t="s">
        <v>3</v>
      </c>
      <c r="D231" s="146"/>
      <c r="E231" s="86" t="s">
        <v>4</v>
      </c>
      <c r="F231" s="87" t="s">
        <v>5</v>
      </c>
      <c r="G231" s="86" t="s">
        <v>12</v>
      </c>
      <c r="H231" s="84"/>
      <c r="I231" s="85" t="s">
        <v>6</v>
      </c>
      <c r="J231" s="64"/>
      <c r="K231" s="113" t="s">
        <v>96</v>
      </c>
      <c r="M231" s="22" t="s">
        <v>51</v>
      </c>
      <c r="N231" s="22" t="s">
        <v>50</v>
      </c>
      <c r="O231" s="22" t="s">
        <v>48</v>
      </c>
      <c r="P231" s="22" t="s">
        <v>6</v>
      </c>
      <c r="R231" s="79" t="s">
        <v>64</v>
      </c>
      <c r="S231" s="97" t="s">
        <v>70</v>
      </c>
      <c r="T231" s="125" t="s">
        <v>90</v>
      </c>
      <c r="U231" s="124">
        <v>0</v>
      </c>
    </row>
    <row r="232" spans="2:22" ht="15" customHeight="1" thickTop="1" thickBot="1" x14ac:dyDescent="0.35">
      <c r="B232" s="39">
        <v>0</v>
      </c>
      <c r="C232" s="3" t="s">
        <v>7</v>
      </c>
      <c r="D232" s="4">
        <v>1881.23</v>
      </c>
      <c r="E232" s="142">
        <v>0</v>
      </c>
      <c r="F232" s="4">
        <v>0</v>
      </c>
      <c r="G232" s="8">
        <v>0</v>
      </c>
      <c r="H232" s="55"/>
      <c r="I232" s="70">
        <v>0</v>
      </c>
      <c r="J232" s="64"/>
      <c r="K232" s="51">
        <v>0</v>
      </c>
      <c r="L232" s="122"/>
      <c r="M232" s="23" t="b">
        <f>AND(B232&lt;=D232)</f>
        <v>1</v>
      </c>
      <c r="N232" s="24">
        <f>IF(M232=TRUE,O232,0)</f>
        <v>0</v>
      </c>
      <c r="O232" s="24">
        <f>$B$232*E232-F232-($K$232*G232)</f>
        <v>0</v>
      </c>
      <c r="P232" s="25">
        <f t="shared" ref="P232:P239" si="46">IF(M232=TRUE,I232,0)</f>
        <v>0</v>
      </c>
      <c r="R232" s="80">
        <v>0</v>
      </c>
      <c r="S232" s="98">
        <v>0</v>
      </c>
      <c r="T232" s="123" t="s">
        <v>78</v>
      </c>
      <c r="U232" s="124">
        <v>1</v>
      </c>
    </row>
    <row r="233" spans="2:22" ht="15" customHeight="1" thickTop="1" thickBot="1" x14ac:dyDescent="0.35">
      <c r="C233" s="3" t="s">
        <v>7</v>
      </c>
      <c r="D233" s="4">
        <v>2664.64</v>
      </c>
      <c r="E233" s="142">
        <f>IF(U236=1,21%-V236,21%)-V237</f>
        <v>0.21</v>
      </c>
      <c r="F233" s="4">
        <v>352.2</v>
      </c>
      <c r="G233" s="8">
        <v>42.86</v>
      </c>
      <c r="H233" s="55"/>
      <c r="I233" s="70">
        <v>6.2E-2</v>
      </c>
      <c r="J233" s="64"/>
      <c r="K233" s="152" t="s">
        <v>104</v>
      </c>
      <c r="L233" s="122"/>
      <c r="M233" s="23" t="b">
        <f t="shared" ref="M233:M239" si="47">AND(($B$232&gt;D232),($B$232&lt;=D233))</f>
        <v>0</v>
      </c>
      <c r="N233" s="24">
        <f>IF(M233=TRUE,O233,0)</f>
        <v>0</v>
      </c>
      <c r="O233" s="24">
        <f t="shared" ref="O233:O240" si="48">$B$232*E233-F233-($K$232*G233)-R233-S233</f>
        <v>-352.2</v>
      </c>
      <c r="P233" s="25">
        <f t="shared" si="46"/>
        <v>0</v>
      </c>
      <c r="Q233" s="64">
        <f>IF(P233&gt;0,1,)</f>
        <v>0</v>
      </c>
      <c r="R233" s="81">
        <f t="shared" ref="R233:R240" si="49">IF(Q233=0,0,IF($K$237&gt;=1,84.82*$K$237,))</f>
        <v>0</v>
      </c>
      <c r="S233" s="99">
        <f t="shared" ref="S233:S240" si="50">IF(Q233=0,0,IF($K$243&gt;=1,135.71*$K$243,))</f>
        <v>0</v>
      </c>
      <c r="U233" s="124">
        <f>IF(B232=0,0,VLOOKUP(B230,T231:U232,2,FALSE))</f>
        <v>0</v>
      </c>
    </row>
    <row r="234" spans="2:22" ht="15" customHeight="1" thickTop="1" x14ac:dyDescent="0.3">
      <c r="B234" s="82" t="s">
        <v>58</v>
      </c>
      <c r="C234" s="3" t="s">
        <v>7</v>
      </c>
      <c r="D234" s="4">
        <v>2818.5</v>
      </c>
      <c r="E234" s="142">
        <f>IF(U236=1,24.68%-V236,24.68%)-V237</f>
        <v>0.24679999999999999</v>
      </c>
      <c r="F234" s="4">
        <v>450.36</v>
      </c>
      <c r="G234" s="8">
        <v>42.86</v>
      </c>
      <c r="H234" s="55"/>
      <c r="I234" s="70">
        <v>7.1999999999999995E-2</v>
      </c>
      <c r="J234" s="64"/>
      <c r="K234" s="153"/>
      <c r="L234" s="122"/>
      <c r="M234" s="23" t="b">
        <f t="shared" si="47"/>
        <v>0</v>
      </c>
      <c r="N234" s="24">
        <f>IF(M234=TRUE,O234,0)</f>
        <v>0</v>
      </c>
      <c r="O234" s="24">
        <f t="shared" si="48"/>
        <v>-450.36</v>
      </c>
      <c r="P234" s="25">
        <f t="shared" si="46"/>
        <v>0</v>
      </c>
      <c r="Q234" s="64">
        <f t="shared" ref="Q234:Q239" si="51">IF(P234&gt;0,1,)</f>
        <v>0</v>
      </c>
      <c r="R234" s="81">
        <f t="shared" si="49"/>
        <v>0</v>
      </c>
      <c r="S234" s="99">
        <f t="shared" si="50"/>
        <v>0</v>
      </c>
      <c r="U234" s="124"/>
    </row>
    <row r="235" spans="2:22" ht="15" customHeight="1" thickBot="1" x14ac:dyDescent="0.35">
      <c r="B235" s="83">
        <f>IF(ROUNDDOWN(SUM(N232:N240),0)&lt;0,0,ROUNDDOWN(SUM(N232:N240),0))</f>
        <v>0</v>
      </c>
      <c r="C235" s="3" t="s">
        <v>7</v>
      </c>
      <c r="D235" s="4">
        <v>3051.12</v>
      </c>
      <c r="E235" s="142">
        <f>27.58%-V237</f>
        <v>0.27579999999999999</v>
      </c>
      <c r="F235" s="4">
        <v>532.05999999999995</v>
      </c>
      <c r="G235" s="8">
        <v>42.86</v>
      </c>
      <c r="H235" s="55"/>
      <c r="I235" s="70">
        <v>8.6999999999999994E-2</v>
      </c>
      <c r="J235" s="64"/>
      <c r="K235" s="153"/>
      <c r="L235" s="122"/>
      <c r="M235" s="23" t="b">
        <f t="shared" si="47"/>
        <v>0</v>
      </c>
      <c r="N235" s="24">
        <f>IF(M235=TRUE,O235,0)</f>
        <v>0</v>
      </c>
      <c r="O235" s="24">
        <f t="shared" si="48"/>
        <v>-532.05999999999995</v>
      </c>
      <c r="P235" s="25">
        <f t="shared" si="46"/>
        <v>0</v>
      </c>
      <c r="Q235" s="64">
        <f t="shared" si="51"/>
        <v>0</v>
      </c>
      <c r="R235" s="81">
        <f t="shared" si="49"/>
        <v>0</v>
      </c>
      <c r="S235" s="99">
        <f t="shared" si="50"/>
        <v>0</v>
      </c>
      <c r="U235" s="124"/>
    </row>
    <row r="236" spans="2:22" ht="15" customHeight="1" thickTop="1" thickBot="1" x14ac:dyDescent="0.35">
      <c r="C236" s="3" t="s">
        <v>7</v>
      </c>
      <c r="D236" s="4">
        <v>3395.1</v>
      </c>
      <c r="E236" s="142">
        <f>29.8%-V237</f>
        <v>0.29799999999999999</v>
      </c>
      <c r="F236" s="4">
        <v>599.65</v>
      </c>
      <c r="G236" s="8">
        <v>42.86</v>
      </c>
      <c r="H236" s="55"/>
      <c r="I236" s="70">
        <v>0.109</v>
      </c>
      <c r="J236" s="64"/>
      <c r="K236" s="153"/>
      <c r="L236" s="122"/>
      <c r="M236" s="23" t="b">
        <f t="shared" si="47"/>
        <v>0</v>
      </c>
      <c r="N236" s="24">
        <f>IF(M236=TRUE,O236,0)</f>
        <v>0</v>
      </c>
      <c r="O236" s="24">
        <f t="shared" si="48"/>
        <v>-599.65</v>
      </c>
      <c r="P236" s="25">
        <f t="shared" si="46"/>
        <v>0</v>
      </c>
      <c r="Q236" s="64">
        <f t="shared" si="51"/>
        <v>0</v>
      </c>
      <c r="R236" s="81">
        <f t="shared" si="49"/>
        <v>0</v>
      </c>
      <c r="S236" s="99">
        <f t="shared" si="50"/>
        <v>0</v>
      </c>
      <c r="U236" s="124">
        <f>IF(B232&lt;=2700,U233,)</f>
        <v>0</v>
      </c>
      <c r="V236" s="126">
        <v>0.02</v>
      </c>
    </row>
    <row r="237" spans="2:22" ht="15" customHeight="1" thickTop="1" thickBot="1" x14ac:dyDescent="0.35">
      <c r="B237" s="41" t="s">
        <v>45</v>
      </c>
      <c r="C237" s="3" t="s">
        <v>7</v>
      </c>
      <c r="D237" s="4">
        <v>6527.69</v>
      </c>
      <c r="E237" s="142">
        <f>33.11%-V237</f>
        <v>0.33110000000000001</v>
      </c>
      <c r="F237" s="4">
        <v>712.13</v>
      </c>
      <c r="G237" s="8">
        <v>42.86</v>
      </c>
      <c r="H237" s="55"/>
      <c r="I237" s="70">
        <v>0.215</v>
      </c>
      <c r="J237" s="64"/>
      <c r="K237" s="51">
        <v>0</v>
      </c>
      <c r="L237" s="122"/>
      <c r="M237" s="23" t="b">
        <f t="shared" si="47"/>
        <v>0</v>
      </c>
      <c r="N237" s="24">
        <f t="shared" ref="N237:N239" si="52">IF(M237=TRUE,O237,0)</f>
        <v>0</v>
      </c>
      <c r="O237" s="24">
        <f t="shared" si="48"/>
        <v>-712.13</v>
      </c>
      <c r="P237" s="25">
        <f t="shared" si="46"/>
        <v>0</v>
      </c>
      <c r="Q237" s="64">
        <f t="shared" si="51"/>
        <v>0</v>
      </c>
      <c r="R237" s="81">
        <f t="shared" si="49"/>
        <v>0</v>
      </c>
      <c r="S237" s="99">
        <f t="shared" si="50"/>
        <v>0</v>
      </c>
      <c r="V237" s="126">
        <f>IF(K232&gt;=3,1%,)</f>
        <v>0</v>
      </c>
    </row>
    <row r="238" spans="2:22" ht="15" customHeight="1" thickTop="1" thickBot="1" x14ac:dyDescent="0.35">
      <c r="B238" s="42">
        <f>ROUND(B232*0.11,2)</f>
        <v>0</v>
      </c>
      <c r="C238" s="3" t="s">
        <v>7</v>
      </c>
      <c r="D238" s="4">
        <v>6621.19</v>
      </c>
      <c r="E238" s="142">
        <f>38.72%-V237</f>
        <v>0.38719999999999999</v>
      </c>
      <c r="F238" s="4">
        <v>1077.96</v>
      </c>
      <c r="G238" s="8">
        <v>42.86</v>
      </c>
      <c r="H238" s="55"/>
      <c r="I238" s="70">
        <v>0.218</v>
      </c>
      <c r="J238" s="64"/>
      <c r="K238" s="150" t="s">
        <v>105</v>
      </c>
      <c r="L238" s="122"/>
      <c r="M238" s="23" t="b">
        <f t="shared" si="47"/>
        <v>0</v>
      </c>
      <c r="N238" s="24">
        <f t="shared" si="52"/>
        <v>0</v>
      </c>
      <c r="O238" s="24">
        <f t="shared" si="48"/>
        <v>-1077.96</v>
      </c>
      <c r="P238" s="25">
        <f t="shared" si="46"/>
        <v>0</v>
      </c>
      <c r="Q238" s="64">
        <f t="shared" si="51"/>
        <v>0</v>
      </c>
      <c r="R238" s="81">
        <f t="shared" si="49"/>
        <v>0</v>
      </c>
      <c r="S238" s="99">
        <f t="shared" si="50"/>
        <v>0</v>
      </c>
    </row>
    <row r="239" spans="2:22" ht="15" customHeight="1" thickTop="1" thickBot="1" x14ac:dyDescent="0.35">
      <c r="C239" s="3" t="s">
        <v>7</v>
      </c>
      <c r="D239" s="4">
        <v>20264.849999999999</v>
      </c>
      <c r="E239" s="142">
        <f>42.51%-V237</f>
        <v>0.42509999999999998</v>
      </c>
      <c r="F239" s="4">
        <v>1329.46</v>
      </c>
      <c r="G239" s="8">
        <v>42.86</v>
      </c>
      <c r="H239" s="55"/>
      <c r="I239" s="70">
        <v>0.35699999999999998</v>
      </c>
      <c r="J239" s="64"/>
      <c r="K239" s="151"/>
      <c r="M239" s="23" t="b">
        <f t="shared" si="47"/>
        <v>0</v>
      </c>
      <c r="N239" s="24">
        <f t="shared" si="52"/>
        <v>0</v>
      </c>
      <c r="O239" s="24">
        <f t="shared" si="48"/>
        <v>-1329.46</v>
      </c>
      <c r="P239" s="25">
        <f t="shared" si="46"/>
        <v>0</v>
      </c>
      <c r="Q239" s="64">
        <f t="shared" si="51"/>
        <v>0</v>
      </c>
      <c r="R239" s="81">
        <f t="shared" si="49"/>
        <v>0</v>
      </c>
      <c r="S239" s="99">
        <f t="shared" si="50"/>
        <v>0</v>
      </c>
    </row>
    <row r="240" spans="2:22" ht="15" customHeight="1" thickTop="1" x14ac:dyDescent="0.3">
      <c r="B240" s="41" t="s">
        <v>59</v>
      </c>
      <c r="C240" s="3" t="s">
        <v>8</v>
      </c>
      <c r="D240" s="4">
        <v>20264.849999999999</v>
      </c>
      <c r="E240" s="142">
        <f>47.17%-V237</f>
        <v>0.47170000000000001</v>
      </c>
      <c r="F240" s="4">
        <v>2273.11</v>
      </c>
      <c r="G240" s="8">
        <v>42.86</v>
      </c>
      <c r="H240" s="55"/>
      <c r="I240" s="70" t="s">
        <v>9</v>
      </c>
      <c r="J240" s="64"/>
      <c r="K240" s="151"/>
      <c r="M240" s="23" t="b">
        <f>AND(B232&gt;D239)</f>
        <v>0</v>
      </c>
      <c r="N240" s="28">
        <f>IF(M240=TRUE,O240,0)</f>
        <v>0</v>
      </c>
      <c r="O240" s="24">
        <f t="shared" si="48"/>
        <v>-2273.11</v>
      </c>
      <c r="P240" s="29"/>
      <c r="Q240" s="64">
        <f>IF(B246="n.a.",1,)</f>
        <v>0</v>
      </c>
      <c r="R240" s="81">
        <f t="shared" si="49"/>
        <v>0</v>
      </c>
      <c r="S240" s="99">
        <f t="shared" si="50"/>
        <v>0</v>
      </c>
    </row>
    <row r="241" spans="1:16" ht="15" customHeight="1" thickBot="1" x14ac:dyDescent="0.35">
      <c r="B241" s="42">
        <f>B232-B235-B238</f>
        <v>0</v>
      </c>
      <c r="J241" s="1"/>
      <c r="K241" s="151"/>
      <c r="L241" s="120"/>
      <c r="M241" s="15"/>
      <c r="N241" s="15"/>
      <c r="O241" s="15"/>
      <c r="P241" s="15"/>
    </row>
    <row r="242" spans="1:16" ht="15" customHeight="1" thickTop="1" thickBot="1" x14ac:dyDescent="0.35">
      <c r="J242" s="1"/>
      <c r="K242" s="151"/>
      <c r="L242" s="120"/>
    </row>
    <row r="243" spans="1:16" ht="15" customHeight="1" thickTop="1" thickBot="1" x14ac:dyDescent="0.35">
      <c r="B243" s="41" t="s">
        <v>61</v>
      </c>
      <c r="J243" s="1"/>
      <c r="K243" s="51">
        <v>0</v>
      </c>
      <c r="L243" s="120"/>
    </row>
    <row r="244" spans="1:16" ht="15" customHeight="1" thickTop="1" thickBot="1" x14ac:dyDescent="0.35">
      <c r="B244" s="45">
        <f>IFERROR(B235/B232,0)</f>
        <v>0</v>
      </c>
      <c r="J244" s="1"/>
      <c r="L244" s="120"/>
    </row>
    <row r="245" spans="1:16" ht="15" customHeight="1" thickTop="1" x14ac:dyDescent="0.3">
      <c r="A245" s="147" t="s">
        <v>62</v>
      </c>
      <c r="B245" s="147"/>
      <c r="C245" s="110">
        <f ca="1">B235*E245</f>
        <v>0</v>
      </c>
      <c r="D245" s="76">
        <f ca="1">MONTH(TODAY())</f>
        <v>4</v>
      </c>
      <c r="E245" s="77">
        <f ca="1">IF(D245=7,2,IF(D245=8,3,IF(D245=9,4,IF(D245=10,5,IF(D245=11,7,IF(D245=12,8,))))))</f>
        <v>0</v>
      </c>
      <c r="J245" s="1"/>
      <c r="L245" s="120"/>
    </row>
    <row r="246" spans="1:16" ht="15" customHeight="1" x14ac:dyDescent="0.3">
      <c r="B246" s="73">
        <f>IF(M240=TRUE,"n.a.",SUM(P232:P239))</f>
        <v>0</v>
      </c>
    </row>
    <row r="247" spans="1:16" ht="15" customHeight="1" x14ac:dyDescent="0.3">
      <c r="M247" s="21"/>
    </row>
    <row r="248" spans="1:16" ht="15" customHeight="1" x14ac:dyDescent="0.3"/>
  </sheetData>
  <sheetProtection algorithmName="SHA-512" hashValue="g67bfddK9kymWUDFfGKEkyoiLaE+H1IIhDBEPaNwquk8PKLYwvuikw/fZ6SRDvs5Mwd2WAnEAnxiv2++ZksYkw==" saltValue="HWq7PCPZW84480gnyfBwZg==" spinCount="100000" sheet="1" objects="1" scenarios="1"/>
  <mergeCells count="31">
    <mergeCell ref="K238:K242"/>
    <mergeCell ref="K161:K164"/>
    <mergeCell ref="K41:K44"/>
    <mergeCell ref="K185:K188"/>
    <mergeCell ref="K233:K236"/>
    <mergeCell ref="K207:K208"/>
    <mergeCell ref="K87:K88"/>
    <mergeCell ref="K65:K68"/>
    <mergeCell ref="K113:K116"/>
    <mergeCell ref="K118:K122"/>
    <mergeCell ref="C1:G1"/>
    <mergeCell ref="C111:D111"/>
    <mergeCell ref="C15:D15"/>
    <mergeCell ref="C39:D39"/>
    <mergeCell ref="C63:D63"/>
    <mergeCell ref="C87:D87"/>
    <mergeCell ref="C231:D231"/>
    <mergeCell ref="A221:B221"/>
    <mergeCell ref="A245:B245"/>
    <mergeCell ref="A77:B77"/>
    <mergeCell ref="A29:B29"/>
    <mergeCell ref="A53:B53"/>
    <mergeCell ref="A101:B101"/>
    <mergeCell ref="A125:B125"/>
    <mergeCell ref="A149:B149"/>
    <mergeCell ref="A173:B173"/>
    <mergeCell ref="A197:B197"/>
    <mergeCell ref="C135:D135"/>
    <mergeCell ref="C159:D159"/>
    <mergeCell ref="C183:D183"/>
    <mergeCell ref="C207:D207"/>
  </mergeCells>
  <conditionalFormatting sqref="I16:I28">
    <cfRule type="cellIs" dxfId="53" priority="1" operator="equal">
      <formula>$B$30</formula>
    </cfRule>
  </conditionalFormatting>
  <conditionalFormatting sqref="I40:I52">
    <cfRule type="cellIs" dxfId="52" priority="142" operator="equal">
      <formula>$B$54</formula>
    </cfRule>
  </conditionalFormatting>
  <conditionalFormatting sqref="I64:I76">
    <cfRule type="cellIs" dxfId="51" priority="143" operator="equal">
      <formula>$B$78</formula>
    </cfRule>
  </conditionalFormatting>
  <conditionalFormatting sqref="I88:I100">
    <cfRule type="cellIs" dxfId="50" priority="144" operator="equal">
      <formula>$B$102</formula>
    </cfRule>
  </conditionalFormatting>
  <conditionalFormatting sqref="I112:I124">
    <cfRule type="cellIs" dxfId="49" priority="145" operator="equal">
      <formula>$B$126</formula>
    </cfRule>
  </conditionalFormatting>
  <conditionalFormatting sqref="I136:I145">
    <cfRule type="cellIs" dxfId="48" priority="146" operator="equal">
      <formula>$B$150</formula>
    </cfRule>
    <cfRule type="cellIs" dxfId="47" priority="147" operator="equal">
      <formula>$B$145</formula>
    </cfRule>
  </conditionalFormatting>
  <conditionalFormatting sqref="I160:I169">
    <cfRule type="cellIs" dxfId="46" priority="148" operator="equal">
      <formula>$B$174</formula>
    </cfRule>
  </conditionalFormatting>
  <conditionalFormatting sqref="I184:I193">
    <cfRule type="cellIs" dxfId="45" priority="149" operator="equal">
      <formula>$B$198</formula>
    </cfRule>
  </conditionalFormatting>
  <conditionalFormatting sqref="I208:I216">
    <cfRule type="cellIs" dxfId="44" priority="150" operator="equal">
      <formula>$B$222</formula>
    </cfRule>
  </conditionalFormatting>
  <conditionalFormatting sqref="I232:I240">
    <cfRule type="cellIs" dxfId="43" priority="151" operator="equal">
      <formula>$B$246</formula>
    </cfRule>
  </conditionalFormatting>
  <conditionalFormatting sqref="J162 L162">
    <cfRule type="containsText" dxfId="42" priority="20" operator="containsText" text="&quot;Três&quot;">
      <formula>NOT(ISERROR(SEARCH("""Três""",J162)))</formula>
    </cfRule>
  </conditionalFormatting>
  <conditionalFormatting sqref="N16:N28 N160:N169 P160:P169 O170:O176 R174:R176 N232:N240 P232:P240">
    <cfRule type="cellIs" dxfId="33" priority="77" operator="greaterThan">
      <formula>0</formula>
    </cfRule>
  </conditionalFormatting>
  <conditionalFormatting sqref="N40:N52">
    <cfRule type="cellIs" dxfId="32" priority="74" operator="greaterThan">
      <formula>0</formula>
    </cfRule>
  </conditionalFormatting>
  <conditionalFormatting sqref="N64:N76">
    <cfRule type="cellIs" dxfId="31" priority="71" operator="greaterThan">
      <formula>0</formula>
    </cfRule>
  </conditionalFormatting>
  <conditionalFormatting sqref="N88:N100">
    <cfRule type="cellIs" dxfId="30" priority="68" operator="greaterThan">
      <formula>0</formula>
    </cfRule>
  </conditionalFormatting>
  <conditionalFormatting sqref="N112:N124">
    <cfRule type="cellIs" dxfId="29" priority="64" operator="greaterThan">
      <formula>0</formula>
    </cfRule>
  </conditionalFormatting>
  <conditionalFormatting sqref="N136:N152">
    <cfRule type="cellIs" dxfId="28" priority="55" operator="greaterThan">
      <formula>0</formula>
    </cfRule>
  </conditionalFormatting>
  <conditionalFormatting sqref="N184:N193 P184:P193 O194:O200">
    <cfRule type="cellIs" dxfId="27" priority="40" operator="greaterThan">
      <formula>0</formula>
    </cfRule>
  </conditionalFormatting>
  <conditionalFormatting sqref="N208:N217">
    <cfRule type="cellIs" dxfId="26" priority="35" operator="greaterThan">
      <formula>0</formula>
    </cfRule>
  </conditionalFormatting>
  <conditionalFormatting sqref="P208:P217">
    <cfRule type="cellIs" dxfId="25" priority="37" operator="greaterThan">
      <formula>0</formula>
    </cfRule>
    <cfRule type="cellIs" priority="38" operator="greaterThan">
      <formula>0</formula>
    </cfRule>
  </conditionalFormatting>
  <conditionalFormatting sqref="Q16:Q28">
    <cfRule type="cellIs" dxfId="24" priority="76" operator="greaterThan">
      <formula>0</formula>
    </cfRule>
  </conditionalFormatting>
  <conditionalFormatting sqref="Q40:Q52">
    <cfRule type="cellIs" dxfId="23" priority="73" operator="greaterThan">
      <formula>0</formula>
    </cfRule>
  </conditionalFormatting>
  <conditionalFormatting sqref="Q64:Q76">
    <cfRule type="cellIs" dxfId="22" priority="70" operator="greaterThan">
      <formula>0</formula>
    </cfRule>
  </conditionalFormatting>
  <conditionalFormatting sqref="Q88:Q100 P136:P145 Q146:Q152">
    <cfRule type="cellIs" dxfId="21" priority="66" operator="greaterThan">
      <formula>0</formula>
    </cfRule>
    <cfRule type="cellIs" priority="67" operator="greaterThan">
      <formula>0</formula>
    </cfRule>
  </conditionalFormatting>
  <conditionalFormatting sqref="Q112:Q124">
    <cfRule type="cellIs" dxfId="20" priority="63" operator="greaterThan">
      <formula>0</formula>
    </cfRule>
  </conditionalFormatting>
  <dataValidations count="10">
    <dataValidation type="list" allowBlank="1" showInputMessage="1" showErrorMessage="1" sqref="B14" xr:uid="{37C793DD-927A-4F50-A1CA-37D5754C8290}">
      <formula1>$R$14:$R$16</formula1>
    </dataValidation>
    <dataValidation type="list" allowBlank="1" showInputMessage="1" showErrorMessage="1" sqref="B62" xr:uid="{7C077A53-1DA2-4194-9AFB-FFA0BB4AE00D}">
      <formula1>$T$62:$T$64</formula1>
    </dataValidation>
    <dataValidation type="list" allowBlank="1" showInputMessage="1" showErrorMessage="1" sqref="B86" xr:uid="{6BA0D837-92F1-40DF-8542-562FEF9AEA3C}">
      <formula1>$T$86:$T$88</formula1>
    </dataValidation>
    <dataValidation type="list" allowBlank="1" showInputMessage="1" showErrorMessage="1" sqref="B110" xr:uid="{8BB86D29-9EAD-4926-AF39-AAF4315CD09A}">
      <formula1>$U$110:$U$112</formula1>
    </dataValidation>
    <dataValidation type="list" allowBlank="1" showInputMessage="1" showErrorMessage="1" sqref="B134" xr:uid="{E2C461F3-8FAC-4999-B684-7214E7B14FC6}">
      <formula1>$Q$134:$Q$136</formula1>
    </dataValidation>
    <dataValidation type="list" allowBlank="1" showInputMessage="1" showErrorMessage="1" sqref="B158" xr:uid="{96F35C93-6B0F-4B2D-BEFE-CF3E4B5DC883}">
      <formula1>$S$158:$S$160</formula1>
    </dataValidation>
    <dataValidation type="list" allowBlank="1" showInputMessage="1" showErrorMessage="1" sqref="B182" xr:uid="{C3B868E9-4E1A-4526-8E5D-DA43FCD3E7D3}">
      <formula1>$S$182:$S$184</formula1>
    </dataValidation>
    <dataValidation type="list" allowBlank="1" showInputMessage="1" showErrorMessage="1" sqref="B206" xr:uid="{C2A92DC6-4D66-4801-AEC6-C242B78FDD8C}">
      <formula1>$S$206:$S$208</formula1>
    </dataValidation>
    <dataValidation type="list" allowBlank="1" showInputMessage="1" showErrorMessage="1" sqref="B230" xr:uid="{4330C8B9-E6D7-401D-A404-9A215409D359}">
      <formula1>$T$230:$T$232</formula1>
    </dataValidation>
    <dataValidation type="list" allowBlank="1" showInputMessage="1" showErrorMessage="1" sqref="B38" xr:uid="{1280EAA2-65FC-4686-8C77-CF1D1B7C0ADB}">
      <formula1>$T$38:$T$40</formula1>
    </dataValidation>
  </dataValidations>
  <hyperlinks>
    <hyperlink ref="C1" r:id="rId1" tooltip="Tabela - 2023 - Semestre 2" xr:uid="{66B2D420-9B04-49E0-A1B6-CAB187116209}"/>
    <hyperlink ref="B6" r:id="rId2" tooltip="Despacho n.º 14043-B/2022, de 05/12" display="https://info.portaldasfinancas.gov.pt/pt/informacao_fiscal/legislacao/diplomas_legislativos/Documents/Despacho_14043_B_2022.pdf" xr:uid="{AFEC8455-646F-430E-983D-DB2396018E4A}"/>
    <hyperlink ref="B7" r:id="rId3" tooltip="Despacho n.º 4930/2023, de 26 de abril" xr:uid="{B0F09565-4680-426A-AD96-7C3AD67CDAF2}"/>
  </hyperlinks>
  <printOptions horizontalCentered="1"/>
  <pageMargins left="0.51181102362204722" right="0.51181102362204722" top="0.55118110236220474" bottom="0.55118110236220474" header="0" footer="0"/>
  <pageSetup paperSize="9" fitToHeight="7" orientation="portrait"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8" operator="containsText" id="{9F8C3176-8A37-4448-8A1A-BC4717D07C30}">
            <xm:f>NOT(ISERROR(SEARCH("VERDADEIRO",M16)))</xm:f>
            <xm:f>"VERDADEIRO"</xm:f>
            <x14:dxf>
              <font>
                <b/>
                <i val="0"/>
                <color rgb="FFFF0000"/>
              </font>
            </x14:dxf>
          </x14:cfRule>
          <xm:sqref>M16:M28 M160:M169 N170:N176 M232:M240</xm:sqref>
        </x14:conditionalFormatting>
        <x14:conditionalFormatting xmlns:xm="http://schemas.microsoft.com/office/excel/2006/main">
          <x14:cfRule type="containsText" priority="75" operator="containsText" id="{490097B7-00CC-4553-8006-E263CB7AF100}">
            <xm:f>NOT(ISERROR(SEARCH("VERDADEIRO",M40)))</xm:f>
            <xm:f>"VERDADEIRO"</xm:f>
            <x14:dxf>
              <font>
                <b/>
                <i val="0"/>
                <color rgb="FFFF0000"/>
              </font>
            </x14:dxf>
          </x14:cfRule>
          <xm:sqref>M40:M52</xm:sqref>
        </x14:conditionalFormatting>
        <x14:conditionalFormatting xmlns:xm="http://schemas.microsoft.com/office/excel/2006/main">
          <x14:cfRule type="containsText" priority="72" operator="containsText" id="{CE7DF96F-115C-40FD-9BA3-8FD11514B5DA}">
            <xm:f>NOT(ISERROR(SEARCH("VERDADEIRO",M64)))</xm:f>
            <xm:f>"VERDADEIRO"</xm:f>
            <x14:dxf>
              <font>
                <b/>
                <i val="0"/>
                <color rgb="FFFF0000"/>
              </font>
            </x14:dxf>
          </x14:cfRule>
          <xm:sqref>M64:M76</xm:sqref>
        </x14:conditionalFormatting>
        <x14:conditionalFormatting xmlns:xm="http://schemas.microsoft.com/office/excel/2006/main">
          <x14:cfRule type="containsText" priority="69" operator="containsText" id="{4CA32713-79EF-472F-A90E-1BE942538D87}">
            <xm:f>NOT(ISERROR(SEARCH("VERDADEIRO",M88)))</xm:f>
            <xm:f>"VERDADEIRO"</xm:f>
            <x14:dxf>
              <font>
                <b/>
                <i val="0"/>
                <color rgb="FFFF0000"/>
              </font>
            </x14:dxf>
          </x14:cfRule>
          <xm:sqref>M88:M100</xm:sqref>
        </x14:conditionalFormatting>
        <x14:conditionalFormatting xmlns:xm="http://schemas.microsoft.com/office/excel/2006/main">
          <x14:cfRule type="containsText" priority="65" operator="containsText" id="{61B3979A-EA72-446D-A2E3-A5609034739C}">
            <xm:f>NOT(ISERROR(SEARCH("VERDADEIRO",M112)))</xm:f>
            <xm:f>"VERDADEIRO"</xm:f>
            <x14:dxf>
              <font>
                <b/>
                <i val="0"/>
                <color rgb="FFFF0000"/>
              </font>
            </x14:dxf>
          </x14:cfRule>
          <xm:sqref>M112:M124</xm:sqref>
        </x14:conditionalFormatting>
        <x14:conditionalFormatting xmlns:xm="http://schemas.microsoft.com/office/excel/2006/main">
          <x14:cfRule type="containsText" priority="56" operator="containsText" id="{BE7B3E8B-F969-4F12-8C18-597D6C27FC2B}">
            <xm:f>NOT(ISERROR(SEARCH("VERDADEIRO",M136)))</xm:f>
            <xm:f>"VERDADEIRO"</xm:f>
            <x14:dxf>
              <font>
                <b/>
                <i val="0"/>
                <color rgb="FFFF0000"/>
              </font>
            </x14:dxf>
          </x14:cfRule>
          <xm:sqref>M136:M152</xm:sqref>
        </x14:conditionalFormatting>
        <x14:conditionalFormatting xmlns:xm="http://schemas.microsoft.com/office/excel/2006/main">
          <x14:cfRule type="containsText" priority="41" operator="containsText" id="{CD13AC43-45BC-4844-AC5D-01C992A5CFF4}">
            <xm:f>NOT(ISERROR(SEARCH("VERDADEIRO",M184)))</xm:f>
            <xm:f>"VERDADEIRO"</xm:f>
            <x14:dxf>
              <font>
                <b/>
                <i val="0"/>
                <color rgb="FFFF0000"/>
              </font>
            </x14:dxf>
          </x14:cfRule>
          <xm:sqref>M184:M193 N194:N200</xm:sqref>
        </x14:conditionalFormatting>
        <x14:conditionalFormatting xmlns:xm="http://schemas.microsoft.com/office/excel/2006/main">
          <x14:cfRule type="containsText" priority="36" operator="containsText" id="{467C82F5-7D9C-4505-9DD1-4E7CE98193A0}">
            <xm:f>NOT(ISERROR(SEARCH("VERDADEIRO",M208)))</xm:f>
            <xm:f>"VERDADEIRO"</xm:f>
            <x14:dxf>
              <font>
                <b/>
                <i val="0"/>
                <color rgb="FFFF0000"/>
              </font>
            </x14:dxf>
          </x14:cfRule>
          <xm:sqref>M208:M217</xm:sqref>
        </x14:conditionalFormatting>
        <x14:conditionalFormatting xmlns:xm="http://schemas.microsoft.com/office/excel/2006/main">
          <x14:cfRule type="containsText" priority="19" operator="containsText" id="{0D1F34C9-4328-4367-BFE2-0BE40D825645}">
            <xm:f>NOT(ISERROR(SEARCH(IF($J$162="Três",),S165)))</xm:f>
            <xm:f>IF($J$162="Três",)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S165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/>
  <dimension ref="A1:Z127"/>
  <sheetViews>
    <sheetView showGridLines="0" showRowColHeaders="0" topLeftCell="A91" zoomScaleNormal="100" workbookViewId="0">
      <selection activeCell="K121" sqref="K121"/>
    </sheetView>
  </sheetViews>
  <sheetFormatPr defaultColWidth="0" defaultRowHeight="0" customHeight="1" zeroHeight="1" x14ac:dyDescent="0.25"/>
  <cols>
    <col min="1" max="1" width="5.69140625" style="2" customWidth="1"/>
    <col min="2" max="2" width="18.3046875" style="2" customWidth="1"/>
    <col min="3" max="5" width="9.69140625" style="1" customWidth="1"/>
    <col min="6" max="6" width="23.23046875" style="1" customWidth="1"/>
    <col min="7" max="7" width="2.69140625" style="1" customWidth="1"/>
    <col min="8" max="8" width="14.69140625" style="1" customWidth="1"/>
    <col min="9" max="9" width="2.69140625" style="2" customWidth="1"/>
    <col min="10" max="11" width="19.15234375" style="2" customWidth="1"/>
    <col min="12" max="12" width="2.69140625" style="117" customWidth="1"/>
    <col min="13" max="18" width="11.69140625" style="2" hidden="1" customWidth="1"/>
    <col min="19" max="19" width="9" style="2" hidden="1" customWidth="1"/>
    <col min="20" max="23" width="11.69140625" style="2" hidden="1" customWidth="1"/>
    <col min="24" max="24" width="9" style="2" hidden="1" customWidth="1"/>
    <col min="25" max="26" width="0" style="2" hidden="1" customWidth="1"/>
    <col min="27" max="16384" width="9" style="2" hidden="1"/>
  </cols>
  <sheetData>
    <row r="1" spans="2:24" ht="25" customHeight="1" x14ac:dyDescent="0.25">
      <c r="C1" s="163" t="s">
        <v>0</v>
      </c>
      <c r="D1" s="163"/>
      <c r="E1" s="163"/>
      <c r="F1" s="163"/>
      <c r="G1" s="163"/>
      <c r="H1" s="163"/>
    </row>
    <row r="2" spans="2:24" ht="15" customHeight="1" x14ac:dyDescent="0.25"/>
    <row r="3" spans="2:24" ht="15" customHeight="1" x14ac:dyDescent="0.25">
      <c r="B3" s="10" t="s">
        <v>63</v>
      </c>
    </row>
    <row r="4" spans="2:24" ht="20" customHeight="1" x14ac:dyDescent="0.25"/>
    <row r="5" spans="2:24" ht="15" customHeight="1" x14ac:dyDescent="0.25"/>
    <row r="6" spans="2:24" ht="15" customHeight="1" x14ac:dyDescent="0.25">
      <c r="C6" s="1" t="s">
        <v>0</v>
      </c>
    </row>
    <row r="7" spans="2:24" ht="15" customHeight="1" x14ac:dyDescent="0.25">
      <c r="C7" s="1" t="s">
        <v>29</v>
      </c>
    </row>
    <row r="8" spans="2:24" ht="15" customHeight="1" x14ac:dyDescent="0.25">
      <c r="C8" s="11" t="s">
        <v>30</v>
      </c>
      <c r="D8" s="12"/>
      <c r="E8" s="12"/>
      <c r="J8" s="116"/>
      <c r="K8" s="114"/>
    </row>
    <row r="9" spans="2:24" ht="15" customHeight="1" x14ac:dyDescent="0.25">
      <c r="J9" s="115"/>
      <c r="K9" s="19"/>
    </row>
    <row r="10" spans="2:24" ht="83" customHeight="1" thickBot="1" x14ac:dyDescent="0.3">
      <c r="B10" s="135" t="s">
        <v>97</v>
      </c>
      <c r="C10" s="164" t="s">
        <v>3</v>
      </c>
      <c r="D10" s="146"/>
      <c r="E10" s="86" t="s">
        <v>4</v>
      </c>
      <c r="F10" s="86" t="s">
        <v>66</v>
      </c>
      <c r="G10" s="88"/>
      <c r="H10" s="101" t="s">
        <v>6</v>
      </c>
      <c r="I10" s="102"/>
      <c r="J10" s="113" t="s">
        <v>100</v>
      </c>
      <c r="K10" s="113" t="s">
        <v>99</v>
      </c>
      <c r="L10" s="122"/>
      <c r="M10" s="32" t="s">
        <v>47</v>
      </c>
      <c r="N10" s="33" t="s">
        <v>54</v>
      </c>
      <c r="O10" s="33" t="s">
        <v>53</v>
      </c>
      <c r="P10" s="32" t="s">
        <v>52</v>
      </c>
      <c r="Q10" s="32" t="s">
        <v>48</v>
      </c>
      <c r="R10" s="32" t="s">
        <v>49</v>
      </c>
      <c r="T10" s="106" t="s">
        <v>71</v>
      </c>
      <c r="U10" s="106" t="s">
        <v>72</v>
      </c>
      <c r="V10" s="106" t="s">
        <v>73</v>
      </c>
      <c r="W10" s="106" t="s">
        <v>74</v>
      </c>
    </row>
    <row r="11" spans="2:24" ht="15" customHeight="1" thickTop="1" thickBot="1" x14ac:dyDescent="0.3">
      <c r="B11" s="39">
        <v>0</v>
      </c>
      <c r="C11" s="38" t="s">
        <v>7</v>
      </c>
      <c r="D11" s="4">
        <v>762</v>
      </c>
      <c r="E11" s="5">
        <v>0</v>
      </c>
      <c r="F11" s="4">
        <v>0</v>
      </c>
      <c r="G11" s="55"/>
      <c r="H11" s="68">
        <v>0</v>
      </c>
      <c r="I11" s="57"/>
      <c r="J11" s="112">
        <v>0</v>
      </c>
      <c r="K11" s="112">
        <v>0</v>
      </c>
      <c r="M11" s="65" t="b">
        <f>AND(B11&lt;=D11)</f>
        <v>1</v>
      </c>
      <c r="N11" s="30">
        <f>(IF(O11&gt;1,B11*R11,))</f>
        <v>0</v>
      </c>
      <c r="O11" s="31">
        <f>IF(M11=TRUE,P11-Q11,0)</f>
        <v>0</v>
      </c>
      <c r="P11" s="31">
        <f>B11*E11</f>
        <v>0</v>
      </c>
      <c r="Q11" s="31">
        <v>0</v>
      </c>
      <c r="R11" s="34">
        <f t="shared" ref="R11:R22" si="0">IF(M11=TRUE,H11,0)</f>
        <v>0</v>
      </c>
      <c r="S11" s="10">
        <v>0</v>
      </c>
      <c r="T11" s="104">
        <v>0</v>
      </c>
      <c r="U11" s="105">
        <v>0</v>
      </c>
      <c r="V11" s="104">
        <v>0</v>
      </c>
      <c r="W11" s="105">
        <v>0</v>
      </c>
      <c r="X11" s="2">
        <f>SUM(T11:W11)</f>
        <v>0</v>
      </c>
    </row>
    <row r="12" spans="2:24" ht="15" customHeight="1" thickTop="1" thickBot="1" x14ac:dyDescent="0.3">
      <c r="B12" s="40"/>
      <c r="C12" s="38" t="s">
        <v>7</v>
      </c>
      <c r="D12" s="4">
        <v>886.57</v>
      </c>
      <c r="E12" s="5">
        <v>0.14499999999999999</v>
      </c>
      <c r="F12" s="6" t="s">
        <v>31</v>
      </c>
      <c r="G12" s="55"/>
      <c r="H12" s="68">
        <v>5.0999999999999997E-2</v>
      </c>
      <c r="I12" s="58"/>
      <c r="J12" s="152" t="s">
        <v>102</v>
      </c>
      <c r="K12" s="152" t="s">
        <v>103</v>
      </c>
      <c r="M12" s="23" t="b">
        <f>AND((B11&gt;D11),(B11&lt;=D12))</f>
        <v>0</v>
      </c>
      <c r="N12" s="24">
        <f>IF(O12&gt;1,$B$11*R12,)</f>
        <v>0</v>
      </c>
      <c r="O12" s="24">
        <f>IF(M12=TRUE,P12,0)</f>
        <v>0</v>
      </c>
      <c r="P12" s="24">
        <f>B11*E12-Q12</f>
        <v>-378.90269000000001</v>
      </c>
      <c r="Q12" s="24">
        <f>E12*2.3*(1136.14-B11)-X12</f>
        <v>378.90269000000001</v>
      </c>
      <c r="R12" s="25">
        <f t="shared" si="0"/>
        <v>0</v>
      </c>
      <c r="S12" s="92">
        <f>IF(R12&gt;0,1,)</f>
        <v>0</v>
      </c>
      <c r="T12" s="81">
        <f>IF(S12=0,0,IF($J$11&gt;=1,42.86*$J$11,))</f>
        <v>0</v>
      </c>
      <c r="U12" s="103">
        <f>IF(S12=0,0,IF($K$11&gt;=1,21.43*$K$11,))</f>
        <v>0</v>
      </c>
      <c r="V12" s="81">
        <f t="shared" ref="V12:V23" si="1">IF(S12=0,0,IF($J$16&gt;=1,84.82*$J$16,))</f>
        <v>0</v>
      </c>
      <c r="W12" s="103">
        <f t="shared" ref="W12:W23" si="2">IF(S12=0,0,IF($K$16&gt;=1,42.41*$K$16,))</f>
        <v>0</v>
      </c>
      <c r="X12" s="2">
        <f t="shared" ref="X12:X23" si="3">SUM(T12:W12)</f>
        <v>0</v>
      </c>
    </row>
    <row r="13" spans="2:24" ht="15" customHeight="1" thickTop="1" x14ac:dyDescent="0.25">
      <c r="B13" s="41" t="s">
        <v>57</v>
      </c>
      <c r="C13" s="38" t="s">
        <v>7</v>
      </c>
      <c r="D13" s="4">
        <v>932.14</v>
      </c>
      <c r="E13" s="5">
        <v>0.21</v>
      </c>
      <c r="F13" s="6" t="s">
        <v>32</v>
      </c>
      <c r="G13" s="55"/>
      <c r="H13" s="68">
        <v>7.1999999999999995E-2</v>
      </c>
      <c r="I13" s="58"/>
      <c r="J13" s="153"/>
      <c r="K13" s="153"/>
      <c r="M13" s="23" t="b">
        <f>AND((B11&gt;D12),(B11&lt;=D13))</f>
        <v>0</v>
      </c>
      <c r="N13" s="24">
        <f t="shared" ref="N13:N23" si="4">IF(O13&gt;1,$B$11*R13,)</f>
        <v>0</v>
      </c>
      <c r="O13" s="24">
        <f>IF(M13=TRUE,P13,0)</f>
        <v>0</v>
      </c>
      <c r="P13" s="24">
        <f>B11*E13-Q13</f>
        <v>-382.89615000000003</v>
      </c>
      <c r="Q13" s="24">
        <f>E13*1.3*(1402.55-B11)-X13</f>
        <v>382.89615000000003</v>
      </c>
      <c r="R13" s="25">
        <f t="shared" si="0"/>
        <v>0</v>
      </c>
      <c r="S13" s="92">
        <f>IF(R13&gt;0,1,)</f>
        <v>0</v>
      </c>
      <c r="T13" s="81">
        <f t="shared" ref="T13:T22" si="5">IF(S13=0,0,IF($J$11&gt;=1,42.86*$J$11,))</f>
        <v>0</v>
      </c>
      <c r="U13" s="103">
        <f t="shared" ref="U13:U23" si="6">IF(S13=0,0,IF($K$11&gt;=1,21.43*$K$11,))</f>
        <v>0</v>
      </c>
      <c r="V13" s="81">
        <f t="shared" si="1"/>
        <v>0</v>
      </c>
      <c r="W13" s="103">
        <f t="shared" si="2"/>
        <v>0</v>
      </c>
      <c r="X13" s="2">
        <f t="shared" si="3"/>
        <v>0</v>
      </c>
    </row>
    <row r="14" spans="2:24" ht="15" customHeight="1" thickBot="1" x14ac:dyDescent="0.3">
      <c r="B14" s="42">
        <f>IF(ROUNDDOWN(SUM(O11:O23),0)&lt;0,0,ROUNDDOWN(SUM(O11:O23),0))</f>
        <v>0</v>
      </c>
      <c r="C14" s="38" t="s">
        <v>7</v>
      </c>
      <c r="D14" s="4">
        <v>1067</v>
      </c>
      <c r="E14" s="5">
        <v>0.21</v>
      </c>
      <c r="F14" s="4">
        <v>128.43</v>
      </c>
      <c r="G14" s="55"/>
      <c r="H14" s="68">
        <v>0.09</v>
      </c>
      <c r="I14" s="58"/>
      <c r="J14" s="153"/>
      <c r="K14" s="153"/>
      <c r="M14" s="23" t="b">
        <f>AND((B11&gt;D13),(B11&lt;=D14))</f>
        <v>0</v>
      </c>
      <c r="N14" s="24">
        <f t="shared" si="4"/>
        <v>0</v>
      </c>
      <c r="O14" s="24">
        <f>IF(M14=TRUE,Q14,0)</f>
        <v>0</v>
      </c>
      <c r="P14" s="24"/>
      <c r="Q14" s="24">
        <f>B11*E14-F14-X14</f>
        <v>-128.43</v>
      </c>
      <c r="R14" s="25">
        <f t="shared" si="0"/>
        <v>0</v>
      </c>
      <c r="S14" s="92">
        <f>IF(R14&gt;0,1,)</f>
        <v>0</v>
      </c>
      <c r="T14" s="81">
        <f t="shared" si="5"/>
        <v>0</v>
      </c>
      <c r="U14" s="103">
        <f t="shared" si="6"/>
        <v>0</v>
      </c>
      <c r="V14" s="81">
        <f t="shared" si="1"/>
        <v>0</v>
      </c>
      <c r="W14" s="103">
        <f t="shared" si="2"/>
        <v>0</v>
      </c>
      <c r="X14" s="2">
        <f t="shared" si="3"/>
        <v>0</v>
      </c>
    </row>
    <row r="15" spans="2:24" ht="15" customHeight="1" thickTop="1" thickBot="1" x14ac:dyDescent="0.3">
      <c r="B15" s="40"/>
      <c r="C15" s="38" t="s">
        <v>7</v>
      </c>
      <c r="D15" s="4">
        <v>1349.79</v>
      </c>
      <c r="E15" s="5">
        <v>0.26500000000000001</v>
      </c>
      <c r="F15" s="4">
        <v>187.11</v>
      </c>
      <c r="G15" s="55"/>
      <c r="H15" s="68">
        <v>0.126</v>
      </c>
      <c r="I15" s="58"/>
      <c r="J15" s="153"/>
      <c r="K15" s="153"/>
      <c r="M15" s="23" t="b">
        <f>AND((B11&gt;D14),(B11&lt;=D15))</f>
        <v>0</v>
      </c>
      <c r="N15" s="24">
        <f t="shared" si="4"/>
        <v>0</v>
      </c>
      <c r="O15" s="24">
        <f t="shared" ref="O15:O23" si="7">IF(M15=TRUE,Q15,0)</f>
        <v>0</v>
      </c>
      <c r="P15" s="24"/>
      <c r="Q15" s="24">
        <f>B11*E15-F15-X15</f>
        <v>-187.11</v>
      </c>
      <c r="R15" s="25">
        <f t="shared" si="0"/>
        <v>0</v>
      </c>
      <c r="S15" s="92">
        <f t="shared" ref="S15:S17" si="8">IF(R15&gt;0,1,)</f>
        <v>0</v>
      </c>
      <c r="T15" s="81">
        <f t="shared" si="5"/>
        <v>0</v>
      </c>
      <c r="U15" s="103">
        <f t="shared" si="6"/>
        <v>0</v>
      </c>
      <c r="V15" s="81">
        <f t="shared" si="1"/>
        <v>0</v>
      </c>
      <c r="W15" s="103">
        <f t="shared" si="2"/>
        <v>0</v>
      </c>
      <c r="X15" s="2">
        <f t="shared" si="3"/>
        <v>0</v>
      </c>
    </row>
    <row r="16" spans="2:24" ht="15" customHeight="1" thickTop="1" thickBot="1" x14ac:dyDescent="0.3">
      <c r="B16" s="41" t="s">
        <v>60</v>
      </c>
      <c r="C16" s="38" t="s">
        <v>7</v>
      </c>
      <c r="D16" s="4">
        <v>1871.79</v>
      </c>
      <c r="E16" s="5">
        <v>0.28499999999999998</v>
      </c>
      <c r="F16" s="4">
        <v>214.11</v>
      </c>
      <c r="G16" s="55"/>
      <c r="H16" s="68">
        <v>0.17100000000000001</v>
      </c>
      <c r="I16" s="58"/>
      <c r="J16" s="112">
        <v>0</v>
      </c>
      <c r="K16" s="112">
        <v>0</v>
      </c>
      <c r="M16" s="23" t="b">
        <f>AND((B11&gt;D15),(B11&lt;=D16))</f>
        <v>0</v>
      </c>
      <c r="N16" s="24">
        <f t="shared" si="4"/>
        <v>0</v>
      </c>
      <c r="O16" s="24">
        <f>IF(M16=TRUE,Q16,0)</f>
        <v>0</v>
      </c>
      <c r="P16" s="24"/>
      <c r="Q16" s="24">
        <f>B11*E16-F16-X16</f>
        <v>-214.11</v>
      </c>
      <c r="R16" s="25">
        <f t="shared" si="0"/>
        <v>0</v>
      </c>
      <c r="S16" s="92">
        <f t="shared" si="8"/>
        <v>0</v>
      </c>
      <c r="T16" s="81">
        <f t="shared" si="5"/>
        <v>0</v>
      </c>
      <c r="U16" s="103">
        <f t="shared" si="6"/>
        <v>0</v>
      </c>
      <c r="V16" s="81">
        <f t="shared" si="1"/>
        <v>0</v>
      </c>
      <c r="W16" s="103">
        <f t="shared" si="2"/>
        <v>0</v>
      </c>
      <c r="X16" s="2">
        <f t="shared" si="3"/>
        <v>0</v>
      </c>
    </row>
    <row r="17" spans="1:24" ht="15" customHeight="1" thickTop="1" thickBot="1" x14ac:dyDescent="0.3">
      <c r="B17" s="42">
        <f>B11-B14</f>
        <v>0</v>
      </c>
      <c r="C17" s="38" t="s">
        <v>7</v>
      </c>
      <c r="D17" s="4">
        <v>1932.79</v>
      </c>
      <c r="E17" s="5">
        <v>0.35</v>
      </c>
      <c r="F17" s="4">
        <v>335.77</v>
      </c>
      <c r="G17" s="55"/>
      <c r="H17" s="68">
        <v>0.17599999999999999</v>
      </c>
      <c r="I17" s="58"/>
      <c r="M17" s="23" t="b">
        <f>AND((B11&gt;D16),(B11&lt;=D17))</f>
        <v>0</v>
      </c>
      <c r="N17" s="24">
        <f t="shared" si="4"/>
        <v>0</v>
      </c>
      <c r="O17" s="24">
        <f t="shared" si="7"/>
        <v>0</v>
      </c>
      <c r="P17" s="24"/>
      <c r="Q17" s="24">
        <f>B11*E17-F17-X17</f>
        <v>-335.77</v>
      </c>
      <c r="R17" s="25">
        <f t="shared" si="0"/>
        <v>0</v>
      </c>
      <c r="S17" s="92">
        <f t="shared" si="8"/>
        <v>0</v>
      </c>
      <c r="T17" s="81">
        <f t="shared" si="5"/>
        <v>0</v>
      </c>
      <c r="U17" s="103">
        <f t="shared" si="6"/>
        <v>0</v>
      </c>
      <c r="V17" s="81">
        <f t="shared" si="1"/>
        <v>0</v>
      </c>
      <c r="W17" s="103">
        <f t="shared" si="2"/>
        <v>0</v>
      </c>
      <c r="X17" s="2">
        <f t="shared" si="3"/>
        <v>0</v>
      </c>
    </row>
    <row r="18" spans="1:24" ht="15" customHeight="1" thickTop="1" thickBot="1" x14ac:dyDescent="0.3">
      <c r="B18" s="40"/>
      <c r="C18" s="38" t="s">
        <v>7</v>
      </c>
      <c r="D18" s="4">
        <v>2131.14</v>
      </c>
      <c r="E18" s="5">
        <v>0.37</v>
      </c>
      <c r="F18" s="4">
        <v>374.43</v>
      </c>
      <c r="G18" s="55"/>
      <c r="H18" s="68">
        <v>0.19400000000000001</v>
      </c>
      <c r="I18" s="58"/>
      <c r="J18" s="100"/>
      <c r="K18" s="100"/>
      <c r="M18" s="23" t="b">
        <f>AND((B11&gt;D17),(B11&lt;=D18))</f>
        <v>0</v>
      </c>
      <c r="N18" s="24">
        <f t="shared" si="4"/>
        <v>0</v>
      </c>
      <c r="O18" s="24">
        <f t="shared" si="7"/>
        <v>0</v>
      </c>
      <c r="P18" s="24"/>
      <c r="Q18" s="24">
        <f>B11*E18-F18-X18</f>
        <v>-374.43</v>
      </c>
      <c r="R18" s="25">
        <f t="shared" si="0"/>
        <v>0</v>
      </c>
      <c r="S18" s="92">
        <f>IF(R18&gt;0,1,)</f>
        <v>0</v>
      </c>
      <c r="T18" s="81">
        <f t="shared" si="5"/>
        <v>0</v>
      </c>
      <c r="U18" s="103">
        <f t="shared" si="6"/>
        <v>0</v>
      </c>
      <c r="V18" s="81">
        <f t="shared" si="1"/>
        <v>0</v>
      </c>
      <c r="W18" s="103">
        <f t="shared" si="2"/>
        <v>0</v>
      </c>
      <c r="X18" s="2">
        <f t="shared" si="3"/>
        <v>0</v>
      </c>
    </row>
    <row r="19" spans="1:24" ht="15" customHeight="1" thickTop="1" x14ac:dyDescent="0.25">
      <c r="B19" s="41" t="s">
        <v>61</v>
      </c>
      <c r="C19" s="38" t="s">
        <v>7</v>
      </c>
      <c r="D19" s="4">
        <v>3184.79</v>
      </c>
      <c r="E19" s="5">
        <v>0.435</v>
      </c>
      <c r="F19" s="4">
        <v>512.95000000000005</v>
      </c>
      <c r="G19" s="55"/>
      <c r="H19" s="68">
        <v>0.27400000000000002</v>
      </c>
      <c r="I19" s="58"/>
      <c r="J19" s="100"/>
      <c r="K19" s="100"/>
      <c r="M19" s="23" t="b">
        <f>AND((B11&gt;D18),(B11&lt;=D19))</f>
        <v>0</v>
      </c>
      <c r="N19" s="24">
        <f t="shared" si="4"/>
        <v>0</v>
      </c>
      <c r="O19" s="24">
        <f t="shared" si="7"/>
        <v>0</v>
      </c>
      <c r="P19" s="24"/>
      <c r="Q19" s="24">
        <f>B11*E19-F19-X19</f>
        <v>-512.95000000000005</v>
      </c>
      <c r="R19" s="25">
        <f t="shared" si="0"/>
        <v>0</v>
      </c>
      <c r="S19" s="92">
        <f>IF(R19&gt;0,1,)</f>
        <v>0</v>
      </c>
      <c r="T19" s="81">
        <f t="shared" si="5"/>
        <v>0</v>
      </c>
      <c r="U19" s="103">
        <f t="shared" si="6"/>
        <v>0</v>
      </c>
      <c r="V19" s="81">
        <f t="shared" si="1"/>
        <v>0</v>
      </c>
      <c r="W19" s="103">
        <f t="shared" si="2"/>
        <v>0</v>
      </c>
      <c r="X19" s="2">
        <f t="shared" si="3"/>
        <v>0</v>
      </c>
    </row>
    <row r="20" spans="1:24" ht="15" customHeight="1" thickBot="1" x14ac:dyDescent="0.3">
      <c r="B20" s="45">
        <f>IFERROR(B14/B11,0)</f>
        <v>0</v>
      </c>
      <c r="C20" s="38" t="s">
        <v>7</v>
      </c>
      <c r="D20" s="4">
        <v>5924.21</v>
      </c>
      <c r="E20" s="5">
        <v>0.45</v>
      </c>
      <c r="F20" s="4">
        <v>560.73</v>
      </c>
      <c r="G20" s="55"/>
      <c r="H20" s="68">
        <v>0.35499999999999998</v>
      </c>
      <c r="I20" s="58"/>
      <c r="J20" s="100"/>
      <c r="K20" s="100"/>
      <c r="L20" s="118"/>
      <c r="M20" s="23" t="b">
        <f>AND((B11&gt;D19),(B11&lt;=D20))</f>
        <v>0</v>
      </c>
      <c r="N20" s="24">
        <f t="shared" si="4"/>
        <v>0</v>
      </c>
      <c r="O20" s="24">
        <f t="shared" si="7"/>
        <v>0</v>
      </c>
      <c r="P20" s="24"/>
      <c r="Q20" s="24">
        <f>B11*E20-F20-X20</f>
        <v>-560.73</v>
      </c>
      <c r="R20" s="25">
        <f t="shared" si="0"/>
        <v>0</v>
      </c>
      <c r="S20" s="92">
        <f>IF(R20&gt;0,1,)</f>
        <v>0</v>
      </c>
      <c r="T20" s="81">
        <f t="shared" si="5"/>
        <v>0</v>
      </c>
      <c r="U20" s="103">
        <f t="shared" si="6"/>
        <v>0</v>
      </c>
      <c r="V20" s="81">
        <f t="shared" si="1"/>
        <v>0</v>
      </c>
      <c r="W20" s="103">
        <f t="shared" si="2"/>
        <v>0</v>
      </c>
      <c r="X20" s="2">
        <f t="shared" si="3"/>
        <v>0</v>
      </c>
    </row>
    <row r="21" spans="1:24" ht="15" customHeight="1" thickTop="1" x14ac:dyDescent="0.25">
      <c r="B21" s="71">
        <f>IF(M23=TRUE,"n.a.",SUM(R11:R22))</f>
        <v>0</v>
      </c>
      <c r="C21" s="38" t="s">
        <v>7</v>
      </c>
      <c r="D21" s="4">
        <v>6007.43</v>
      </c>
      <c r="E21" s="5">
        <v>0.48</v>
      </c>
      <c r="F21" s="4">
        <v>738.45</v>
      </c>
      <c r="G21" s="55"/>
      <c r="H21" s="68">
        <v>0.35699999999999998</v>
      </c>
      <c r="I21" s="58"/>
      <c r="J21" s="100"/>
      <c r="K21" s="100"/>
      <c r="L21" s="118"/>
      <c r="M21" s="23" t="b">
        <f>AND((B11&gt;D20),(B11&lt;=D21))</f>
        <v>0</v>
      </c>
      <c r="N21" s="24">
        <f t="shared" si="4"/>
        <v>0</v>
      </c>
      <c r="O21" s="24">
        <f t="shared" si="7"/>
        <v>0</v>
      </c>
      <c r="P21" s="24"/>
      <c r="Q21" s="24">
        <f>B11*E21-F21-X21</f>
        <v>-738.45</v>
      </c>
      <c r="R21" s="25">
        <f t="shared" si="0"/>
        <v>0</v>
      </c>
      <c r="S21" s="92">
        <f t="shared" ref="S21:S22" si="9">IF(R21&gt;0,1,)</f>
        <v>0</v>
      </c>
      <c r="T21" s="81">
        <f t="shared" si="5"/>
        <v>0</v>
      </c>
      <c r="U21" s="103">
        <f t="shared" si="6"/>
        <v>0</v>
      </c>
      <c r="V21" s="81">
        <f t="shared" si="1"/>
        <v>0</v>
      </c>
      <c r="W21" s="103">
        <f t="shared" si="2"/>
        <v>0</v>
      </c>
      <c r="X21" s="2">
        <f t="shared" si="3"/>
        <v>0</v>
      </c>
    </row>
    <row r="22" spans="1:24" ht="15" customHeight="1" x14ac:dyDescent="0.25">
      <c r="B22" s="40"/>
      <c r="C22" s="38" t="s">
        <v>7</v>
      </c>
      <c r="D22" s="4">
        <v>18150.29</v>
      </c>
      <c r="E22" s="5">
        <v>0.505</v>
      </c>
      <c r="F22" s="4">
        <v>888.64</v>
      </c>
      <c r="G22" s="55"/>
      <c r="H22" s="68">
        <v>0.45600000000000002</v>
      </c>
      <c r="I22" s="58"/>
      <c r="J22" s="100"/>
      <c r="K22" s="100"/>
      <c r="L22" s="118"/>
      <c r="M22" s="23" t="b">
        <f>AND((B11&gt;D21),(B11&lt;=D22))</f>
        <v>0</v>
      </c>
      <c r="N22" s="24">
        <f t="shared" si="4"/>
        <v>0</v>
      </c>
      <c r="O22" s="24">
        <f t="shared" si="7"/>
        <v>0</v>
      </c>
      <c r="P22" s="24"/>
      <c r="Q22" s="24">
        <f>B11*E22-F22-X22</f>
        <v>-888.64</v>
      </c>
      <c r="R22" s="25">
        <f t="shared" si="0"/>
        <v>0</v>
      </c>
      <c r="S22" s="92">
        <f t="shared" si="9"/>
        <v>0</v>
      </c>
      <c r="T22" s="81">
        <f t="shared" si="5"/>
        <v>0</v>
      </c>
      <c r="U22" s="103">
        <f t="shared" si="6"/>
        <v>0</v>
      </c>
      <c r="V22" s="81">
        <f t="shared" si="1"/>
        <v>0</v>
      </c>
      <c r="W22" s="103">
        <f t="shared" si="2"/>
        <v>0</v>
      </c>
      <c r="X22" s="2">
        <f t="shared" si="3"/>
        <v>0</v>
      </c>
    </row>
    <row r="23" spans="1:24" ht="15" customHeight="1" x14ac:dyDescent="0.25">
      <c r="B23" s="40"/>
      <c r="C23" s="46" t="s">
        <v>8</v>
      </c>
      <c r="D23" s="4">
        <v>18150.29</v>
      </c>
      <c r="E23" s="5">
        <v>0.53</v>
      </c>
      <c r="F23" s="4">
        <v>1342.39</v>
      </c>
      <c r="G23" s="55"/>
      <c r="H23" s="68" t="s">
        <v>9</v>
      </c>
      <c r="I23" s="58"/>
      <c r="J23" s="100"/>
      <c r="K23" s="100"/>
      <c r="L23" s="118"/>
      <c r="M23" s="23" t="b">
        <f>AND(B11&gt;D22)</f>
        <v>0</v>
      </c>
      <c r="N23" s="24">
        <f t="shared" si="4"/>
        <v>0</v>
      </c>
      <c r="O23" s="24">
        <f t="shared" si="7"/>
        <v>0</v>
      </c>
      <c r="P23" s="24"/>
      <c r="Q23" s="24">
        <f>B11*E23-F23-X23</f>
        <v>-1342.39</v>
      </c>
      <c r="R23" s="25"/>
      <c r="S23" s="92">
        <f>IF(B21="n.a.",1,)</f>
        <v>0</v>
      </c>
      <c r="T23" s="81">
        <f>IF(S23=0,0,IF($J$11&gt;=1,42.86*$J$11,))</f>
        <v>0</v>
      </c>
      <c r="U23" s="103">
        <f t="shared" si="6"/>
        <v>0</v>
      </c>
      <c r="V23" s="81">
        <f t="shared" si="1"/>
        <v>0</v>
      </c>
      <c r="W23" s="103">
        <f t="shared" si="2"/>
        <v>0</v>
      </c>
      <c r="X23" s="2">
        <f t="shared" si="3"/>
        <v>0</v>
      </c>
    </row>
    <row r="24" spans="1:24" ht="15" customHeight="1" x14ac:dyDescent="0.3">
      <c r="A24" s="147" t="s">
        <v>62</v>
      </c>
      <c r="B24" s="148"/>
      <c r="C24" s="161">
        <f ca="1">B14*F24</f>
        <v>0</v>
      </c>
      <c r="D24" s="162"/>
      <c r="E24" s="78">
        <f ca="1">MONTH(TODAY())</f>
        <v>4</v>
      </c>
      <c r="F24" s="77">
        <f ca="1">IF(E24=7,2,IF(E24=8,3,IF(E24=9,4,IF(E24=10,5,IF(E24=11,7,IF(E24=12,8,))))))</f>
        <v>0</v>
      </c>
    </row>
    <row r="25" spans="1:24" ht="15" customHeight="1" x14ac:dyDescent="0.25"/>
    <row r="26" spans="1:24" ht="3" customHeight="1" x14ac:dyDescent="0.25">
      <c r="B26" s="37"/>
      <c r="C26" s="36"/>
      <c r="D26" s="36"/>
      <c r="E26" s="36"/>
      <c r="F26" s="36"/>
      <c r="G26" s="36"/>
      <c r="H26" s="36"/>
      <c r="I26" s="37"/>
      <c r="J26" s="37"/>
      <c r="K26" s="37"/>
    </row>
    <row r="27" spans="1:24" ht="15" customHeight="1" x14ac:dyDescent="0.25"/>
    <row r="28" spans="1:24" ht="15" customHeight="1" x14ac:dyDescent="0.25">
      <c r="C28" s="1" t="s">
        <v>0</v>
      </c>
    </row>
    <row r="29" spans="1:24" ht="15" customHeight="1" x14ac:dyDescent="0.25">
      <c r="C29" s="1" t="s">
        <v>33</v>
      </c>
    </row>
    <row r="30" spans="1:24" ht="15" customHeight="1" x14ac:dyDescent="0.25">
      <c r="C30" s="11" t="s">
        <v>34</v>
      </c>
      <c r="D30" s="11"/>
      <c r="J30" s="116"/>
      <c r="K30" s="114"/>
    </row>
    <row r="31" spans="1:24" ht="15" customHeight="1" x14ac:dyDescent="0.25">
      <c r="J31" s="115"/>
      <c r="K31" s="115"/>
    </row>
    <row r="32" spans="1:24" ht="83" customHeight="1" thickBot="1" x14ac:dyDescent="0.3">
      <c r="B32" s="135" t="s">
        <v>97</v>
      </c>
      <c r="C32" s="164" t="s">
        <v>3</v>
      </c>
      <c r="D32" s="146"/>
      <c r="E32" s="86" t="s">
        <v>4</v>
      </c>
      <c r="F32" s="86" t="s">
        <v>66</v>
      </c>
      <c r="G32" s="88"/>
      <c r="H32" s="89" t="s">
        <v>6</v>
      </c>
      <c r="I32" s="59"/>
      <c r="J32" s="113" t="s">
        <v>92</v>
      </c>
      <c r="K32" s="138" t="s">
        <v>104</v>
      </c>
      <c r="L32" s="122"/>
      <c r="M32" s="32" t="s">
        <v>47</v>
      </c>
      <c r="N32" s="33" t="s">
        <v>46</v>
      </c>
      <c r="O32" s="33" t="s">
        <v>55</v>
      </c>
      <c r="P32" s="32" t="s">
        <v>52</v>
      </c>
      <c r="Q32" s="32" t="s">
        <v>48</v>
      </c>
      <c r="R32" s="32" t="s">
        <v>49</v>
      </c>
      <c r="T32" s="106" t="s">
        <v>75</v>
      </c>
      <c r="U32" s="106" t="s">
        <v>77</v>
      </c>
      <c r="V32" s="106" t="s">
        <v>76</v>
      </c>
    </row>
    <row r="33" spans="1:23" ht="15" customHeight="1" thickTop="1" thickBot="1" x14ac:dyDescent="0.3">
      <c r="B33" s="39">
        <v>0</v>
      </c>
      <c r="C33" s="38" t="s">
        <v>7</v>
      </c>
      <c r="D33" s="4">
        <v>762</v>
      </c>
      <c r="E33" s="5">
        <v>0</v>
      </c>
      <c r="F33" s="4">
        <v>0</v>
      </c>
      <c r="G33" s="55"/>
      <c r="H33" s="68">
        <v>0</v>
      </c>
      <c r="I33" s="60"/>
      <c r="J33" s="112">
        <v>0</v>
      </c>
      <c r="K33" s="112">
        <v>0</v>
      </c>
      <c r="L33" s="119"/>
      <c r="M33" s="23" t="b">
        <f>AND(B33&lt;=D33)</f>
        <v>1</v>
      </c>
      <c r="N33" s="23">
        <f>IF(O33&gt;1,B33*R33,)</f>
        <v>0</v>
      </c>
      <c r="O33" s="23">
        <f>IF(M33=TRUE,P33-Q33,0)</f>
        <v>0</v>
      </c>
      <c r="P33" s="23">
        <f>B33*E33</f>
        <v>0</v>
      </c>
      <c r="Q33" s="23">
        <v>0</v>
      </c>
      <c r="R33" s="25">
        <f t="shared" ref="R33:R44" si="10">IF(M33=TRUE,H33,0)</f>
        <v>0</v>
      </c>
      <c r="S33" s="10">
        <v>0</v>
      </c>
      <c r="T33" s="104">
        <v>0</v>
      </c>
      <c r="U33" s="105">
        <v>0</v>
      </c>
      <c r="V33" s="104">
        <v>0</v>
      </c>
      <c r="W33" s="2">
        <f>SUM(T33:V33)</f>
        <v>0</v>
      </c>
    </row>
    <row r="34" spans="1:23" ht="15" customHeight="1" thickTop="1" thickBot="1" x14ac:dyDescent="0.3">
      <c r="B34" s="40"/>
      <c r="C34" s="38" t="s">
        <v>7</v>
      </c>
      <c r="D34" s="4">
        <v>886.57</v>
      </c>
      <c r="E34" s="5">
        <v>0.14499999999999999</v>
      </c>
      <c r="F34" s="6" t="s">
        <v>35</v>
      </c>
      <c r="G34" s="55"/>
      <c r="H34" s="68">
        <v>1.7999999999999999E-2</v>
      </c>
      <c r="I34" s="60"/>
      <c r="J34" s="150" t="s">
        <v>105</v>
      </c>
      <c r="K34" s="74"/>
      <c r="L34" s="119"/>
      <c r="M34" s="23" t="b">
        <f>AND((B33&gt;D33),(B33&lt;=D34))</f>
        <v>0</v>
      </c>
      <c r="N34" s="24">
        <f t="shared" ref="N34:N45" si="11">IF(O34&gt;1,$B$33*R34,)</f>
        <v>0</v>
      </c>
      <c r="O34" s="23">
        <f>IF(M34=TRUE,P34,0)</f>
        <v>0</v>
      </c>
      <c r="P34" s="27">
        <f>B33*E34-Q34</f>
        <v>-407.83381500000002</v>
      </c>
      <c r="Q34" s="27">
        <f>E34*2.3*(1222.89-B33)</f>
        <v>407.83381500000002</v>
      </c>
      <c r="R34" s="25">
        <f t="shared" si="10"/>
        <v>0</v>
      </c>
      <c r="S34" s="92">
        <f>IF(R34&gt;0,1,)</f>
        <v>0</v>
      </c>
      <c r="T34" s="81">
        <f>IF(S34=0,0,IF($J$33&gt;=1,42.86*$J$33,))</f>
        <v>0</v>
      </c>
      <c r="U34" s="103">
        <f>IF(S34=0,0,IF($K$33&gt;=1,84.82*$K$33,))</f>
        <v>0</v>
      </c>
      <c r="V34" s="81">
        <f t="shared" ref="V34:V45" si="12">IF(S34=0,0,IF($J$39&gt;=1,135.71*$J$39,))</f>
        <v>0</v>
      </c>
      <c r="W34" s="2">
        <f t="shared" ref="W34:W45" si="13">SUM(T34:V34)</f>
        <v>0</v>
      </c>
    </row>
    <row r="35" spans="1:23" ht="15" customHeight="1" thickTop="1" x14ac:dyDescent="0.25">
      <c r="B35" s="41" t="s">
        <v>57</v>
      </c>
      <c r="C35" s="38" t="s">
        <v>7</v>
      </c>
      <c r="D35" s="4">
        <v>932.14</v>
      </c>
      <c r="E35" s="5">
        <v>0.14499999999999999</v>
      </c>
      <c r="F35" s="6" t="s">
        <v>36</v>
      </c>
      <c r="G35" s="55"/>
      <c r="H35" s="68">
        <v>3.7999999999999999E-2</v>
      </c>
      <c r="I35" s="60"/>
      <c r="J35" s="151"/>
      <c r="K35" s="74"/>
      <c r="L35" s="119"/>
      <c r="M35" s="23" t="b">
        <f>AND((B33&gt;D34),(B33&lt;=D35))</f>
        <v>0</v>
      </c>
      <c r="N35" s="24">
        <f t="shared" si="11"/>
        <v>0</v>
      </c>
      <c r="O35" s="23">
        <f>IF(M35=TRUE,P35,0)</f>
        <v>0</v>
      </c>
      <c r="P35" s="27">
        <f>B33*E35-Q35</f>
        <v>-354.24380005</v>
      </c>
      <c r="Q35" s="23">
        <f>E35*1.883*(1297.43-B33)</f>
        <v>354.24380005</v>
      </c>
      <c r="R35" s="25">
        <f t="shared" si="10"/>
        <v>0</v>
      </c>
      <c r="S35" s="92">
        <f>IF(R35&gt;0,1,)</f>
        <v>0</v>
      </c>
      <c r="T35" s="81">
        <f t="shared" ref="T35:T45" si="14">IF(S35=0,0,IF($J$33&gt;=1,42.86*$J$33,))</f>
        <v>0</v>
      </c>
      <c r="U35" s="103">
        <f t="shared" ref="U35:U45" si="15">IF(S35=0,0,IF($K$33&gt;=1,84.82*$K$33,))</f>
        <v>0</v>
      </c>
      <c r="V35" s="81">
        <f t="shared" si="12"/>
        <v>0</v>
      </c>
      <c r="W35" s="2">
        <f t="shared" si="13"/>
        <v>0</v>
      </c>
    </row>
    <row r="36" spans="1:23" ht="15" customHeight="1" thickBot="1" x14ac:dyDescent="0.3">
      <c r="B36" s="42">
        <f>IF(ROUNDDOWN(SUM(O33:O45),0)&lt;0,0,ROUNDDOWN(SUM(O33:O45),0))</f>
        <v>0</v>
      </c>
      <c r="C36" s="38" t="s">
        <v>7</v>
      </c>
      <c r="D36" s="4">
        <v>1120.57</v>
      </c>
      <c r="E36" s="5">
        <v>0.14499999999999999</v>
      </c>
      <c r="F36" s="4">
        <v>99.73</v>
      </c>
      <c r="G36" s="55"/>
      <c r="H36" s="68">
        <v>5.6000000000000001E-2</v>
      </c>
      <c r="I36" s="60"/>
      <c r="J36" s="151"/>
      <c r="K36" s="74"/>
      <c r="L36" s="119"/>
      <c r="M36" s="23" t="b">
        <f>AND((B33&gt;D35),(B33&lt;=D36))</f>
        <v>0</v>
      </c>
      <c r="N36" s="24">
        <f t="shared" si="11"/>
        <v>0</v>
      </c>
      <c r="O36" s="23">
        <f>IF(M36=TRUE,Q36,0)</f>
        <v>0</v>
      </c>
      <c r="P36" s="23"/>
      <c r="Q36" s="23">
        <f>B33*E36-F36</f>
        <v>-99.73</v>
      </c>
      <c r="R36" s="25">
        <f t="shared" si="10"/>
        <v>0</v>
      </c>
      <c r="S36" s="92">
        <f>IF(R36&gt;0,1,)</f>
        <v>0</v>
      </c>
      <c r="T36" s="81">
        <f t="shared" si="14"/>
        <v>0</v>
      </c>
      <c r="U36" s="103">
        <f t="shared" si="15"/>
        <v>0</v>
      </c>
      <c r="V36" s="81">
        <f t="shared" si="12"/>
        <v>0</v>
      </c>
      <c r="W36" s="2">
        <f t="shared" si="13"/>
        <v>0</v>
      </c>
    </row>
    <row r="37" spans="1:23" ht="15" customHeight="1" thickTop="1" thickBot="1" x14ac:dyDescent="0.3">
      <c r="B37" s="40"/>
      <c r="C37" s="38" t="s">
        <v>7</v>
      </c>
      <c r="D37" s="4">
        <v>1151.21</v>
      </c>
      <c r="E37" s="5">
        <v>0.1593</v>
      </c>
      <c r="F37" s="4">
        <v>115.74</v>
      </c>
      <c r="G37" s="55"/>
      <c r="H37" s="68">
        <v>5.8999999999999997E-2</v>
      </c>
      <c r="I37" s="60"/>
      <c r="J37" s="151"/>
      <c r="L37" s="119"/>
      <c r="M37" s="23" t="b">
        <f>AND((B33&gt;D36),(B33&lt;=D37))</f>
        <v>0</v>
      </c>
      <c r="N37" s="24">
        <f t="shared" si="11"/>
        <v>0</v>
      </c>
      <c r="O37" s="23">
        <f t="shared" ref="O37:O45" si="16">IF(M37=TRUE,Q37,0)</f>
        <v>0</v>
      </c>
      <c r="P37" s="23"/>
      <c r="Q37" s="23">
        <f>B33*E37-F37</f>
        <v>-115.74</v>
      </c>
      <c r="R37" s="25">
        <f t="shared" si="10"/>
        <v>0</v>
      </c>
      <c r="S37" s="92">
        <f t="shared" ref="S37:S39" si="17">IF(R37&gt;0,1,)</f>
        <v>0</v>
      </c>
      <c r="T37" s="81">
        <f t="shared" si="14"/>
        <v>0</v>
      </c>
      <c r="U37" s="103">
        <f t="shared" si="15"/>
        <v>0</v>
      </c>
      <c r="V37" s="81">
        <f t="shared" si="12"/>
        <v>0</v>
      </c>
      <c r="W37" s="2">
        <f t="shared" si="13"/>
        <v>0</v>
      </c>
    </row>
    <row r="38" spans="1:23" ht="15" customHeight="1" thickTop="1" thickBot="1" x14ac:dyDescent="0.3">
      <c r="B38" s="41" t="s">
        <v>60</v>
      </c>
      <c r="C38" s="38" t="s">
        <v>7</v>
      </c>
      <c r="D38" s="4">
        <v>1771.79</v>
      </c>
      <c r="E38" s="5">
        <v>0.248</v>
      </c>
      <c r="F38" s="4">
        <v>217.81</v>
      </c>
      <c r="G38" s="55"/>
      <c r="H38" s="68">
        <v>0.125</v>
      </c>
      <c r="I38" s="60"/>
      <c r="J38" s="151"/>
      <c r="K38" s="74"/>
      <c r="L38" s="119"/>
      <c r="M38" s="23" t="b">
        <f>AND((B33&gt;D37),(B33&lt;=D38))</f>
        <v>0</v>
      </c>
      <c r="N38" s="24">
        <f t="shared" si="11"/>
        <v>0</v>
      </c>
      <c r="O38" s="23">
        <f t="shared" si="16"/>
        <v>0</v>
      </c>
      <c r="P38" s="23"/>
      <c r="Q38" s="23">
        <f>B33*E38-F38</f>
        <v>-217.81</v>
      </c>
      <c r="R38" s="25">
        <f t="shared" si="10"/>
        <v>0</v>
      </c>
      <c r="S38" s="92">
        <f t="shared" si="17"/>
        <v>0</v>
      </c>
      <c r="T38" s="81">
        <f t="shared" si="14"/>
        <v>0</v>
      </c>
      <c r="U38" s="103">
        <f t="shared" si="15"/>
        <v>0</v>
      </c>
      <c r="V38" s="81">
        <f t="shared" si="12"/>
        <v>0</v>
      </c>
      <c r="W38" s="2">
        <f t="shared" si="13"/>
        <v>0</v>
      </c>
    </row>
    <row r="39" spans="1:23" ht="15" customHeight="1" thickTop="1" thickBot="1" x14ac:dyDescent="0.3">
      <c r="B39" s="42">
        <f>B33-B36</f>
        <v>0</v>
      </c>
      <c r="C39" s="38" t="s">
        <v>7</v>
      </c>
      <c r="D39" s="4">
        <v>1932.79</v>
      </c>
      <c r="E39" s="5">
        <v>0.26250000000000001</v>
      </c>
      <c r="F39" s="4">
        <v>243.59</v>
      </c>
      <c r="G39" s="55"/>
      <c r="H39" s="68">
        <v>0.13600000000000001</v>
      </c>
      <c r="I39" s="60"/>
      <c r="J39" s="112">
        <v>0</v>
      </c>
      <c r="K39" s="74"/>
      <c r="L39" s="119"/>
      <c r="M39" s="23" t="b">
        <f>AND((B33&gt;D38),(B33&lt;=D39))</f>
        <v>0</v>
      </c>
      <c r="N39" s="24">
        <f t="shared" si="11"/>
        <v>0</v>
      </c>
      <c r="O39" s="23">
        <f t="shared" si="16"/>
        <v>0</v>
      </c>
      <c r="P39" s="23"/>
      <c r="Q39" s="23">
        <f>B33*E39-F39</f>
        <v>-243.59</v>
      </c>
      <c r="R39" s="25">
        <f t="shared" si="10"/>
        <v>0</v>
      </c>
      <c r="S39" s="92">
        <f t="shared" si="17"/>
        <v>0</v>
      </c>
      <c r="T39" s="81">
        <f t="shared" si="14"/>
        <v>0</v>
      </c>
      <c r="U39" s="103">
        <f t="shared" si="15"/>
        <v>0</v>
      </c>
      <c r="V39" s="81">
        <f t="shared" si="12"/>
        <v>0</v>
      </c>
      <c r="W39" s="2">
        <f t="shared" si="13"/>
        <v>0</v>
      </c>
    </row>
    <row r="40" spans="1:23" ht="15" customHeight="1" thickTop="1" thickBot="1" x14ac:dyDescent="0.3">
      <c r="B40" s="40"/>
      <c r="C40" s="38" t="s">
        <v>7</v>
      </c>
      <c r="D40" s="4">
        <v>2284.71</v>
      </c>
      <c r="E40" s="5">
        <v>0.27579999999999999</v>
      </c>
      <c r="F40" s="4">
        <v>269.35000000000002</v>
      </c>
      <c r="G40" s="55"/>
      <c r="H40" s="68">
        <v>0.158</v>
      </c>
      <c r="I40" s="60"/>
      <c r="K40" s="74"/>
      <c r="L40" s="119"/>
      <c r="M40" s="23" t="b">
        <f>AND((B33&gt;D39),(B33&lt;=D40))</f>
        <v>0</v>
      </c>
      <c r="N40" s="24">
        <f t="shared" si="11"/>
        <v>0</v>
      </c>
      <c r="O40" s="23">
        <f t="shared" si="16"/>
        <v>0</v>
      </c>
      <c r="P40" s="23"/>
      <c r="Q40" s="23">
        <f>B33*E40-F40</f>
        <v>-269.35000000000002</v>
      </c>
      <c r="R40" s="25">
        <f t="shared" si="10"/>
        <v>0</v>
      </c>
      <c r="S40" s="92">
        <f>IF(R40&gt;0,1,)</f>
        <v>0</v>
      </c>
      <c r="T40" s="81">
        <f t="shared" si="14"/>
        <v>0</v>
      </c>
      <c r="U40" s="103">
        <f t="shared" si="15"/>
        <v>0</v>
      </c>
      <c r="V40" s="81">
        <f t="shared" si="12"/>
        <v>0</v>
      </c>
      <c r="W40" s="2">
        <f t="shared" si="13"/>
        <v>0</v>
      </c>
    </row>
    <row r="41" spans="1:23" ht="15" customHeight="1" thickTop="1" x14ac:dyDescent="0.25">
      <c r="B41" s="41" t="s">
        <v>61</v>
      </c>
      <c r="C41" s="38" t="s">
        <v>7</v>
      </c>
      <c r="D41" s="4">
        <v>3184.79</v>
      </c>
      <c r="E41" s="5">
        <v>0.33479999999999999</v>
      </c>
      <c r="F41" s="4">
        <v>404.1</v>
      </c>
      <c r="G41" s="55"/>
      <c r="H41" s="68">
        <v>0.20799999999999999</v>
      </c>
      <c r="I41" s="60"/>
      <c r="J41" s="74"/>
      <c r="K41" s="74"/>
      <c r="L41" s="119"/>
      <c r="M41" s="23" t="b">
        <f>AND((B33&gt;D40),(B33&lt;=D41))</f>
        <v>0</v>
      </c>
      <c r="N41" s="24">
        <f t="shared" si="11"/>
        <v>0</v>
      </c>
      <c r="O41" s="23">
        <f t="shared" si="16"/>
        <v>0</v>
      </c>
      <c r="P41" s="23"/>
      <c r="Q41" s="23">
        <f>B33*E41-F41</f>
        <v>-404.1</v>
      </c>
      <c r="R41" s="25">
        <f t="shared" si="10"/>
        <v>0</v>
      </c>
      <c r="S41" s="92">
        <f>IF(R41&gt;0,1,)</f>
        <v>0</v>
      </c>
      <c r="T41" s="81">
        <f t="shared" si="14"/>
        <v>0</v>
      </c>
      <c r="U41" s="103">
        <f t="shared" si="15"/>
        <v>0</v>
      </c>
      <c r="V41" s="81">
        <f t="shared" si="12"/>
        <v>0</v>
      </c>
      <c r="W41" s="2">
        <f t="shared" si="13"/>
        <v>0</v>
      </c>
    </row>
    <row r="42" spans="1:23" ht="15" customHeight="1" thickBot="1" x14ac:dyDescent="0.3">
      <c r="B42" s="45">
        <f>IFERROR(B36/B33,0)</f>
        <v>0</v>
      </c>
      <c r="C42" s="38" t="s">
        <v>7</v>
      </c>
      <c r="D42" s="4">
        <v>5924.21</v>
      </c>
      <c r="E42" s="5">
        <v>0.372</v>
      </c>
      <c r="F42" s="4">
        <v>522.65</v>
      </c>
      <c r="G42" s="55"/>
      <c r="H42" s="68">
        <v>0.28399999999999997</v>
      </c>
      <c r="I42" s="60"/>
      <c r="J42" s="74"/>
      <c r="K42" s="74"/>
      <c r="L42" s="119"/>
      <c r="M42" s="23" t="b">
        <f>AND((B33&gt;D41),(B33&lt;=D42))</f>
        <v>0</v>
      </c>
      <c r="N42" s="24">
        <f t="shared" si="11"/>
        <v>0</v>
      </c>
      <c r="O42" s="23">
        <f t="shared" si="16"/>
        <v>0</v>
      </c>
      <c r="P42" s="23"/>
      <c r="Q42" s="23">
        <f>B33*E42-F42</f>
        <v>-522.65</v>
      </c>
      <c r="R42" s="25">
        <f t="shared" si="10"/>
        <v>0</v>
      </c>
      <c r="S42" s="92">
        <f>IF(R42&gt;0,1,)</f>
        <v>0</v>
      </c>
      <c r="T42" s="81">
        <f t="shared" si="14"/>
        <v>0</v>
      </c>
      <c r="U42" s="103">
        <f t="shared" si="15"/>
        <v>0</v>
      </c>
      <c r="V42" s="81">
        <f t="shared" si="12"/>
        <v>0</v>
      </c>
      <c r="W42" s="2">
        <f t="shared" si="13"/>
        <v>0</v>
      </c>
    </row>
    <row r="43" spans="1:23" ht="15" customHeight="1" thickTop="1" x14ac:dyDescent="0.25">
      <c r="B43" s="71">
        <f>IF(M45=TRUE,"n.a.",SUM(R33:R44))</f>
        <v>0</v>
      </c>
      <c r="C43" s="38" t="s">
        <v>7</v>
      </c>
      <c r="D43" s="4">
        <v>6007.43</v>
      </c>
      <c r="E43" s="5">
        <v>0.435</v>
      </c>
      <c r="F43" s="4">
        <v>895.69</v>
      </c>
      <c r="G43" s="55"/>
      <c r="H43" s="68">
        <v>0.28599999999999998</v>
      </c>
      <c r="I43" s="60"/>
      <c r="J43" s="74"/>
      <c r="K43" s="74"/>
      <c r="L43" s="119"/>
      <c r="M43" s="23" t="b">
        <f>AND((B33&gt;D42),(B33&lt;=D43))</f>
        <v>0</v>
      </c>
      <c r="N43" s="24">
        <f t="shared" si="11"/>
        <v>0</v>
      </c>
      <c r="O43" s="23">
        <f t="shared" si="16"/>
        <v>0</v>
      </c>
      <c r="P43" s="23"/>
      <c r="Q43" s="23">
        <f>B33*E43-F43</f>
        <v>-895.69</v>
      </c>
      <c r="R43" s="25">
        <f t="shared" si="10"/>
        <v>0</v>
      </c>
      <c r="S43" s="92">
        <f t="shared" ref="S43:S44" si="18">IF(R43&gt;0,1,)</f>
        <v>0</v>
      </c>
      <c r="T43" s="81">
        <f t="shared" si="14"/>
        <v>0</v>
      </c>
      <c r="U43" s="103">
        <f t="shared" si="15"/>
        <v>0</v>
      </c>
      <c r="V43" s="81">
        <f t="shared" si="12"/>
        <v>0</v>
      </c>
      <c r="W43" s="2">
        <f t="shared" si="13"/>
        <v>0</v>
      </c>
    </row>
    <row r="44" spans="1:23" ht="15" customHeight="1" x14ac:dyDescent="0.25">
      <c r="B44" s="72"/>
      <c r="C44" s="38" t="s">
        <v>7</v>
      </c>
      <c r="D44" s="4">
        <v>18150.29</v>
      </c>
      <c r="E44" s="5">
        <v>0.47770000000000001</v>
      </c>
      <c r="F44" s="4">
        <v>1152.08</v>
      </c>
      <c r="G44" s="55"/>
      <c r="H44" s="68">
        <v>0.41399999999999998</v>
      </c>
      <c r="I44" s="60"/>
      <c r="J44" s="74"/>
      <c r="K44" s="74"/>
      <c r="L44" s="119"/>
      <c r="M44" s="23" t="b">
        <f>AND((B33&gt;D43),(B33&lt;=D44))</f>
        <v>0</v>
      </c>
      <c r="N44" s="24">
        <f t="shared" si="11"/>
        <v>0</v>
      </c>
      <c r="O44" s="23">
        <f t="shared" si="16"/>
        <v>0</v>
      </c>
      <c r="P44" s="23"/>
      <c r="Q44" s="23">
        <f>B33*E44-F44</f>
        <v>-1152.08</v>
      </c>
      <c r="R44" s="25">
        <f t="shared" si="10"/>
        <v>0</v>
      </c>
      <c r="S44" s="92">
        <f t="shared" si="18"/>
        <v>0</v>
      </c>
      <c r="T44" s="81">
        <f t="shared" si="14"/>
        <v>0</v>
      </c>
      <c r="U44" s="103">
        <f t="shared" si="15"/>
        <v>0</v>
      </c>
      <c r="V44" s="81">
        <f t="shared" si="12"/>
        <v>0</v>
      </c>
      <c r="W44" s="2">
        <f t="shared" si="13"/>
        <v>0</v>
      </c>
    </row>
    <row r="45" spans="1:23" ht="15" customHeight="1" x14ac:dyDescent="0.25">
      <c r="B45" s="40"/>
      <c r="C45" s="46" t="s">
        <v>8</v>
      </c>
      <c r="D45" s="4">
        <v>18150.29</v>
      </c>
      <c r="E45" s="5">
        <v>0.53</v>
      </c>
      <c r="F45" s="4">
        <v>2101.7199999999998</v>
      </c>
      <c r="G45" s="55"/>
      <c r="H45" s="68" t="s">
        <v>9</v>
      </c>
      <c r="I45" s="60"/>
      <c r="J45" s="74"/>
      <c r="K45" s="74"/>
      <c r="L45" s="119"/>
      <c r="M45" s="23" t="b">
        <f>AND(B33&gt;D44)</f>
        <v>0</v>
      </c>
      <c r="N45" s="24">
        <f t="shared" si="11"/>
        <v>0</v>
      </c>
      <c r="O45" s="23">
        <f t="shared" si="16"/>
        <v>0</v>
      </c>
      <c r="P45" s="23"/>
      <c r="Q45" s="23">
        <f>B33*E45-F45</f>
        <v>-2101.7199999999998</v>
      </c>
      <c r="R45" s="25"/>
      <c r="S45" s="92">
        <f>IF(B43="n.a.",1,)</f>
        <v>0</v>
      </c>
      <c r="T45" s="81">
        <f t="shared" si="14"/>
        <v>0</v>
      </c>
      <c r="U45" s="103">
        <f t="shared" si="15"/>
        <v>0</v>
      </c>
      <c r="V45" s="81">
        <f t="shared" si="12"/>
        <v>0</v>
      </c>
      <c r="W45" s="2">
        <f t="shared" si="13"/>
        <v>0</v>
      </c>
    </row>
    <row r="46" spans="1:23" ht="15" customHeight="1" x14ac:dyDescent="0.3">
      <c r="A46" s="147" t="s">
        <v>62</v>
      </c>
      <c r="B46" s="148"/>
      <c r="C46" s="161">
        <f ca="1">B36*F46</f>
        <v>0</v>
      </c>
      <c r="D46" s="162"/>
      <c r="E46" s="78">
        <f ca="1">MONTH(TODAY())</f>
        <v>4</v>
      </c>
      <c r="F46" s="77">
        <f ca="1">IF(E46=7,2,IF(E46=8,3,IF(E46=9,4,IF(E46=10,5,IF(E46=11,7,IF(E46=12,8,))))))</f>
        <v>0</v>
      </c>
    </row>
    <row r="47" spans="1:23" ht="15" customHeight="1" x14ac:dyDescent="0.25">
      <c r="C47" s="2"/>
      <c r="D47" s="2"/>
      <c r="E47" s="2"/>
      <c r="F47" s="43"/>
      <c r="H47" s="2"/>
    </row>
    <row r="48" spans="1:23" ht="3" customHeight="1" x14ac:dyDescent="0.25">
      <c r="B48" s="37"/>
      <c r="C48" s="36"/>
      <c r="D48" s="36"/>
      <c r="E48" s="36"/>
      <c r="F48" s="36"/>
      <c r="G48" s="36"/>
      <c r="H48" s="36"/>
      <c r="I48" s="37"/>
      <c r="J48" s="37"/>
      <c r="K48" s="37"/>
    </row>
    <row r="49" spans="2:24" ht="15" customHeight="1" x14ac:dyDescent="0.25"/>
    <row r="50" spans="2:24" ht="15" customHeight="1" x14ac:dyDescent="0.25">
      <c r="C50" s="1" t="s">
        <v>0</v>
      </c>
    </row>
    <row r="51" spans="2:24" ht="15" customHeight="1" x14ac:dyDescent="0.25">
      <c r="C51" s="1" t="s">
        <v>37</v>
      </c>
    </row>
    <row r="52" spans="2:24" ht="15" customHeight="1" x14ac:dyDescent="0.25">
      <c r="C52" s="11" t="s">
        <v>38</v>
      </c>
      <c r="D52" s="11"/>
      <c r="E52" s="11"/>
      <c r="F52" s="11"/>
      <c r="J52" s="116"/>
      <c r="K52" s="114"/>
    </row>
    <row r="53" spans="2:24" ht="15" customHeight="1" x14ac:dyDescent="0.25">
      <c r="J53" s="115"/>
      <c r="K53" s="19"/>
    </row>
    <row r="54" spans="2:24" ht="83" customHeight="1" thickBot="1" x14ac:dyDescent="0.3">
      <c r="B54" s="135" t="s">
        <v>97</v>
      </c>
      <c r="C54" s="164" t="s">
        <v>65</v>
      </c>
      <c r="D54" s="146"/>
      <c r="E54" s="86" t="s">
        <v>4</v>
      </c>
      <c r="F54" s="86" t="s">
        <v>67</v>
      </c>
      <c r="G54" s="88"/>
      <c r="H54" s="85" t="s">
        <v>6</v>
      </c>
      <c r="I54" s="56"/>
      <c r="J54" s="113" t="s">
        <v>98</v>
      </c>
      <c r="K54" s="113" t="s">
        <v>99</v>
      </c>
      <c r="L54" s="122"/>
      <c r="M54" s="32" t="s">
        <v>47</v>
      </c>
      <c r="N54" s="33" t="s">
        <v>46</v>
      </c>
      <c r="O54" s="33" t="s">
        <v>55</v>
      </c>
      <c r="P54" s="32" t="s">
        <v>48</v>
      </c>
      <c r="Q54" s="32" t="s">
        <v>49</v>
      </c>
      <c r="T54" s="106" t="s">
        <v>71</v>
      </c>
      <c r="U54" s="106" t="s">
        <v>72</v>
      </c>
      <c r="V54" s="106" t="s">
        <v>73</v>
      </c>
      <c r="W54" s="106" t="s">
        <v>74</v>
      </c>
    </row>
    <row r="55" spans="2:24" ht="15" customHeight="1" thickTop="1" thickBot="1" x14ac:dyDescent="0.3">
      <c r="B55" s="39">
        <v>0</v>
      </c>
      <c r="C55" s="38" t="s">
        <v>7</v>
      </c>
      <c r="D55" s="4">
        <v>1573.29</v>
      </c>
      <c r="E55" s="5">
        <v>0</v>
      </c>
      <c r="F55" s="4">
        <v>0</v>
      </c>
      <c r="G55" s="55"/>
      <c r="H55" s="70">
        <v>0</v>
      </c>
      <c r="I55" s="56"/>
      <c r="J55" s="112">
        <v>0</v>
      </c>
      <c r="K55" s="112">
        <v>0</v>
      </c>
      <c r="M55" s="23" t="b">
        <f>AND(B55&lt;=D55)</f>
        <v>1</v>
      </c>
      <c r="N55" s="24">
        <f t="shared" ref="N55:N65" si="19">IF(O55&gt;1,$B$55*Q55,)</f>
        <v>0</v>
      </c>
      <c r="O55" s="24">
        <f t="shared" ref="O55:O65" si="20">IF(M55=TRUE,P55,0)</f>
        <v>0</v>
      </c>
      <c r="P55" s="27">
        <f>B55*E55-F55</f>
        <v>0</v>
      </c>
      <c r="Q55" s="25">
        <f t="shared" ref="Q55:Q64" si="21">IF(M55=TRUE,H55,0)</f>
        <v>0</v>
      </c>
      <c r="S55" s="10">
        <v>0</v>
      </c>
      <c r="T55" s="104">
        <v>0</v>
      </c>
      <c r="U55" s="105">
        <v>0</v>
      </c>
      <c r="V55" s="104">
        <v>0</v>
      </c>
      <c r="W55" s="105">
        <v>0</v>
      </c>
      <c r="X55" s="2">
        <f>SUM(T55:W55)</f>
        <v>0</v>
      </c>
    </row>
    <row r="56" spans="2:24" ht="15" customHeight="1" thickTop="1" thickBot="1" x14ac:dyDescent="0.3">
      <c r="B56" s="40"/>
      <c r="C56" s="38" t="s">
        <v>7</v>
      </c>
      <c r="D56" s="4">
        <v>1595</v>
      </c>
      <c r="E56" s="5">
        <v>0.23849999999999999</v>
      </c>
      <c r="F56" s="4">
        <v>375.23</v>
      </c>
      <c r="G56" s="55"/>
      <c r="H56" s="70">
        <v>3.0000000000000001E-3</v>
      </c>
      <c r="I56" s="56"/>
      <c r="J56" s="152" t="s">
        <v>102</v>
      </c>
      <c r="K56" s="152" t="s">
        <v>103</v>
      </c>
      <c r="M56" s="23" t="b">
        <f>AND((B55&gt;D55),(B55&lt;=D56))</f>
        <v>0</v>
      </c>
      <c r="N56" s="24">
        <f>IF(O56&gt;1,$B$55*Q56,)</f>
        <v>0</v>
      </c>
      <c r="O56" s="23">
        <f>IF(M56=TRUE,P56,0)</f>
        <v>0</v>
      </c>
      <c r="P56" s="27">
        <f>B55*E56-F56-X56</f>
        <v>-375.23</v>
      </c>
      <c r="Q56" s="25">
        <f t="shared" si="21"/>
        <v>0</v>
      </c>
      <c r="S56" s="92">
        <f>IF(Q56&gt;0,1,)</f>
        <v>0</v>
      </c>
      <c r="T56" s="81">
        <f>IF(S56=0,0,IF($J$55&gt;=1,42.86*$J$55,))</f>
        <v>0</v>
      </c>
      <c r="U56" s="103">
        <f>IF(S56=0,0,IF($K$55&gt;=1,21.43*$K$55,))</f>
        <v>0</v>
      </c>
      <c r="V56" s="81">
        <f t="shared" ref="V56:V65" si="22">IF(S56=0,0,IF($J$60&gt;=1,84.82*$J$60,))</f>
        <v>0</v>
      </c>
      <c r="W56" s="103">
        <f t="shared" ref="W56:W65" si="23">IF(S56=0,0,IF($K$60&gt;=1,42.41*$K$60,))</f>
        <v>0</v>
      </c>
      <c r="X56" s="2">
        <f>SUM(T56:W56)</f>
        <v>0</v>
      </c>
    </row>
    <row r="57" spans="2:24" ht="15" customHeight="1" thickTop="1" x14ac:dyDescent="0.25">
      <c r="B57" s="41" t="s">
        <v>57</v>
      </c>
      <c r="C57" s="38" t="s">
        <v>7</v>
      </c>
      <c r="D57" s="4">
        <v>1692.86</v>
      </c>
      <c r="E57" s="5">
        <v>0.25650000000000001</v>
      </c>
      <c r="F57" s="4">
        <v>403.94</v>
      </c>
      <c r="G57" s="55"/>
      <c r="H57" s="70">
        <v>1.7999999999999999E-2</v>
      </c>
      <c r="I57" s="56"/>
      <c r="J57" s="153"/>
      <c r="K57" s="153"/>
      <c r="M57" s="23" t="b">
        <f>AND((B55&gt;D56),(B55&lt;=D57))</f>
        <v>0</v>
      </c>
      <c r="N57" s="24">
        <f t="shared" si="19"/>
        <v>0</v>
      </c>
      <c r="O57" s="23">
        <f>IF(M57=TRUE,P57,0)</f>
        <v>0</v>
      </c>
      <c r="P57" s="27">
        <f>B55*E57-F57-X57</f>
        <v>-403.94</v>
      </c>
      <c r="Q57" s="25">
        <f t="shared" si="21"/>
        <v>0</v>
      </c>
      <c r="S57" s="92">
        <f t="shared" ref="S57:S64" si="24">IF(Q57&gt;0,1,)</f>
        <v>0</v>
      </c>
      <c r="T57" s="81">
        <f t="shared" ref="T57:T65" si="25">IF(S57=0,0,IF($J$55&gt;=1,42.86*$J$55,))</f>
        <v>0</v>
      </c>
      <c r="U57" s="103">
        <f t="shared" ref="U57:U65" si="26">IF(S57=0,0,IF($K$55&gt;=1,21.43*$K$55,))</f>
        <v>0</v>
      </c>
      <c r="V57" s="81">
        <f t="shared" si="22"/>
        <v>0</v>
      </c>
      <c r="W57" s="103">
        <f t="shared" si="23"/>
        <v>0</v>
      </c>
      <c r="X57" s="2">
        <f t="shared" ref="X57:X64" si="27">SUM(T57:W57)</f>
        <v>0</v>
      </c>
    </row>
    <row r="58" spans="2:24" ht="15" customHeight="1" thickBot="1" x14ac:dyDescent="0.3">
      <c r="B58" s="42">
        <f>IF(ROUNDDOWN(SUM(O55:O65),0)&lt;0,0,ROUNDDOWN(SUM(O55:O65),0))</f>
        <v>0</v>
      </c>
      <c r="C58" s="38" t="s">
        <v>7</v>
      </c>
      <c r="D58" s="4">
        <v>1811.79</v>
      </c>
      <c r="E58" s="5">
        <v>0.28499999999999998</v>
      </c>
      <c r="F58" s="4">
        <v>452.19</v>
      </c>
      <c r="G58" s="55"/>
      <c r="H58" s="70">
        <v>3.5000000000000003E-2</v>
      </c>
      <c r="I58" s="56"/>
      <c r="J58" s="153"/>
      <c r="K58" s="153"/>
      <c r="M58" s="23" t="b">
        <f>AND((B55&gt;D57),(B55&lt;=D58))</f>
        <v>0</v>
      </c>
      <c r="N58" s="24">
        <f t="shared" si="19"/>
        <v>0</v>
      </c>
      <c r="O58" s="23">
        <f t="shared" si="20"/>
        <v>0</v>
      </c>
      <c r="P58" s="27">
        <f>B55*E58-F58-X58</f>
        <v>-452.19</v>
      </c>
      <c r="Q58" s="25">
        <f t="shared" si="21"/>
        <v>0</v>
      </c>
      <c r="S58" s="92">
        <f t="shared" si="24"/>
        <v>0</v>
      </c>
      <c r="T58" s="81">
        <f t="shared" si="25"/>
        <v>0</v>
      </c>
      <c r="U58" s="103">
        <f t="shared" si="26"/>
        <v>0</v>
      </c>
      <c r="V58" s="81">
        <f t="shared" si="22"/>
        <v>0</v>
      </c>
      <c r="W58" s="103">
        <f t="shared" si="23"/>
        <v>0</v>
      </c>
      <c r="X58" s="2">
        <f t="shared" si="27"/>
        <v>0</v>
      </c>
    </row>
    <row r="59" spans="2:24" ht="15" customHeight="1" thickTop="1" thickBot="1" x14ac:dyDescent="0.3">
      <c r="B59" s="40"/>
      <c r="C59" s="38" t="s">
        <v>7</v>
      </c>
      <c r="D59" s="4">
        <v>2354.21</v>
      </c>
      <c r="E59" s="5">
        <v>0.35</v>
      </c>
      <c r="F59" s="4">
        <v>569.95000000000005</v>
      </c>
      <c r="G59" s="55"/>
      <c r="H59" s="70">
        <v>0.108</v>
      </c>
      <c r="I59" s="56"/>
      <c r="J59" s="153"/>
      <c r="K59" s="153"/>
      <c r="M59" s="23" t="b">
        <f>AND((B55&gt;D58),(B55&lt;=D59))</f>
        <v>0</v>
      </c>
      <c r="N59" s="24">
        <f t="shared" si="19"/>
        <v>0</v>
      </c>
      <c r="O59" s="23">
        <f t="shared" si="20"/>
        <v>0</v>
      </c>
      <c r="P59" s="27">
        <f>B55*E59-F59-X59</f>
        <v>-569.95000000000005</v>
      </c>
      <c r="Q59" s="25">
        <f t="shared" si="21"/>
        <v>0</v>
      </c>
      <c r="S59" s="92">
        <f t="shared" si="24"/>
        <v>0</v>
      </c>
      <c r="T59" s="81">
        <f t="shared" si="25"/>
        <v>0</v>
      </c>
      <c r="U59" s="103">
        <f t="shared" si="26"/>
        <v>0</v>
      </c>
      <c r="V59" s="81">
        <f t="shared" si="22"/>
        <v>0</v>
      </c>
      <c r="W59" s="103">
        <f t="shared" si="23"/>
        <v>0</v>
      </c>
      <c r="X59" s="2">
        <f t="shared" si="27"/>
        <v>0</v>
      </c>
    </row>
    <row r="60" spans="2:24" ht="15" customHeight="1" thickTop="1" thickBot="1" x14ac:dyDescent="0.3">
      <c r="B60" s="41" t="s">
        <v>60</v>
      </c>
      <c r="C60" s="38" t="s">
        <v>7</v>
      </c>
      <c r="D60" s="4">
        <v>3174</v>
      </c>
      <c r="E60" s="5">
        <v>0.37</v>
      </c>
      <c r="F60" s="4">
        <v>617.04</v>
      </c>
      <c r="G60" s="55"/>
      <c r="H60" s="70">
        <v>0.17599999999999999</v>
      </c>
      <c r="I60" s="56"/>
      <c r="J60" s="112">
        <v>0</v>
      </c>
      <c r="K60" s="112">
        <v>0</v>
      </c>
      <c r="M60" s="23" t="b">
        <f>AND((B55&gt;D59),(B55&lt;=D60))</f>
        <v>0</v>
      </c>
      <c r="N60" s="24">
        <f t="shared" si="19"/>
        <v>0</v>
      </c>
      <c r="O60" s="23">
        <f t="shared" si="20"/>
        <v>0</v>
      </c>
      <c r="P60" s="27">
        <f>B55*E60-F60-X60</f>
        <v>-617.04</v>
      </c>
      <c r="Q60" s="25">
        <f t="shared" si="21"/>
        <v>0</v>
      </c>
      <c r="S60" s="92">
        <f t="shared" si="24"/>
        <v>0</v>
      </c>
      <c r="T60" s="81">
        <f t="shared" si="25"/>
        <v>0</v>
      </c>
      <c r="U60" s="103">
        <f t="shared" si="26"/>
        <v>0</v>
      </c>
      <c r="V60" s="81">
        <f t="shared" si="22"/>
        <v>0</v>
      </c>
      <c r="W60" s="103">
        <f t="shared" si="23"/>
        <v>0</v>
      </c>
      <c r="X60" s="2">
        <f t="shared" si="27"/>
        <v>0</v>
      </c>
    </row>
    <row r="61" spans="2:24" ht="15" customHeight="1" thickTop="1" thickBot="1" x14ac:dyDescent="0.3">
      <c r="B61" s="42">
        <f>B55-B58</f>
        <v>0</v>
      </c>
      <c r="C61" s="38" t="s">
        <v>7</v>
      </c>
      <c r="D61" s="4">
        <v>4077.64</v>
      </c>
      <c r="E61" s="5">
        <v>0.435</v>
      </c>
      <c r="F61" s="4">
        <v>823.35</v>
      </c>
      <c r="G61" s="55"/>
      <c r="H61" s="70">
        <v>0.23300000000000001</v>
      </c>
      <c r="I61" s="56"/>
      <c r="M61" s="23" t="b">
        <f>AND((B55&gt;D60),(B55&lt;=D61))</f>
        <v>0</v>
      </c>
      <c r="N61" s="24">
        <f t="shared" si="19"/>
        <v>0</v>
      </c>
      <c r="O61" s="23">
        <f t="shared" si="20"/>
        <v>0</v>
      </c>
      <c r="P61" s="27">
        <f>B55*E61-F61-X61</f>
        <v>-823.35</v>
      </c>
      <c r="Q61" s="25">
        <f t="shared" si="21"/>
        <v>0</v>
      </c>
      <c r="S61" s="92">
        <f t="shared" si="24"/>
        <v>0</v>
      </c>
      <c r="T61" s="81">
        <f t="shared" si="25"/>
        <v>0</v>
      </c>
      <c r="U61" s="103">
        <f t="shared" si="26"/>
        <v>0</v>
      </c>
      <c r="V61" s="81">
        <f t="shared" si="22"/>
        <v>0</v>
      </c>
      <c r="W61" s="103">
        <f t="shared" si="23"/>
        <v>0</v>
      </c>
      <c r="X61" s="2">
        <f t="shared" si="27"/>
        <v>0</v>
      </c>
    </row>
    <row r="62" spans="2:24" ht="15" customHeight="1" thickTop="1" thickBot="1" x14ac:dyDescent="0.3">
      <c r="B62" s="40"/>
      <c r="C62" s="38" t="s">
        <v>7</v>
      </c>
      <c r="D62" s="4">
        <v>6102.79</v>
      </c>
      <c r="E62" s="5">
        <v>0.45</v>
      </c>
      <c r="F62" s="4">
        <v>884.51</v>
      </c>
      <c r="G62" s="55"/>
      <c r="H62" s="70">
        <v>0.30499999999999999</v>
      </c>
      <c r="I62" s="56"/>
      <c r="J62" s="61"/>
      <c r="K62" s="61"/>
      <c r="M62" s="23" t="b">
        <f>AND((B55&gt;D61),(B55&lt;=D62))</f>
        <v>0</v>
      </c>
      <c r="N62" s="24">
        <f t="shared" si="19"/>
        <v>0</v>
      </c>
      <c r="O62" s="23">
        <f t="shared" si="20"/>
        <v>0</v>
      </c>
      <c r="P62" s="27">
        <f>B55*E62-F62-X62</f>
        <v>-884.51</v>
      </c>
      <c r="Q62" s="25">
        <f t="shared" si="21"/>
        <v>0</v>
      </c>
      <c r="S62" s="92">
        <f t="shared" si="24"/>
        <v>0</v>
      </c>
      <c r="T62" s="81">
        <f t="shared" si="25"/>
        <v>0</v>
      </c>
      <c r="U62" s="103">
        <f t="shared" si="26"/>
        <v>0</v>
      </c>
      <c r="V62" s="81">
        <f t="shared" si="22"/>
        <v>0</v>
      </c>
      <c r="W62" s="103">
        <f t="shared" si="23"/>
        <v>0</v>
      </c>
      <c r="X62" s="2">
        <f t="shared" si="27"/>
        <v>0</v>
      </c>
    </row>
    <row r="63" spans="2:24" ht="15" customHeight="1" thickTop="1" x14ac:dyDescent="0.25">
      <c r="B63" s="41" t="s">
        <v>61</v>
      </c>
      <c r="C63" s="38" t="s">
        <v>7</v>
      </c>
      <c r="D63" s="4">
        <v>6186</v>
      </c>
      <c r="E63" s="5">
        <v>0.48</v>
      </c>
      <c r="F63" s="4">
        <v>1067.5899999999999</v>
      </c>
      <c r="G63" s="55"/>
      <c r="H63" s="70">
        <v>0.307</v>
      </c>
      <c r="I63" s="56"/>
      <c r="J63" s="61"/>
      <c r="K63" s="61"/>
      <c r="M63" s="23" t="b">
        <f>AND((B55&gt;D62),(B55&lt;=D63))</f>
        <v>0</v>
      </c>
      <c r="N63" s="24">
        <f t="shared" si="19"/>
        <v>0</v>
      </c>
      <c r="O63" s="23">
        <f t="shared" si="20"/>
        <v>0</v>
      </c>
      <c r="P63" s="27">
        <f>B55*E63-F63-X63</f>
        <v>-1067.5899999999999</v>
      </c>
      <c r="Q63" s="25">
        <f t="shared" si="21"/>
        <v>0</v>
      </c>
      <c r="S63" s="92">
        <f t="shared" si="24"/>
        <v>0</v>
      </c>
      <c r="T63" s="81">
        <f t="shared" si="25"/>
        <v>0</v>
      </c>
      <c r="U63" s="103">
        <f t="shared" si="26"/>
        <v>0</v>
      </c>
      <c r="V63" s="81">
        <f t="shared" si="22"/>
        <v>0</v>
      </c>
      <c r="W63" s="103">
        <f t="shared" si="23"/>
        <v>0</v>
      </c>
      <c r="X63" s="2">
        <f t="shared" si="27"/>
        <v>0</v>
      </c>
    </row>
    <row r="64" spans="2:24" ht="15" customHeight="1" thickBot="1" x14ac:dyDescent="0.3">
      <c r="B64" s="45">
        <f>IFERROR(B58/B55,0)</f>
        <v>0</v>
      </c>
      <c r="C64" s="38" t="s">
        <v>7</v>
      </c>
      <c r="D64" s="4">
        <v>18328.86</v>
      </c>
      <c r="E64" s="5">
        <v>0.505</v>
      </c>
      <c r="F64" s="4">
        <v>1222.24</v>
      </c>
      <c r="G64" s="55"/>
      <c r="H64" s="70">
        <v>0.438</v>
      </c>
      <c r="I64" s="56"/>
      <c r="J64" s="61"/>
      <c r="K64" s="61"/>
      <c r="M64" s="23" t="b">
        <f>AND((B55&gt;D63),(B55&lt;=D64))</f>
        <v>0</v>
      </c>
      <c r="N64" s="24">
        <f t="shared" si="19"/>
        <v>0</v>
      </c>
      <c r="O64" s="23">
        <f t="shared" si="20"/>
        <v>0</v>
      </c>
      <c r="P64" s="27">
        <f>B55*E64-F64-X64</f>
        <v>-1222.24</v>
      </c>
      <c r="Q64" s="25">
        <f t="shared" si="21"/>
        <v>0</v>
      </c>
      <c r="S64" s="92">
        <f t="shared" si="24"/>
        <v>0</v>
      </c>
      <c r="T64" s="81">
        <f t="shared" si="25"/>
        <v>0</v>
      </c>
      <c r="U64" s="103">
        <f t="shared" si="26"/>
        <v>0</v>
      </c>
      <c r="V64" s="81">
        <f t="shared" si="22"/>
        <v>0</v>
      </c>
      <c r="W64" s="103">
        <f t="shared" si="23"/>
        <v>0</v>
      </c>
      <c r="X64" s="2">
        <f t="shared" si="27"/>
        <v>0</v>
      </c>
    </row>
    <row r="65" spans="1:24" ht="15" customHeight="1" thickTop="1" x14ac:dyDescent="0.25">
      <c r="B65" s="71">
        <f>IF(M65=TRUE,"n.a.",SUM(Q55:Q64))</f>
        <v>0</v>
      </c>
      <c r="C65" s="38" t="s">
        <v>8</v>
      </c>
      <c r="D65" s="4">
        <v>18328.86</v>
      </c>
      <c r="E65" s="5">
        <v>0.53</v>
      </c>
      <c r="F65" s="4">
        <v>1680.47</v>
      </c>
      <c r="G65" s="55"/>
      <c r="H65" s="70" t="s">
        <v>9</v>
      </c>
      <c r="I65" s="56"/>
      <c r="J65" s="61"/>
      <c r="K65" s="61"/>
      <c r="M65" s="23" t="b">
        <f>AND(B55&gt;D64)</f>
        <v>0</v>
      </c>
      <c r="N65" s="24">
        <f t="shared" si="19"/>
        <v>0</v>
      </c>
      <c r="O65" s="23">
        <f t="shared" si="20"/>
        <v>0</v>
      </c>
      <c r="P65" s="27">
        <f>B55*E65-F65-X65</f>
        <v>-1680.47</v>
      </c>
      <c r="Q65" s="35"/>
      <c r="S65" s="92">
        <f>IF(B65="n.a.",1,)</f>
        <v>0</v>
      </c>
      <c r="T65" s="81">
        <f t="shared" si="25"/>
        <v>0</v>
      </c>
      <c r="U65" s="103">
        <f t="shared" si="26"/>
        <v>0</v>
      </c>
      <c r="V65" s="81">
        <f t="shared" si="22"/>
        <v>0</v>
      </c>
      <c r="W65" s="103">
        <f t="shared" si="23"/>
        <v>0</v>
      </c>
      <c r="X65" s="2">
        <f>SUM(T65:W65)</f>
        <v>0</v>
      </c>
    </row>
    <row r="66" spans="1:24" ht="15" customHeight="1" x14ac:dyDescent="0.3">
      <c r="A66" s="147" t="s">
        <v>62</v>
      </c>
      <c r="B66" s="148"/>
      <c r="C66" s="161">
        <f ca="1">B58*F66</f>
        <v>0</v>
      </c>
      <c r="D66" s="162"/>
      <c r="E66" s="78">
        <f ca="1">MONTH(TODAY())</f>
        <v>4</v>
      </c>
      <c r="F66" s="77">
        <f ca="1">IF(E66=7,2,IF(E66=8,3,IF(E66=9,4,IF(E66=10,5,IF(E66=11,7,IF(E66=12,8,))))))</f>
        <v>0</v>
      </c>
      <c r="M66" s="10"/>
      <c r="N66" s="13"/>
      <c r="O66" s="10"/>
      <c r="P66" s="10"/>
      <c r="Q66" s="10"/>
      <c r="R66" s="14"/>
      <c r="S66" s="14"/>
      <c r="T66" s="14"/>
      <c r="U66" s="14"/>
      <c r="V66" s="14"/>
      <c r="W66" s="14"/>
    </row>
    <row r="67" spans="1:24" ht="15" customHeight="1" x14ac:dyDescent="0.25">
      <c r="C67" s="2"/>
      <c r="D67" s="2"/>
      <c r="E67" s="2"/>
      <c r="F67" s="43"/>
      <c r="H67" s="2"/>
      <c r="M67" s="10"/>
      <c r="N67" s="13"/>
      <c r="O67" s="10"/>
      <c r="P67" s="10"/>
      <c r="Q67" s="10"/>
      <c r="R67" s="14"/>
      <c r="S67" s="14"/>
      <c r="T67" s="14"/>
      <c r="U67" s="14"/>
      <c r="V67" s="14"/>
      <c r="W67" s="14"/>
    </row>
    <row r="68" spans="1:24" ht="3" customHeight="1" x14ac:dyDescent="0.25">
      <c r="B68" s="37"/>
      <c r="C68" s="36"/>
      <c r="D68" s="36"/>
      <c r="E68" s="36"/>
      <c r="F68" s="36"/>
      <c r="G68" s="36"/>
      <c r="H68" s="36"/>
      <c r="I68" s="37"/>
      <c r="J68" s="37"/>
      <c r="K68" s="37"/>
      <c r="M68" s="10"/>
      <c r="N68" s="13"/>
      <c r="O68" s="10"/>
      <c r="P68" s="10"/>
      <c r="Q68" s="10"/>
      <c r="R68" s="14"/>
      <c r="S68" s="14"/>
      <c r="T68" s="14"/>
      <c r="U68" s="14"/>
      <c r="V68" s="14"/>
      <c r="W68" s="14"/>
    </row>
    <row r="69" spans="1:24" ht="15" customHeight="1" x14ac:dyDescent="0.25">
      <c r="M69" s="10"/>
      <c r="N69" s="13"/>
      <c r="O69" s="10"/>
      <c r="P69" s="10"/>
      <c r="Q69" s="10"/>
      <c r="R69" s="14"/>
      <c r="S69" s="14"/>
      <c r="T69" s="14"/>
      <c r="U69" s="14"/>
      <c r="V69" s="14"/>
      <c r="W69" s="14"/>
    </row>
    <row r="70" spans="1:24" ht="15" customHeight="1" x14ac:dyDescent="0.25">
      <c r="C70" s="1" t="s">
        <v>0</v>
      </c>
      <c r="M70" s="10"/>
      <c r="N70" s="13"/>
      <c r="O70" s="10"/>
      <c r="P70" s="10"/>
      <c r="Q70" s="10"/>
      <c r="R70" s="14"/>
    </row>
    <row r="71" spans="1:24" ht="15" customHeight="1" x14ac:dyDescent="0.25">
      <c r="C71" s="1" t="s">
        <v>39</v>
      </c>
    </row>
    <row r="72" spans="1:24" ht="15" customHeight="1" x14ac:dyDescent="0.25">
      <c r="C72" s="11" t="s">
        <v>40</v>
      </c>
      <c r="D72" s="11"/>
      <c r="E72" s="11"/>
      <c r="J72" s="116"/>
      <c r="K72" s="114"/>
    </row>
    <row r="73" spans="1:24" ht="15" customHeight="1" x14ac:dyDescent="0.25">
      <c r="J73" s="115"/>
      <c r="K73" s="115"/>
    </row>
    <row r="74" spans="1:24" ht="83" customHeight="1" thickBot="1" x14ac:dyDescent="0.3">
      <c r="B74" s="135" t="s">
        <v>97</v>
      </c>
      <c r="C74" s="164" t="s">
        <v>3</v>
      </c>
      <c r="D74" s="146"/>
      <c r="E74" s="86" t="s">
        <v>4</v>
      </c>
      <c r="F74" s="86" t="s">
        <v>66</v>
      </c>
      <c r="G74" s="88"/>
      <c r="H74" s="85" t="s">
        <v>6</v>
      </c>
      <c r="I74" s="56"/>
      <c r="J74" s="113" t="s">
        <v>92</v>
      </c>
      <c r="K74" s="138" t="s">
        <v>104</v>
      </c>
      <c r="L74" s="122"/>
      <c r="M74" s="32" t="s">
        <v>47</v>
      </c>
      <c r="N74" s="33" t="s">
        <v>46</v>
      </c>
      <c r="O74" s="33" t="s">
        <v>55</v>
      </c>
      <c r="P74" s="32" t="s">
        <v>48</v>
      </c>
      <c r="Q74" s="32" t="s">
        <v>49</v>
      </c>
      <c r="T74" s="106" t="s">
        <v>75</v>
      </c>
      <c r="U74" s="106" t="s">
        <v>77</v>
      </c>
      <c r="V74" s="106" t="s">
        <v>76</v>
      </c>
    </row>
    <row r="75" spans="1:24" ht="15" customHeight="1" thickTop="1" thickBot="1" x14ac:dyDescent="0.3">
      <c r="B75" s="39">
        <v>0</v>
      </c>
      <c r="C75" s="38" t="s">
        <v>7</v>
      </c>
      <c r="D75" s="4">
        <v>1744.18</v>
      </c>
      <c r="E75" s="5">
        <v>0</v>
      </c>
      <c r="F75" s="4">
        <v>0</v>
      </c>
      <c r="G75" s="55"/>
      <c r="H75" s="69">
        <v>0</v>
      </c>
      <c r="I75" s="56"/>
      <c r="J75" s="112">
        <v>0</v>
      </c>
      <c r="K75" s="112">
        <v>0</v>
      </c>
      <c r="M75" s="23" t="b">
        <f>AND(B75&lt;=D75)</f>
        <v>1</v>
      </c>
      <c r="N75" s="24">
        <f t="shared" ref="N75:N83" si="28">IF(O75&gt;1,$B$75*Q75,)</f>
        <v>0</v>
      </c>
      <c r="O75" s="24">
        <f t="shared" ref="O75:O84" si="29">IF(M75=TRUE,P75,0)</f>
        <v>0</v>
      </c>
      <c r="P75" s="27">
        <f t="shared" ref="P75" si="30">$B$75*E75-F75</f>
        <v>0</v>
      </c>
      <c r="Q75" s="25">
        <f t="shared" ref="Q75:Q83" si="31">IF(M75=TRUE,H75,0)</f>
        <v>0</v>
      </c>
      <c r="S75" s="10">
        <v>0</v>
      </c>
      <c r="T75" s="104">
        <v>0</v>
      </c>
      <c r="U75" s="105">
        <v>0</v>
      </c>
      <c r="V75" s="104">
        <v>0</v>
      </c>
      <c r="W75" s="2">
        <f>SUM(T75:V75)</f>
        <v>0</v>
      </c>
    </row>
    <row r="76" spans="1:24" ht="15" customHeight="1" thickTop="1" thickBot="1" x14ac:dyDescent="0.3">
      <c r="B76" s="40"/>
      <c r="C76" s="38" t="s">
        <v>7</v>
      </c>
      <c r="D76" s="4">
        <v>2144.29</v>
      </c>
      <c r="E76" s="5">
        <v>0.189</v>
      </c>
      <c r="F76" s="4">
        <v>329.65</v>
      </c>
      <c r="G76" s="55"/>
      <c r="H76" s="69">
        <v>3.5000000000000003E-2</v>
      </c>
      <c r="I76" s="56"/>
      <c r="J76" s="150" t="s">
        <v>101</v>
      </c>
      <c r="K76" s="74"/>
      <c r="M76" s="23" t="b">
        <f>AND((B75&gt;D75),(B75&lt;=D76))</f>
        <v>0</v>
      </c>
      <c r="N76" s="24">
        <f t="shared" si="28"/>
        <v>0</v>
      </c>
      <c r="O76" s="23">
        <f>IF(M76=TRUE,P76,0)</f>
        <v>0</v>
      </c>
      <c r="P76" s="27">
        <f t="shared" ref="P76:P84" si="32">$B$75*E76-F76-W76</f>
        <v>-329.65</v>
      </c>
      <c r="Q76" s="25">
        <f t="shared" si="31"/>
        <v>0</v>
      </c>
      <c r="S76" s="92">
        <f>IF(Q76&gt;0,1,)</f>
        <v>0</v>
      </c>
      <c r="T76" s="81">
        <f>IF(S76=0,0,IF($J$75&gt;=1,42.86*$J$75,))</f>
        <v>0</v>
      </c>
      <c r="U76" s="103">
        <f>IF(S76=0,0,IF($K$75&gt;=1,84.82*$K$75,))</f>
        <v>0</v>
      </c>
      <c r="V76" s="81">
        <f>IF(S76=0,0,IF($J$81&gt;=1,135.71*$J$81,))</f>
        <v>0</v>
      </c>
      <c r="W76" s="2">
        <f t="shared" ref="W76:W83" si="33">SUM(T76:V76)</f>
        <v>0</v>
      </c>
    </row>
    <row r="77" spans="1:24" ht="15" customHeight="1" thickTop="1" x14ac:dyDescent="0.25">
      <c r="B77" s="41" t="s">
        <v>57</v>
      </c>
      <c r="C77" s="38" t="s">
        <v>7</v>
      </c>
      <c r="D77" s="4">
        <v>2664.64</v>
      </c>
      <c r="E77" s="5">
        <v>0.21</v>
      </c>
      <c r="F77" s="4">
        <v>374.68</v>
      </c>
      <c r="G77" s="55"/>
      <c r="H77" s="69">
        <v>6.9000000000000006E-2</v>
      </c>
      <c r="I77" s="56"/>
      <c r="J77" s="151"/>
      <c r="K77" s="74"/>
      <c r="M77" s="23" t="b">
        <f>AND((B75&gt;D76),(B75&lt;=D77))</f>
        <v>0</v>
      </c>
      <c r="N77" s="24">
        <f t="shared" si="28"/>
        <v>0</v>
      </c>
      <c r="O77" s="23">
        <f>IF(M77=TRUE,P77,0)</f>
        <v>0</v>
      </c>
      <c r="P77" s="27">
        <f t="shared" si="32"/>
        <v>-374.68</v>
      </c>
      <c r="Q77" s="25">
        <f t="shared" si="31"/>
        <v>0</v>
      </c>
      <c r="S77" s="92">
        <f t="shared" ref="S77:S83" si="34">IF(Q77&gt;0,1,)</f>
        <v>0</v>
      </c>
      <c r="T77" s="81">
        <f t="shared" ref="T77:T84" si="35">IF(S77=0,0,IF($J$75&gt;=1,42.86*$J$75,))</f>
        <v>0</v>
      </c>
      <c r="U77" s="103">
        <f t="shared" ref="U77:U83" si="36">IF(S77=0,0,IF($K$75&gt;=1,84.82*$K$75,))</f>
        <v>0</v>
      </c>
      <c r="V77" s="81">
        <f t="shared" ref="V77:V84" si="37">IF(S77=0,0,IF($J$39&gt;=1,135.71*$J$39,))</f>
        <v>0</v>
      </c>
      <c r="W77" s="2">
        <f t="shared" si="33"/>
        <v>0</v>
      </c>
    </row>
    <row r="78" spans="1:24" ht="15" customHeight="1" thickBot="1" x14ac:dyDescent="0.3">
      <c r="B78" s="42">
        <f>IF(ROUNDDOWN(SUM(O75:O84),0)&lt;0,0,ROUNDDOWN(SUM(O75:O84),0))</f>
        <v>0</v>
      </c>
      <c r="C78" s="38" t="s">
        <v>7</v>
      </c>
      <c r="D78" s="4">
        <v>2711.36</v>
      </c>
      <c r="E78" s="5">
        <v>0.24679999999999999</v>
      </c>
      <c r="F78" s="4">
        <v>472.84</v>
      </c>
      <c r="G78" s="55"/>
      <c r="H78" s="69">
        <v>7.1999999999999995E-2</v>
      </c>
      <c r="I78" s="56"/>
      <c r="J78" s="151"/>
      <c r="K78" s="74"/>
      <c r="M78" s="23" t="b">
        <f>AND((B75&gt;D77),(B75&lt;=D78))</f>
        <v>0</v>
      </c>
      <c r="N78" s="24">
        <f t="shared" si="28"/>
        <v>0</v>
      </c>
      <c r="O78" s="23">
        <f t="shared" si="29"/>
        <v>0</v>
      </c>
      <c r="P78" s="27">
        <f t="shared" si="32"/>
        <v>-472.84</v>
      </c>
      <c r="Q78" s="25">
        <f t="shared" si="31"/>
        <v>0</v>
      </c>
      <c r="S78" s="92">
        <f>IF(Q78&gt;0,1,)</f>
        <v>0</v>
      </c>
      <c r="T78" s="81">
        <f t="shared" si="35"/>
        <v>0</v>
      </c>
      <c r="U78" s="103">
        <f t="shared" si="36"/>
        <v>0</v>
      </c>
      <c r="V78" s="81">
        <f t="shared" si="37"/>
        <v>0</v>
      </c>
      <c r="W78" s="2">
        <f t="shared" si="33"/>
        <v>0</v>
      </c>
    </row>
    <row r="79" spans="1:24" ht="15" customHeight="1" thickTop="1" thickBot="1" x14ac:dyDescent="0.3">
      <c r="B79" s="40"/>
      <c r="C79" s="38" t="s">
        <v>7</v>
      </c>
      <c r="D79" s="4">
        <v>2731.14</v>
      </c>
      <c r="E79" s="5">
        <v>0.27579999999999999</v>
      </c>
      <c r="F79" s="4">
        <v>551.44000000000005</v>
      </c>
      <c r="G79" s="55"/>
      <c r="H79" s="69">
        <v>7.3999999999999996E-2</v>
      </c>
      <c r="I79" s="56"/>
      <c r="J79" s="151"/>
      <c r="M79" s="23" t="b">
        <f>AND((B75&gt;D78),(B75&lt;=D79))</f>
        <v>0</v>
      </c>
      <c r="N79" s="24">
        <f t="shared" si="28"/>
        <v>0</v>
      </c>
      <c r="O79" s="23">
        <f t="shared" si="29"/>
        <v>0</v>
      </c>
      <c r="P79" s="27">
        <f t="shared" si="32"/>
        <v>-551.44000000000005</v>
      </c>
      <c r="Q79" s="25">
        <f t="shared" si="31"/>
        <v>0</v>
      </c>
      <c r="S79" s="92">
        <f t="shared" si="34"/>
        <v>0</v>
      </c>
      <c r="T79" s="81">
        <f t="shared" si="35"/>
        <v>0</v>
      </c>
      <c r="U79" s="103">
        <f t="shared" si="36"/>
        <v>0</v>
      </c>
      <c r="V79" s="81">
        <f t="shared" si="37"/>
        <v>0</v>
      </c>
      <c r="W79" s="2">
        <f t="shared" si="33"/>
        <v>0</v>
      </c>
    </row>
    <row r="80" spans="1:24" ht="15" customHeight="1" thickTop="1" thickBot="1" x14ac:dyDescent="0.3">
      <c r="B80" s="41" t="s">
        <v>60</v>
      </c>
      <c r="C80" s="38" t="s">
        <v>7</v>
      </c>
      <c r="D80" s="4">
        <v>2934.79</v>
      </c>
      <c r="E80" s="5">
        <v>0.33479999999999999</v>
      </c>
      <c r="F80" s="4">
        <v>712.52</v>
      </c>
      <c r="G80" s="55"/>
      <c r="H80" s="69">
        <v>9.1999999999999998E-2</v>
      </c>
      <c r="I80" s="56"/>
      <c r="J80" s="151"/>
      <c r="K80" s="74"/>
      <c r="M80" s="23" t="b">
        <f>AND((B75&gt;D79),(B75&lt;=D80))</f>
        <v>0</v>
      </c>
      <c r="N80" s="24">
        <f t="shared" si="28"/>
        <v>0</v>
      </c>
      <c r="O80" s="23">
        <f t="shared" si="29"/>
        <v>0</v>
      </c>
      <c r="P80" s="27">
        <f t="shared" si="32"/>
        <v>-712.52</v>
      </c>
      <c r="Q80" s="25">
        <f t="shared" si="31"/>
        <v>0</v>
      </c>
      <c r="S80" s="92">
        <f t="shared" si="34"/>
        <v>0</v>
      </c>
      <c r="T80" s="81">
        <f t="shared" si="35"/>
        <v>0</v>
      </c>
      <c r="U80" s="103">
        <f t="shared" si="36"/>
        <v>0</v>
      </c>
      <c r="V80" s="81">
        <f t="shared" si="37"/>
        <v>0</v>
      </c>
      <c r="W80" s="2">
        <f t="shared" si="33"/>
        <v>0</v>
      </c>
    </row>
    <row r="81" spans="1:24" ht="15" customHeight="1" thickTop="1" thickBot="1" x14ac:dyDescent="0.3">
      <c r="B81" s="42">
        <f>B75-B78</f>
        <v>0</v>
      </c>
      <c r="C81" s="38" t="s">
        <v>7</v>
      </c>
      <c r="D81" s="4">
        <v>6102.79</v>
      </c>
      <c r="E81" s="5">
        <v>0.372</v>
      </c>
      <c r="F81" s="4">
        <v>821.77</v>
      </c>
      <c r="G81" s="55"/>
      <c r="H81" s="69">
        <v>0.23699999999999999</v>
      </c>
      <c r="I81" s="56"/>
      <c r="J81" s="112">
        <v>0</v>
      </c>
      <c r="K81" s="74"/>
      <c r="M81" s="23" t="b">
        <f>AND((B75&gt;D80),(B75&lt;=D81))</f>
        <v>0</v>
      </c>
      <c r="N81" s="24">
        <f t="shared" si="28"/>
        <v>0</v>
      </c>
      <c r="O81" s="23">
        <f t="shared" si="29"/>
        <v>0</v>
      </c>
      <c r="P81" s="27">
        <f t="shared" si="32"/>
        <v>-821.77</v>
      </c>
      <c r="Q81" s="25">
        <f t="shared" si="31"/>
        <v>0</v>
      </c>
      <c r="S81" s="92">
        <f t="shared" si="34"/>
        <v>0</v>
      </c>
      <c r="T81" s="81">
        <f t="shared" si="35"/>
        <v>0</v>
      </c>
      <c r="U81" s="103">
        <f t="shared" si="36"/>
        <v>0</v>
      </c>
      <c r="V81" s="81">
        <f t="shared" si="37"/>
        <v>0</v>
      </c>
      <c r="W81" s="2">
        <f t="shared" si="33"/>
        <v>0</v>
      </c>
    </row>
    <row r="82" spans="1:24" ht="15" customHeight="1" thickTop="1" thickBot="1" x14ac:dyDescent="0.3">
      <c r="B82" s="40"/>
      <c r="C82" s="38" t="s">
        <v>7</v>
      </c>
      <c r="D82" s="4">
        <v>6186</v>
      </c>
      <c r="E82" s="5">
        <v>0.435</v>
      </c>
      <c r="F82" s="4">
        <v>1206.05</v>
      </c>
      <c r="G82" s="55"/>
      <c r="H82" s="69">
        <v>0.24</v>
      </c>
      <c r="I82" s="56"/>
      <c r="K82" s="74"/>
      <c r="M82" s="23" t="b">
        <f>AND((B75&gt;D81),(B75&lt;=D82))</f>
        <v>0</v>
      </c>
      <c r="N82" s="24">
        <f t="shared" si="28"/>
        <v>0</v>
      </c>
      <c r="O82" s="23">
        <f t="shared" si="29"/>
        <v>0</v>
      </c>
      <c r="P82" s="27">
        <f t="shared" si="32"/>
        <v>-1206.05</v>
      </c>
      <c r="Q82" s="25">
        <f t="shared" si="31"/>
        <v>0</v>
      </c>
      <c r="S82" s="92">
        <f>IF(Q82&gt;0,1,)</f>
        <v>0</v>
      </c>
      <c r="T82" s="81">
        <f t="shared" si="35"/>
        <v>0</v>
      </c>
      <c r="U82" s="103">
        <f t="shared" si="36"/>
        <v>0</v>
      </c>
      <c r="V82" s="81">
        <f t="shared" si="37"/>
        <v>0</v>
      </c>
      <c r="W82" s="2">
        <f t="shared" si="33"/>
        <v>0</v>
      </c>
    </row>
    <row r="83" spans="1:24" ht="15" customHeight="1" thickTop="1" x14ac:dyDescent="0.25">
      <c r="B83" s="41" t="s">
        <v>61</v>
      </c>
      <c r="C83" s="38" t="s">
        <v>7</v>
      </c>
      <c r="D83" s="4">
        <v>18328.86</v>
      </c>
      <c r="E83" s="5">
        <v>0.47770000000000001</v>
      </c>
      <c r="F83" s="4">
        <v>1470.07</v>
      </c>
      <c r="G83" s="55"/>
      <c r="H83" s="69">
        <v>0.39700000000000002</v>
      </c>
      <c r="I83" s="56"/>
      <c r="J83" s="61"/>
      <c r="K83" s="61"/>
      <c r="M83" s="23" t="b">
        <f>AND((B75&gt;D82),(B75&lt;=D83))</f>
        <v>0</v>
      </c>
      <c r="N83" s="24">
        <f t="shared" si="28"/>
        <v>0</v>
      </c>
      <c r="O83" s="23">
        <f t="shared" si="29"/>
        <v>0</v>
      </c>
      <c r="P83" s="27">
        <f t="shared" si="32"/>
        <v>-1470.07</v>
      </c>
      <c r="Q83" s="25">
        <f t="shared" si="31"/>
        <v>0</v>
      </c>
      <c r="S83" s="92">
        <f t="shared" si="34"/>
        <v>0</v>
      </c>
      <c r="T83" s="81">
        <f t="shared" si="35"/>
        <v>0</v>
      </c>
      <c r="U83" s="103">
        <f t="shared" si="36"/>
        <v>0</v>
      </c>
      <c r="V83" s="81">
        <f t="shared" si="37"/>
        <v>0</v>
      </c>
      <c r="W83" s="2">
        <f t="shared" si="33"/>
        <v>0</v>
      </c>
    </row>
    <row r="84" spans="1:24" ht="15" customHeight="1" thickBot="1" x14ac:dyDescent="0.3">
      <c r="B84" s="45">
        <f>IFERROR(B78/B75,0)</f>
        <v>0</v>
      </c>
      <c r="C84" s="38" t="s">
        <v>8</v>
      </c>
      <c r="D84" s="4">
        <v>18328.86</v>
      </c>
      <c r="E84" s="5">
        <v>0.53</v>
      </c>
      <c r="F84" s="4">
        <v>2429.0500000000002</v>
      </c>
      <c r="G84" s="55"/>
      <c r="H84" s="69" t="s">
        <v>9</v>
      </c>
      <c r="I84" s="56"/>
      <c r="J84" s="61"/>
      <c r="K84" s="61"/>
      <c r="M84" s="23" t="b">
        <f>AND(B75&gt;D83)</f>
        <v>0</v>
      </c>
      <c r="N84" s="24">
        <f>IF(O84&gt;1,$B$75*Q84,)</f>
        <v>0</v>
      </c>
      <c r="O84" s="23">
        <f t="shared" si="29"/>
        <v>0</v>
      </c>
      <c r="P84" s="27">
        <f t="shared" si="32"/>
        <v>-2429.0500000000002</v>
      </c>
      <c r="Q84" s="25"/>
      <c r="S84" s="92">
        <f>IF(B86="n.a.",1,)</f>
        <v>0</v>
      </c>
      <c r="T84" s="81">
        <f t="shared" si="35"/>
        <v>0</v>
      </c>
      <c r="U84" s="103">
        <f>IF(S84=0,0,IF($K$33&gt;=1,84.82*$K$33,))</f>
        <v>0</v>
      </c>
      <c r="V84" s="81">
        <f t="shared" si="37"/>
        <v>0</v>
      </c>
      <c r="W84" s="2">
        <f>SUM(T84:V84)</f>
        <v>0</v>
      </c>
    </row>
    <row r="85" spans="1:24" ht="15" customHeight="1" thickTop="1" x14ac:dyDescent="0.3">
      <c r="A85" s="147" t="s">
        <v>62</v>
      </c>
      <c r="B85" s="148"/>
      <c r="C85" s="161">
        <f ca="1">B78*F85</f>
        <v>0</v>
      </c>
      <c r="D85" s="162"/>
      <c r="E85" s="78">
        <f ca="1">MONTH(TODAY())</f>
        <v>4</v>
      </c>
      <c r="F85" s="77">
        <f ca="1">IF(E85=7,2,IF(E85=8,3,IF(E85=9,4,IF(E85=10,5,IF(E85=11,7,IF(E85=12,8,))))))</f>
        <v>0</v>
      </c>
      <c r="M85" s="10"/>
      <c r="N85" s="13"/>
      <c r="O85" s="10"/>
      <c r="P85" s="10"/>
      <c r="Q85" s="14"/>
    </row>
    <row r="86" spans="1:24" ht="15" customHeight="1" x14ac:dyDescent="0.25">
      <c r="B86" s="73">
        <f>IF(M84=TRUE,"n.a.",SUM(Q75:Q83))</f>
        <v>0</v>
      </c>
      <c r="C86" s="2"/>
      <c r="D86" s="2"/>
      <c r="E86" s="2"/>
      <c r="F86" s="43"/>
      <c r="H86" s="2"/>
      <c r="M86" s="10"/>
      <c r="N86" s="13"/>
      <c r="O86" s="10"/>
      <c r="P86" s="10"/>
      <c r="Q86" s="14"/>
    </row>
    <row r="87" spans="1:24" ht="3" customHeight="1" x14ac:dyDescent="0.25">
      <c r="B87" s="37"/>
      <c r="C87" s="36"/>
      <c r="D87" s="36"/>
      <c r="E87" s="36"/>
      <c r="F87" s="36"/>
      <c r="G87" s="36"/>
      <c r="H87" s="36"/>
      <c r="I87" s="37"/>
      <c r="J87" s="37"/>
      <c r="K87" s="37"/>
      <c r="M87" s="10"/>
      <c r="N87" s="13"/>
      <c r="O87" s="10"/>
      <c r="P87" s="10"/>
      <c r="Q87" s="14"/>
    </row>
    <row r="88" spans="1:24" ht="15" customHeight="1" x14ac:dyDescent="0.25">
      <c r="M88" s="10"/>
      <c r="N88" s="13"/>
      <c r="O88" s="10"/>
      <c r="P88" s="10"/>
      <c r="Q88" s="14"/>
    </row>
    <row r="89" spans="1:24" ht="15" customHeight="1" x14ac:dyDescent="0.25">
      <c r="C89" s="1" t="s">
        <v>0</v>
      </c>
    </row>
    <row r="90" spans="1:24" ht="15" customHeight="1" x14ac:dyDescent="0.25">
      <c r="C90" s="1" t="s">
        <v>41</v>
      </c>
    </row>
    <row r="91" spans="1:24" ht="15" customHeight="1" x14ac:dyDescent="0.25">
      <c r="C91" s="11" t="s">
        <v>42</v>
      </c>
      <c r="D91" s="11"/>
      <c r="E91" s="11"/>
      <c r="F91" s="11"/>
      <c r="G91" s="11"/>
      <c r="J91" s="116"/>
      <c r="K91" s="114"/>
    </row>
    <row r="92" spans="1:24" ht="15" customHeight="1" x14ac:dyDescent="0.25">
      <c r="J92" s="115"/>
      <c r="K92" s="19"/>
    </row>
    <row r="93" spans="1:24" ht="83" customHeight="1" thickBot="1" x14ac:dyDescent="0.3">
      <c r="B93" s="135" t="s">
        <v>97</v>
      </c>
      <c r="C93" s="164" t="s">
        <v>3</v>
      </c>
      <c r="D93" s="146"/>
      <c r="E93" s="86" t="s">
        <v>4</v>
      </c>
      <c r="F93" s="86" t="s">
        <v>66</v>
      </c>
      <c r="G93" s="88"/>
      <c r="H93" s="85" t="s">
        <v>6</v>
      </c>
      <c r="I93" s="56"/>
      <c r="J93" s="113" t="s">
        <v>98</v>
      </c>
      <c r="K93" s="113" t="s">
        <v>99</v>
      </c>
      <c r="L93" s="122"/>
      <c r="M93" s="32" t="s">
        <v>47</v>
      </c>
      <c r="N93" s="33" t="s">
        <v>46</v>
      </c>
      <c r="O93" s="33" t="s">
        <v>55</v>
      </c>
      <c r="P93" s="32" t="s">
        <v>48</v>
      </c>
      <c r="Q93" s="32" t="s">
        <v>49</v>
      </c>
      <c r="T93" s="106" t="s">
        <v>71</v>
      </c>
      <c r="U93" s="106" t="s">
        <v>72</v>
      </c>
      <c r="V93" s="106" t="s">
        <v>73</v>
      </c>
      <c r="W93" s="106" t="s">
        <v>74</v>
      </c>
    </row>
    <row r="94" spans="1:24" ht="15" customHeight="1" thickTop="1" thickBot="1" x14ac:dyDescent="0.3">
      <c r="B94" s="39">
        <v>0</v>
      </c>
      <c r="C94" s="38" t="s">
        <v>7</v>
      </c>
      <c r="D94" s="4">
        <v>1608.54</v>
      </c>
      <c r="E94" s="5">
        <v>0</v>
      </c>
      <c r="F94" s="4">
        <v>0</v>
      </c>
      <c r="G94" s="55"/>
      <c r="H94" s="70">
        <v>0</v>
      </c>
      <c r="I94" s="56"/>
      <c r="J94" s="112">
        <v>0</v>
      </c>
      <c r="K94" s="112">
        <v>0</v>
      </c>
      <c r="M94" s="23" t="b">
        <f>AND(B94&lt;=D94)</f>
        <v>1</v>
      </c>
      <c r="N94" s="24">
        <f t="shared" ref="N94:N102" si="38">IF(O94&gt;1,$B$94*Q94,)</f>
        <v>0</v>
      </c>
      <c r="O94" s="24">
        <f t="shared" ref="O94" si="39">IF(M94=TRUE,P94,0)</f>
        <v>0</v>
      </c>
      <c r="P94" s="27">
        <f>B94*E94-F94</f>
        <v>0</v>
      </c>
      <c r="Q94" s="25">
        <f t="shared" ref="Q94:Q102" si="40">IF(M94=TRUE,H94,0)</f>
        <v>0</v>
      </c>
      <c r="S94" s="10">
        <v>0</v>
      </c>
      <c r="T94" s="104">
        <v>0</v>
      </c>
      <c r="U94" s="105">
        <v>0</v>
      </c>
      <c r="V94" s="104">
        <v>0</v>
      </c>
      <c r="W94" s="105">
        <v>0</v>
      </c>
      <c r="X94" s="2">
        <f>SUM(T94:W94)</f>
        <v>0</v>
      </c>
    </row>
    <row r="95" spans="1:24" ht="15" customHeight="1" thickTop="1" thickBot="1" x14ac:dyDescent="0.3">
      <c r="B95" s="40"/>
      <c r="C95" s="38" t="s">
        <v>7</v>
      </c>
      <c r="D95" s="4">
        <v>1700</v>
      </c>
      <c r="E95" s="5">
        <v>0.25650000000000001</v>
      </c>
      <c r="F95" s="4">
        <v>412.59</v>
      </c>
      <c r="G95" s="55"/>
      <c r="H95" s="70">
        <v>1.4E-2</v>
      </c>
      <c r="I95" s="56"/>
      <c r="J95" s="152" t="s">
        <v>102</v>
      </c>
      <c r="K95" s="152" t="s">
        <v>103</v>
      </c>
      <c r="M95" s="23" t="b">
        <f>AND((B94&gt;D94),(B94&lt;=D95))</f>
        <v>0</v>
      </c>
      <c r="N95" s="24">
        <f t="shared" si="38"/>
        <v>0</v>
      </c>
      <c r="O95" s="23">
        <f>IF(M95=TRUE,P95,0)</f>
        <v>0</v>
      </c>
      <c r="P95" s="27">
        <f t="shared" ref="P95:P103" si="41">$B$94*E95-F95-X95</f>
        <v>-412.59</v>
      </c>
      <c r="Q95" s="25">
        <f t="shared" si="40"/>
        <v>0</v>
      </c>
      <c r="S95" s="92">
        <f>IF(Q95&gt;0,1,)</f>
        <v>0</v>
      </c>
      <c r="T95" s="81">
        <f>IF(S95=0,0,IF($J$94&gt;=1,42.86*$J$94,))</f>
        <v>0</v>
      </c>
      <c r="U95" s="103">
        <f>IF(S95=0,0,IF($K$94&gt;=1,21.43*$K$94,))</f>
        <v>0</v>
      </c>
      <c r="V95" s="81">
        <f t="shared" ref="V95:V103" si="42">IF(S95=0,0,IF($J$99&gt;=1,84.82*$J$99,))</f>
        <v>0</v>
      </c>
      <c r="W95" s="103">
        <f t="shared" ref="W95:W103" si="43">IF(S95=0,0,IF($K$99&gt;=1,42.41*$K$99,))</f>
        <v>0</v>
      </c>
      <c r="X95" s="2">
        <f>SUM(T95:W95)</f>
        <v>0</v>
      </c>
    </row>
    <row r="96" spans="1:24" ht="15" customHeight="1" thickTop="1" x14ac:dyDescent="0.25">
      <c r="B96" s="41" t="s">
        <v>57</v>
      </c>
      <c r="C96" s="38" t="s">
        <v>7</v>
      </c>
      <c r="D96" s="4">
        <v>1866.07</v>
      </c>
      <c r="E96" s="5">
        <v>0.28499999999999998</v>
      </c>
      <c r="F96" s="4">
        <v>461.04</v>
      </c>
      <c r="G96" s="55"/>
      <c r="H96" s="70">
        <v>3.7999999999999999E-2</v>
      </c>
      <c r="I96" s="56"/>
      <c r="J96" s="153"/>
      <c r="K96" s="153"/>
      <c r="M96" s="23" t="b">
        <f>AND((B94&gt;D95),(B94&lt;=D96))</f>
        <v>0</v>
      </c>
      <c r="N96" s="24">
        <f t="shared" si="38"/>
        <v>0</v>
      </c>
      <c r="O96" s="23">
        <f>IF(M96=TRUE,P96,0)</f>
        <v>0</v>
      </c>
      <c r="P96" s="27">
        <f t="shared" si="41"/>
        <v>-461.04</v>
      </c>
      <c r="Q96" s="25">
        <f t="shared" si="40"/>
        <v>0</v>
      </c>
      <c r="S96" s="92">
        <f>IF(Q96&gt;0,1,)</f>
        <v>0</v>
      </c>
      <c r="T96" s="81">
        <f t="shared" ref="T96:T102" si="44">IF(S96=0,0,IF($J$94&gt;=1,42.86*$J$94,))</f>
        <v>0</v>
      </c>
      <c r="U96" s="103">
        <f t="shared" ref="U96:U103" si="45">IF(S96=0,0,IF($K$94&gt;=1,21.43*$K$94,))</f>
        <v>0</v>
      </c>
      <c r="V96" s="81">
        <f t="shared" si="42"/>
        <v>0</v>
      </c>
      <c r="W96" s="103">
        <f t="shared" si="43"/>
        <v>0</v>
      </c>
      <c r="X96" s="2">
        <f t="shared" ref="X96:X103" si="46">SUM(T96:W96)</f>
        <v>0</v>
      </c>
    </row>
    <row r="97" spans="1:24" ht="15" customHeight="1" thickBot="1" x14ac:dyDescent="0.3">
      <c r="B97" s="42">
        <f>IF(ROUNDDOWN(SUM(O94:O103),0)&lt;0,0,ROUNDDOWN(SUM(O94:O103),0))</f>
        <v>0</v>
      </c>
      <c r="C97" s="38" t="s">
        <v>7</v>
      </c>
      <c r="D97" s="4">
        <v>2354.21</v>
      </c>
      <c r="E97" s="5">
        <v>0.35</v>
      </c>
      <c r="F97" s="4">
        <v>582.33000000000004</v>
      </c>
      <c r="G97" s="55"/>
      <c r="H97" s="70">
        <v>0.10299999999999999</v>
      </c>
      <c r="I97" s="56"/>
      <c r="J97" s="153"/>
      <c r="K97" s="153"/>
      <c r="M97" s="23" t="b">
        <f>AND((B94&gt;D96),(B94&lt;=D97))</f>
        <v>0</v>
      </c>
      <c r="N97" s="24">
        <f t="shared" si="38"/>
        <v>0</v>
      </c>
      <c r="O97" s="23">
        <f>IF(M97=TRUE,P97,0)</f>
        <v>0</v>
      </c>
      <c r="P97" s="27">
        <f t="shared" si="41"/>
        <v>-582.33000000000004</v>
      </c>
      <c r="Q97" s="25">
        <f t="shared" si="40"/>
        <v>0</v>
      </c>
      <c r="S97" s="92">
        <f>IF(Q97&gt;0,1,)</f>
        <v>0</v>
      </c>
      <c r="T97" s="81">
        <f t="shared" si="44"/>
        <v>0</v>
      </c>
      <c r="U97" s="103">
        <f t="shared" si="45"/>
        <v>0</v>
      </c>
      <c r="V97" s="81">
        <f t="shared" si="42"/>
        <v>0</v>
      </c>
      <c r="W97" s="103">
        <f t="shared" si="43"/>
        <v>0</v>
      </c>
      <c r="X97" s="2">
        <f t="shared" si="46"/>
        <v>0</v>
      </c>
    </row>
    <row r="98" spans="1:24" ht="15" customHeight="1" thickTop="1" thickBot="1" x14ac:dyDescent="0.3">
      <c r="B98" s="40"/>
      <c r="C98" s="38" t="s">
        <v>7</v>
      </c>
      <c r="D98" s="4">
        <v>3302.57</v>
      </c>
      <c r="E98" s="5">
        <v>0.37</v>
      </c>
      <c r="F98" s="4">
        <v>629.41999999999996</v>
      </c>
      <c r="G98" s="55"/>
      <c r="H98" s="70">
        <v>0.17899999999999999</v>
      </c>
      <c r="I98" s="56"/>
      <c r="J98" s="153"/>
      <c r="K98" s="153"/>
      <c r="M98" s="23" t="b">
        <f>AND((B94&gt;D97),(B94&lt;=D98))</f>
        <v>0</v>
      </c>
      <c r="N98" s="24">
        <f t="shared" si="38"/>
        <v>0</v>
      </c>
      <c r="O98" s="23">
        <f>IF(M98=TRUE,P98,0)</f>
        <v>0</v>
      </c>
      <c r="P98" s="27">
        <f t="shared" si="41"/>
        <v>-629.41999999999996</v>
      </c>
      <c r="Q98" s="25">
        <f t="shared" si="40"/>
        <v>0</v>
      </c>
      <c r="S98" s="92">
        <f t="shared" ref="S98:S102" si="47">IF(Q98&gt;0,1,)</f>
        <v>0</v>
      </c>
      <c r="T98" s="81">
        <f t="shared" si="44"/>
        <v>0</v>
      </c>
      <c r="U98" s="103">
        <f t="shared" si="45"/>
        <v>0</v>
      </c>
      <c r="V98" s="81">
        <f t="shared" si="42"/>
        <v>0</v>
      </c>
      <c r="W98" s="103">
        <f t="shared" si="43"/>
        <v>0</v>
      </c>
      <c r="X98" s="2">
        <f t="shared" si="46"/>
        <v>0</v>
      </c>
    </row>
    <row r="99" spans="1:24" ht="15" customHeight="1" thickTop="1" thickBot="1" x14ac:dyDescent="0.3">
      <c r="B99" s="41" t="s">
        <v>60</v>
      </c>
      <c r="C99" s="38" t="s">
        <v>7</v>
      </c>
      <c r="D99" s="4">
        <v>4077.64</v>
      </c>
      <c r="E99" s="5">
        <v>0.435</v>
      </c>
      <c r="F99" s="4">
        <v>844.09</v>
      </c>
      <c r="G99" s="55"/>
      <c r="H99" s="70">
        <v>0.22800000000000001</v>
      </c>
      <c r="I99" s="56"/>
      <c r="J99" s="112">
        <v>0</v>
      </c>
      <c r="K99" s="112">
        <v>0</v>
      </c>
      <c r="M99" s="23" t="b">
        <f>AND((B94&gt;D98),(B94&lt;=D99))</f>
        <v>0</v>
      </c>
      <c r="N99" s="24">
        <f t="shared" si="38"/>
        <v>0</v>
      </c>
      <c r="O99" s="23">
        <f t="shared" ref="O99:O103" si="48">IF(M99=TRUE,P99,0)</f>
        <v>0</v>
      </c>
      <c r="P99" s="27">
        <f t="shared" si="41"/>
        <v>-844.09</v>
      </c>
      <c r="Q99" s="25">
        <f t="shared" si="40"/>
        <v>0</v>
      </c>
      <c r="S99" s="92">
        <f t="shared" si="47"/>
        <v>0</v>
      </c>
      <c r="T99" s="81">
        <f t="shared" si="44"/>
        <v>0</v>
      </c>
      <c r="U99" s="103">
        <f t="shared" si="45"/>
        <v>0</v>
      </c>
      <c r="V99" s="81">
        <f t="shared" si="42"/>
        <v>0</v>
      </c>
      <c r="W99" s="103">
        <f t="shared" si="43"/>
        <v>0</v>
      </c>
      <c r="X99" s="2">
        <f t="shared" si="46"/>
        <v>0</v>
      </c>
    </row>
    <row r="100" spans="1:24" ht="15" customHeight="1" thickTop="1" thickBot="1" x14ac:dyDescent="0.3">
      <c r="B100" s="42">
        <f>B94-B97</f>
        <v>0</v>
      </c>
      <c r="C100" s="38" t="s">
        <v>7</v>
      </c>
      <c r="D100" s="4">
        <v>6102.79</v>
      </c>
      <c r="E100" s="5">
        <v>0.45</v>
      </c>
      <c r="F100" s="4">
        <v>905.25</v>
      </c>
      <c r="G100" s="55"/>
      <c r="H100" s="70">
        <v>0.30199999999999999</v>
      </c>
      <c r="I100" s="56"/>
      <c r="M100" s="23" t="b">
        <f>AND((B94&gt;D99),(B94&lt;=D100))</f>
        <v>0</v>
      </c>
      <c r="N100" s="24">
        <f t="shared" si="38"/>
        <v>0</v>
      </c>
      <c r="O100" s="23">
        <f t="shared" si="48"/>
        <v>0</v>
      </c>
      <c r="P100" s="27">
        <f t="shared" si="41"/>
        <v>-905.25</v>
      </c>
      <c r="Q100" s="25">
        <f t="shared" si="40"/>
        <v>0</v>
      </c>
      <c r="S100" s="92">
        <f t="shared" si="47"/>
        <v>0</v>
      </c>
      <c r="T100" s="81">
        <f>IF(S100=0,0,IF($J$94&gt;=1,42.86*$J$94,))</f>
        <v>0</v>
      </c>
      <c r="U100" s="103">
        <f t="shared" si="45"/>
        <v>0</v>
      </c>
      <c r="V100" s="81">
        <f t="shared" si="42"/>
        <v>0</v>
      </c>
      <c r="W100" s="103">
        <f t="shared" si="43"/>
        <v>0</v>
      </c>
      <c r="X100" s="2">
        <f t="shared" si="46"/>
        <v>0</v>
      </c>
    </row>
    <row r="101" spans="1:24" ht="15" customHeight="1" thickTop="1" thickBot="1" x14ac:dyDescent="0.3">
      <c r="B101" s="40"/>
      <c r="C101" s="38" t="s">
        <v>7</v>
      </c>
      <c r="D101" s="4">
        <v>6186</v>
      </c>
      <c r="E101" s="5">
        <v>0.48</v>
      </c>
      <c r="F101" s="4">
        <v>1088.33</v>
      </c>
      <c r="G101" s="55"/>
      <c r="H101" s="70">
        <v>0.30399999999999999</v>
      </c>
      <c r="I101" s="56"/>
      <c r="J101" s="61"/>
      <c r="K101" s="61"/>
      <c r="M101" s="23" t="b">
        <f>AND((B94&gt;D100),(B94&lt;=D101))</f>
        <v>0</v>
      </c>
      <c r="N101" s="24">
        <f t="shared" si="38"/>
        <v>0</v>
      </c>
      <c r="O101" s="23">
        <f t="shared" si="48"/>
        <v>0</v>
      </c>
      <c r="P101" s="27">
        <f t="shared" si="41"/>
        <v>-1088.33</v>
      </c>
      <c r="Q101" s="25">
        <f t="shared" si="40"/>
        <v>0</v>
      </c>
      <c r="S101" s="92">
        <f t="shared" si="47"/>
        <v>0</v>
      </c>
      <c r="T101" s="81">
        <f t="shared" si="44"/>
        <v>0</v>
      </c>
      <c r="U101" s="103">
        <f t="shared" si="45"/>
        <v>0</v>
      </c>
      <c r="V101" s="81">
        <f t="shared" si="42"/>
        <v>0</v>
      </c>
      <c r="W101" s="103">
        <f t="shared" si="43"/>
        <v>0</v>
      </c>
      <c r="X101" s="2">
        <f t="shared" si="46"/>
        <v>0</v>
      </c>
    </row>
    <row r="102" spans="1:24" ht="15" customHeight="1" thickTop="1" x14ac:dyDescent="0.25">
      <c r="B102" s="41" t="s">
        <v>61</v>
      </c>
      <c r="C102" s="38" t="s">
        <v>7</v>
      </c>
      <c r="D102" s="4">
        <v>18328.86</v>
      </c>
      <c r="E102" s="5">
        <v>0.505</v>
      </c>
      <c r="F102" s="4">
        <v>1242.98</v>
      </c>
      <c r="G102" s="55"/>
      <c r="H102" s="70">
        <v>0.437</v>
      </c>
      <c r="I102" s="56"/>
      <c r="J102" s="61"/>
      <c r="K102" s="61"/>
      <c r="M102" s="23" t="b">
        <f>AND((B94&gt;D101),(B94&lt;=D102))</f>
        <v>0</v>
      </c>
      <c r="N102" s="24">
        <f t="shared" si="38"/>
        <v>0</v>
      </c>
      <c r="O102" s="23">
        <f t="shared" si="48"/>
        <v>0</v>
      </c>
      <c r="P102" s="27">
        <f t="shared" si="41"/>
        <v>-1242.98</v>
      </c>
      <c r="Q102" s="25">
        <f t="shared" si="40"/>
        <v>0</v>
      </c>
      <c r="S102" s="92">
        <f t="shared" si="47"/>
        <v>0</v>
      </c>
      <c r="T102" s="81">
        <f t="shared" si="44"/>
        <v>0</v>
      </c>
      <c r="U102" s="103">
        <f t="shared" si="45"/>
        <v>0</v>
      </c>
      <c r="V102" s="81">
        <f t="shared" si="42"/>
        <v>0</v>
      </c>
      <c r="W102" s="103">
        <f t="shared" si="43"/>
        <v>0</v>
      </c>
      <c r="X102" s="2">
        <f t="shared" si="46"/>
        <v>0</v>
      </c>
    </row>
    <row r="103" spans="1:24" ht="15" customHeight="1" thickBot="1" x14ac:dyDescent="0.3">
      <c r="B103" s="45">
        <f>IFERROR(B97/B94,0)</f>
        <v>0</v>
      </c>
      <c r="C103" s="38" t="s">
        <v>8</v>
      </c>
      <c r="D103" s="4">
        <v>18328.86</v>
      </c>
      <c r="E103" s="5">
        <v>0.53</v>
      </c>
      <c r="F103" s="4">
        <v>1701.21</v>
      </c>
      <c r="G103" s="55"/>
      <c r="H103" s="70" t="s">
        <v>9</v>
      </c>
      <c r="I103" s="56"/>
      <c r="J103" s="61"/>
      <c r="K103" s="61"/>
      <c r="M103" s="23" t="b">
        <f>AND(B94&gt;D102)</f>
        <v>0</v>
      </c>
      <c r="N103" s="24">
        <f>IF(O103&gt;1,$B$94*Q103,)</f>
        <v>0</v>
      </c>
      <c r="O103" s="23">
        <f t="shared" si="48"/>
        <v>0</v>
      </c>
      <c r="P103" s="27">
        <f t="shared" si="41"/>
        <v>-1701.21</v>
      </c>
      <c r="Q103" s="25"/>
      <c r="S103" s="92">
        <f>IF(B105="n.a.",1,)</f>
        <v>0</v>
      </c>
      <c r="T103" s="81">
        <f>IF(S103=0,0,IF($J$94&gt;=1,42.86*$J$94,))</f>
        <v>0</v>
      </c>
      <c r="U103" s="103">
        <f t="shared" si="45"/>
        <v>0</v>
      </c>
      <c r="V103" s="81">
        <f t="shared" si="42"/>
        <v>0</v>
      </c>
      <c r="W103" s="103">
        <f t="shared" si="43"/>
        <v>0</v>
      </c>
      <c r="X103" s="2">
        <f t="shared" si="46"/>
        <v>0</v>
      </c>
    </row>
    <row r="104" spans="1:24" ht="15" customHeight="1" thickTop="1" x14ac:dyDescent="0.3">
      <c r="A104" s="147" t="s">
        <v>62</v>
      </c>
      <c r="B104" s="148"/>
      <c r="C104" s="161">
        <f ca="1">B97*F104</f>
        <v>0</v>
      </c>
      <c r="D104" s="162"/>
      <c r="E104" s="78">
        <f ca="1">MONTH(TODAY())</f>
        <v>4</v>
      </c>
      <c r="F104" s="77">
        <f ca="1">IF(E104=7,2,IF(E104=8,3,IF(E104=9,4,IF(E104=10,5,IF(E104=11,7,IF(E104=12,8,))))))</f>
        <v>0</v>
      </c>
    </row>
    <row r="105" spans="1:24" ht="15" customHeight="1" x14ac:dyDescent="0.25">
      <c r="B105" s="73">
        <f>IF(M103=TRUE,"n.a.",SUM(Q94:Q102))</f>
        <v>0</v>
      </c>
      <c r="C105" s="2"/>
      <c r="D105" s="2"/>
      <c r="E105" s="2"/>
      <c r="F105" s="43"/>
      <c r="H105" s="2"/>
    </row>
    <row r="106" spans="1:24" ht="3" customHeight="1" x14ac:dyDescent="0.25">
      <c r="B106" s="37"/>
      <c r="C106" s="36"/>
      <c r="D106" s="36"/>
      <c r="E106" s="36"/>
      <c r="F106" s="36"/>
      <c r="G106" s="36"/>
      <c r="H106" s="36"/>
      <c r="I106" s="37"/>
      <c r="J106" s="37"/>
      <c r="K106" s="37"/>
    </row>
    <row r="107" spans="1:24" ht="15" customHeight="1" x14ac:dyDescent="0.25"/>
    <row r="108" spans="1:24" ht="15" customHeight="1" x14ac:dyDescent="0.25">
      <c r="C108" s="1" t="s">
        <v>0</v>
      </c>
    </row>
    <row r="109" spans="1:24" ht="15" customHeight="1" x14ac:dyDescent="0.25">
      <c r="C109" s="1" t="s">
        <v>43</v>
      </c>
    </row>
    <row r="110" spans="1:24" ht="15" customHeight="1" x14ac:dyDescent="0.25">
      <c r="C110" s="11" t="s">
        <v>44</v>
      </c>
      <c r="D110" s="11"/>
      <c r="E110" s="11"/>
      <c r="F110" s="11"/>
      <c r="J110" s="116"/>
      <c r="K110" s="114"/>
    </row>
    <row r="111" spans="1:24" ht="15" customHeight="1" x14ac:dyDescent="0.25">
      <c r="J111" s="115"/>
      <c r="K111" s="115"/>
    </row>
    <row r="112" spans="1:24" ht="83" customHeight="1" thickBot="1" x14ac:dyDescent="0.3">
      <c r="B112" s="135" t="s">
        <v>97</v>
      </c>
      <c r="C112" s="164" t="s">
        <v>3</v>
      </c>
      <c r="D112" s="146"/>
      <c r="E112" s="86" t="s">
        <v>4</v>
      </c>
      <c r="F112" s="86" t="s">
        <v>66</v>
      </c>
      <c r="G112" s="88"/>
      <c r="H112" s="89" t="s">
        <v>6</v>
      </c>
      <c r="I112" s="62"/>
      <c r="J112" s="113" t="s">
        <v>92</v>
      </c>
      <c r="K112" s="138" t="s">
        <v>104</v>
      </c>
      <c r="M112" s="32" t="s">
        <v>47</v>
      </c>
      <c r="N112" s="33" t="s">
        <v>46</v>
      </c>
      <c r="O112" s="33" t="s">
        <v>55</v>
      </c>
      <c r="P112" s="32" t="s">
        <v>48</v>
      </c>
      <c r="Q112" s="32" t="s">
        <v>49</v>
      </c>
      <c r="T112" s="106" t="s">
        <v>75</v>
      </c>
      <c r="U112" s="106" t="s">
        <v>77</v>
      </c>
      <c r="V112" s="106" t="s">
        <v>76</v>
      </c>
    </row>
    <row r="113" spans="1:23" ht="15" customHeight="1" thickTop="1" thickBot="1" x14ac:dyDescent="0.3">
      <c r="B113" s="39">
        <v>0</v>
      </c>
      <c r="C113" s="38" t="s">
        <v>7</v>
      </c>
      <c r="D113" s="4">
        <v>1779.71</v>
      </c>
      <c r="E113" s="5">
        <v>0</v>
      </c>
      <c r="F113" s="4">
        <v>0</v>
      </c>
      <c r="G113" s="55"/>
      <c r="H113" s="68">
        <v>0</v>
      </c>
      <c r="I113" s="62"/>
      <c r="J113" s="112">
        <v>0</v>
      </c>
      <c r="K113" s="112">
        <v>0</v>
      </c>
      <c r="M113" s="23" t="b">
        <f>AND(B113&lt;=D113)</f>
        <v>1</v>
      </c>
      <c r="N113" s="24">
        <f t="shared" ref="N113:N122" si="49">IF(O113&gt;1,$B$113*Q113,)</f>
        <v>0</v>
      </c>
      <c r="O113" s="24">
        <f t="shared" ref="O113" si="50">IF(M113=TRUE,P113,0)</f>
        <v>0</v>
      </c>
      <c r="P113" s="27">
        <f>B113*E113-F113</f>
        <v>0</v>
      </c>
      <c r="Q113" s="25">
        <f t="shared" ref="Q113:Q121" si="51">IF(M113=TRUE,H113,0)</f>
        <v>0</v>
      </c>
      <c r="S113" s="10">
        <v>0</v>
      </c>
      <c r="T113" s="104">
        <v>0</v>
      </c>
      <c r="U113" s="105">
        <v>0</v>
      </c>
      <c r="V113" s="104">
        <v>0</v>
      </c>
      <c r="W113" s="2">
        <f>SUM(T113:V113)</f>
        <v>0</v>
      </c>
    </row>
    <row r="114" spans="1:23" ht="15" customHeight="1" thickTop="1" thickBot="1" x14ac:dyDescent="0.3">
      <c r="B114" s="40"/>
      <c r="C114" s="38" t="s">
        <v>7</v>
      </c>
      <c r="D114" s="4">
        <v>2114.29</v>
      </c>
      <c r="E114" s="5">
        <v>0.189</v>
      </c>
      <c r="F114" s="4">
        <v>336.37</v>
      </c>
      <c r="G114" s="55"/>
      <c r="H114" s="68">
        <v>0.03</v>
      </c>
      <c r="I114" s="62"/>
      <c r="J114" s="150" t="s">
        <v>101</v>
      </c>
      <c r="K114" s="66"/>
      <c r="L114" s="120"/>
      <c r="M114" s="23" t="b">
        <f>AND((B113&gt;D113),(B113&lt;=D114))</f>
        <v>0</v>
      </c>
      <c r="N114" s="24">
        <f t="shared" si="49"/>
        <v>0</v>
      </c>
      <c r="O114" s="23">
        <f>IF(M114=TRUE,P114,0)</f>
        <v>0</v>
      </c>
      <c r="P114" s="27">
        <f t="shared" ref="P114:P122" si="52">$B$113*E114-F114-W114</f>
        <v>-336.37</v>
      </c>
      <c r="Q114" s="25">
        <f t="shared" si="51"/>
        <v>0</v>
      </c>
      <c r="S114" s="92">
        <f>IF(Q114&gt;0,1,)</f>
        <v>0</v>
      </c>
      <c r="T114" s="81">
        <f>IF(S114=0,0,IF($J$113&gt;=1,42.86*$J$113,))</f>
        <v>0</v>
      </c>
      <c r="U114" s="103">
        <f>IF(S114=0,0,IF($K$113&gt;=1,84.82*$K$113,))</f>
        <v>0</v>
      </c>
      <c r="V114" s="81">
        <f t="shared" ref="V114:V122" si="53">IF(S114=0,0,IF($J$119&gt;=1,135.71*$J$119,))</f>
        <v>0</v>
      </c>
      <c r="W114" s="2">
        <f t="shared" ref="W114:W121" si="54">SUM(T114:V114)</f>
        <v>0</v>
      </c>
    </row>
    <row r="115" spans="1:23" ht="15" customHeight="1" thickTop="1" x14ac:dyDescent="0.25">
      <c r="B115" s="41" t="s">
        <v>57</v>
      </c>
      <c r="C115" s="38" t="s">
        <v>7</v>
      </c>
      <c r="D115" s="4">
        <v>2454.64</v>
      </c>
      <c r="E115" s="5">
        <v>0.21</v>
      </c>
      <c r="F115" s="4">
        <v>380.77</v>
      </c>
      <c r="G115" s="55"/>
      <c r="H115" s="68">
        <v>5.5E-2</v>
      </c>
      <c r="I115" s="62"/>
      <c r="J115" s="151"/>
      <c r="K115" s="66"/>
      <c r="L115" s="120"/>
      <c r="M115" s="23" t="b">
        <f>AND((B113&gt;D114),(B113&lt;=D115))</f>
        <v>0</v>
      </c>
      <c r="N115" s="24">
        <f t="shared" si="49"/>
        <v>0</v>
      </c>
      <c r="O115" s="23">
        <f>IF(M115=TRUE,P115,0)</f>
        <v>0</v>
      </c>
      <c r="P115" s="27">
        <f t="shared" si="52"/>
        <v>-380.77</v>
      </c>
      <c r="Q115" s="25">
        <f t="shared" si="51"/>
        <v>0</v>
      </c>
      <c r="S115" s="92">
        <f t="shared" ref="S115" si="55">IF(Q115&gt;0,1,)</f>
        <v>0</v>
      </c>
      <c r="T115" s="81">
        <f t="shared" ref="T115:T122" si="56">IF(S115=0,0,IF($J$113&gt;=1,42.86*$J$113,))</f>
        <v>0</v>
      </c>
      <c r="U115" s="103">
        <f t="shared" ref="U115:U122" si="57">IF(S115=0,0,IF($K$113&gt;=1,84.82*$K$113,))</f>
        <v>0</v>
      </c>
      <c r="V115" s="81">
        <f t="shared" si="53"/>
        <v>0</v>
      </c>
      <c r="W115" s="2">
        <f t="shared" si="54"/>
        <v>0</v>
      </c>
    </row>
    <row r="116" spans="1:23" ht="15" customHeight="1" thickBot="1" x14ac:dyDescent="0.3">
      <c r="B116" s="42">
        <f>IF(ROUNDDOWN(SUM(O113:O122),0)&lt;0,0,ROUNDDOWN(SUM(O113:O122),0))</f>
        <v>0</v>
      </c>
      <c r="C116" s="38" t="s">
        <v>7</v>
      </c>
      <c r="D116" s="4">
        <v>2639.93</v>
      </c>
      <c r="E116" s="5">
        <v>0.24679999999999999</v>
      </c>
      <c r="F116" s="4">
        <v>471.19</v>
      </c>
      <c r="G116" s="55"/>
      <c r="H116" s="68">
        <v>6.8000000000000005E-2</v>
      </c>
      <c r="I116" s="62"/>
      <c r="J116" s="151"/>
      <c r="K116" s="66"/>
      <c r="L116" s="120"/>
      <c r="M116" s="23" t="b">
        <f>AND((B113&gt;D115),(B113&lt;=D116))</f>
        <v>0</v>
      </c>
      <c r="N116" s="24">
        <f t="shared" si="49"/>
        <v>0</v>
      </c>
      <c r="O116" s="23">
        <f>IF(M116=TRUE,P116,0)</f>
        <v>0</v>
      </c>
      <c r="P116" s="27">
        <f t="shared" si="52"/>
        <v>-471.19</v>
      </c>
      <c r="Q116" s="25">
        <f t="shared" si="51"/>
        <v>0</v>
      </c>
      <c r="S116" s="92">
        <f>IF(Q116&gt;0,1,)</f>
        <v>0</v>
      </c>
      <c r="T116" s="81">
        <f t="shared" si="56"/>
        <v>0</v>
      </c>
      <c r="U116" s="103">
        <f t="shared" si="57"/>
        <v>0</v>
      </c>
      <c r="V116" s="81">
        <f t="shared" si="53"/>
        <v>0</v>
      </c>
      <c r="W116" s="2">
        <f t="shared" si="54"/>
        <v>0</v>
      </c>
    </row>
    <row r="117" spans="1:23" ht="15" customHeight="1" thickTop="1" thickBot="1" x14ac:dyDescent="0.3">
      <c r="B117" s="40"/>
      <c r="C117" s="38" t="s">
        <v>7</v>
      </c>
      <c r="D117" s="4">
        <v>2816.86</v>
      </c>
      <c r="E117" s="5">
        <v>0.27579999999999999</v>
      </c>
      <c r="F117" s="4">
        <v>547.72</v>
      </c>
      <c r="G117" s="55"/>
      <c r="H117" s="68">
        <v>8.1000000000000003E-2</v>
      </c>
      <c r="I117" s="62"/>
      <c r="J117" s="151"/>
      <c r="K117" s="66"/>
      <c r="L117" s="120"/>
      <c r="M117" s="23" t="b">
        <f>AND((B113&gt;D116),(B113&lt;=D117))</f>
        <v>0</v>
      </c>
      <c r="N117" s="24">
        <f t="shared" si="49"/>
        <v>0</v>
      </c>
      <c r="O117" s="23">
        <f>IF(M117=TRUE,P117,0)</f>
        <v>0</v>
      </c>
      <c r="P117" s="27">
        <f t="shared" si="52"/>
        <v>-547.72</v>
      </c>
      <c r="Q117" s="25">
        <f t="shared" si="51"/>
        <v>0</v>
      </c>
      <c r="S117" s="92">
        <f t="shared" ref="S117:S119" si="58">IF(Q117&gt;0,1,)</f>
        <v>0</v>
      </c>
      <c r="T117" s="81">
        <f t="shared" si="56"/>
        <v>0</v>
      </c>
      <c r="U117" s="103">
        <f t="shared" si="57"/>
        <v>0</v>
      </c>
      <c r="V117" s="81">
        <f t="shared" si="53"/>
        <v>0</v>
      </c>
      <c r="W117" s="2">
        <f t="shared" si="54"/>
        <v>0</v>
      </c>
    </row>
    <row r="118" spans="1:23" ht="15" customHeight="1" thickTop="1" thickBot="1" x14ac:dyDescent="0.3">
      <c r="B118" s="41" t="s">
        <v>60</v>
      </c>
      <c r="C118" s="38" t="s">
        <v>7</v>
      </c>
      <c r="D118" s="4">
        <v>4077.64</v>
      </c>
      <c r="E118" s="5">
        <v>0.33479999999999999</v>
      </c>
      <c r="F118" s="4">
        <v>713.86</v>
      </c>
      <c r="G118" s="55"/>
      <c r="H118" s="68">
        <v>0.16</v>
      </c>
      <c r="I118" s="62"/>
      <c r="J118" s="151"/>
      <c r="K118" s="66"/>
      <c r="L118" s="120"/>
      <c r="M118" s="23" t="b">
        <f>AND((B113&gt;D117),(B113&lt;=D118))</f>
        <v>0</v>
      </c>
      <c r="N118" s="24">
        <f t="shared" si="49"/>
        <v>0</v>
      </c>
      <c r="O118" s="23">
        <f t="shared" ref="O118:O122" si="59">IF(M118=TRUE,P118,0)</f>
        <v>0</v>
      </c>
      <c r="P118" s="27">
        <f t="shared" si="52"/>
        <v>-713.86</v>
      </c>
      <c r="Q118" s="25">
        <f t="shared" si="51"/>
        <v>0</v>
      </c>
      <c r="S118" s="92">
        <f t="shared" si="58"/>
        <v>0</v>
      </c>
      <c r="T118" s="81">
        <f t="shared" si="56"/>
        <v>0</v>
      </c>
      <c r="U118" s="103">
        <f t="shared" si="57"/>
        <v>0</v>
      </c>
      <c r="V118" s="81">
        <f t="shared" si="53"/>
        <v>0</v>
      </c>
      <c r="W118" s="2">
        <f t="shared" si="54"/>
        <v>0</v>
      </c>
    </row>
    <row r="119" spans="1:23" ht="15" customHeight="1" thickTop="1" thickBot="1" x14ac:dyDescent="0.3">
      <c r="B119" s="42">
        <f>B113-B116</f>
        <v>0</v>
      </c>
      <c r="C119" s="38" t="s">
        <v>7</v>
      </c>
      <c r="D119" s="4">
        <v>6102.79</v>
      </c>
      <c r="E119" s="5">
        <v>0.372</v>
      </c>
      <c r="F119" s="4">
        <v>865.64</v>
      </c>
      <c r="G119" s="55"/>
      <c r="H119" s="68">
        <v>0.23</v>
      </c>
      <c r="I119" s="62"/>
      <c r="J119" s="112">
        <v>0</v>
      </c>
      <c r="K119" s="66"/>
      <c r="L119" s="120"/>
      <c r="M119" s="23" t="b">
        <f>AND((B113&gt;D118),(B113&lt;=D119))</f>
        <v>0</v>
      </c>
      <c r="N119" s="24">
        <f t="shared" si="49"/>
        <v>0</v>
      </c>
      <c r="O119" s="23">
        <f t="shared" si="59"/>
        <v>0</v>
      </c>
      <c r="P119" s="27">
        <f t="shared" si="52"/>
        <v>-865.64</v>
      </c>
      <c r="Q119" s="25">
        <f t="shared" si="51"/>
        <v>0</v>
      </c>
      <c r="S119" s="92">
        <f t="shared" si="58"/>
        <v>0</v>
      </c>
      <c r="T119" s="81">
        <f t="shared" si="56"/>
        <v>0</v>
      </c>
      <c r="U119" s="103">
        <f t="shared" si="57"/>
        <v>0</v>
      </c>
      <c r="V119" s="81">
        <f t="shared" si="53"/>
        <v>0</v>
      </c>
      <c r="W119" s="2">
        <f t="shared" si="54"/>
        <v>0</v>
      </c>
    </row>
    <row r="120" spans="1:23" ht="15" customHeight="1" thickTop="1" thickBot="1" x14ac:dyDescent="0.3">
      <c r="B120" s="40"/>
      <c r="C120" s="38" t="s">
        <v>7</v>
      </c>
      <c r="D120" s="4">
        <v>6186</v>
      </c>
      <c r="E120" s="5">
        <v>0.435</v>
      </c>
      <c r="F120" s="4">
        <v>1249.93</v>
      </c>
      <c r="G120" s="55"/>
      <c r="H120" s="68">
        <v>0.23300000000000001</v>
      </c>
      <c r="I120" s="62"/>
      <c r="K120" s="66"/>
      <c r="L120" s="120"/>
      <c r="M120" s="23" t="b">
        <f>AND((B113&gt;D119),(B113&lt;=D120))</f>
        <v>0</v>
      </c>
      <c r="N120" s="24">
        <f t="shared" si="49"/>
        <v>0</v>
      </c>
      <c r="O120" s="23">
        <f t="shared" si="59"/>
        <v>0</v>
      </c>
      <c r="P120" s="27">
        <f t="shared" si="52"/>
        <v>-1249.93</v>
      </c>
      <c r="Q120" s="25">
        <f t="shared" si="51"/>
        <v>0</v>
      </c>
      <c r="S120" s="92">
        <f>IF(Q120&gt;0,1,)</f>
        <v>0</v>
      </c>
      <c r="T120" s="81">
        <f t="shared" si="56"/>
        <v>0</v>
      </c>
      <c r="U120" s="103">
        <f t="shared" si="57"/>
        <v>0</v>
      </c>
      <c r="V120" s="81">
        <f t="shared" si="53"/>
        <v>0</v>
      </c>
      <c r="W120" s="2">
        <f t="shared" si="54"/>
        <v>0</v>
      </c>
    </row>
    <row r="121" spans="1:23" ht="15" customHeight="1" thickTop="1" x14ac:dyDescent="0.25">
      <c r="B121" s="41" t="s">
        <v>61</v>
      </c>
      <c r="C121" s="38" t="s">
        <v>7</v>
      </c>
      <c r="D121" s="4">
        <v>18328.86</v>
      </c>
      <c r="E121" s="5">
        <v>0.47770000000000001</v>
      </c>
      <c r="F121" s="4">
        <v>1513.94</v>
      </c>
      <c r="G121" s="55"/>
      <c r="H121" s="68">
        <v>0.39500000000000002</v>
      </c>
      <c r="I121" s="62"/>
      <c r="K121" s="66"/>
      <c r="L121" s="120"/>
      <c r="M121" s="23" t="b">
        <f>AND((B113&gt;D120),(B113&lt;=D121))</f>
        <v>0</v>
      </c>
      <c r="N121" s="24">
        <f t="shared" si="49"/>
        <v>0</v>
      </c>
      <c r="O121" s="23">
        <f t="shared" si="59"/>
        <v>0</v>
      </c>
      <c r="P121" s="27">
        <f t="shared" si="52"/>
        <v>-1513.94</v>
      </c>
      <c r="Q121" s="25">
        <f t="shared" si="51"/>
        <v>0</v>
      </c>
      <c r="S121" s="92">
        <f t="shared" ref="S121" si="60">IF(Q121&gt;0,1,)</f>
        <v>0</v>
      </c>
      <c r="T121" s="81">
        <f t="shared" si="56"/>
        <v>0</v>
      </c>
      <c r="U121" s="103">
        <f t="shared" si="57"/>
        <v>0</v>
      </c>
      <c r="V121" s="81">
        <f t="shared" si="53"/>
        <v>0</v>
      </c>
      <c r="W121" s="2">
        <f t="shared" si="54"/>
        <v>0</v>
      </c>
    </row>
    <row r="122" spans="1:23" ht="15" customHeight="1" thickBot="1" x14ac:dyDescent="0.3">
      <c r="B122" s="45">
        <f>IFERROR(B116/B113,0)</f>
        <v>0</v>
      </c>
      <c r="C122" s="38" t="s">
        <v>8</v>
      </c>
      <c r="D122" s="4">
        <v>18328.86</v>
      </c>
      <c r="E122" s="5">
        <v>0.53</v>
      </c>
      <c r="F122" s="4">
        <v>2472.9299999999998</v>
      </c>
      <c r="G122" s="55"/>
      <c r="H122" s="68" t="s">
        <v>9</v>
      </c>
      <c r="I122" s="62"/>
      <c r="J122" s="66"/>
      <c r="K122" s="66"/>
      <c r="L122" s="120"/>
      <c r="M122" s="23" t="b">
        <f>AND(B113&gt;D121)</f>
        <v>0</v>
      </c>
      <c r="N122" s="24">
        <f t="shared" si="49"/>
        <v>0</v>
      </c>
      <c r="O122" s="23">
        <f t="shared" si="59"/>
        <v>0</v>
      </c>
      <c r="P122" s="27">
        <f t="shared" si="52"/>
        <v>-2472.9299999999998</v>
      </c>
      <c r="Q122" s="25"/>
      <c r="S122" s="92">
        <f>IF(B124="n.a.",1,)</f>
        <v>0</v>
      </c>
      <c r="T122" s="81">
        <f t="shared" si="56"/>
        <v>0</v>
      </c>
      <c r="U122" s="103">
        <f t="shared" si="57"/>
        <v>0</v>
      </c>
      <c r="V122" s="81">
        <f t="shared" si="53"/>
        <v>0</v>
      </c>
      <c r="W122" s="2">
        <f>SUM(T122:V122)</f>
        <v>0</v>
      </c>
    </row>
    <row r="123" spans="1:23" ht="15" customHeight="1" thickTop="1" x14ac:dyDescent="0.3">
      <c r="A123" s="147" t="s">
        <v>62</v>
      </c>
      <c r="B123" s="148"/>
      <c r="C123" s="161">
        <f ca="1">B116*F123</f>
        <v>0</v>
      </c>
      <c r="D123" s="162"/>
      <c r="E123" s="78">
        <f ca="1">MONTH(TODAY())</f>
        <v>4</v>
      </c>
      <c r="F123" s="77">
        <f ca="1">IF(E123=7,2,IF(E123=8,3,IF(E123=9,4,IF(E123=10,5,IF(E123=11,7,IF(E123=12,8,))))))</f>
        <v>0</v>
      </c>
    </row>
    <row r="124" spans="1:23" ht="15" customHeight="1" x14ac:dyDescent="0.25">
      <c r="B124" s="73">
        <f>IF(M122=TRUE,"n.a.",SUM(Q113:Q121))</f>
        <v>0</v>
      </c>
      <c r="C124" s="2"/>
      <c r="D124" s="2"/>
      <c r="E124" s="2"/>
      <c r="F124" s="160"/>
      <c r="H124" s="2"/>
    </row>
    <row r="125" spans="1:23" ht="15" customHeight="1" x14ac:dyDescent="0.25">
      <c r="C125" s="2"/>
      <c r="D125" s="2"/>
      <c r="E125" s="2"/>
      <c r="F125" s="160"/>
      <c r="H125" s="2"/>
    </row>
    <row r="126" spans="1:23" ht="15" hidden="1" customHeight="1" x14ac:dyDescent="0.25">
      <c r="C126" s="2"/>
      <c r="D126" s="2"/>
      <c r="E126" s="2"/>
      <c r="F126" s="47"/>
      <c r="G126" s="44"/>
      <c r="H126" s="2"/>
    </row>
    <row r="127" spans="1:23" ht="15" customHeight="1" x14ac:dyDescent="0.25"/>
  </sheetData>
  <sheetProtection algorithmName="SHA-512" hashValue="xTp+LuZ8LsAbfuOz+HPwFT1po3kSw6JbGn59qPq9VB0SfyP6y6aNcx+Jmbs8guJg7bhVoHXDUmmQjwgxb8Sm2g==" saltValue="IlBRGNaYrQKyIHn7HzqEAQ==" spinCount="100000" sheet="1" objects="1" scenarios="1"/>
  <mergeCells count="29">
    <mergeCell ref="J114:J118"/>
    <mergeCell ref="K12:K15"/>
    <mergeCell ref="J56:J59"/>
    <mergeCell ref="K56:K59"/>
    <mergeCell ref="J95:J98"/>
    <mergeCell ref="K95:K98"/>
    <mergeCell ref="J12:J15"/>
    <mergeCell ref="J34:J38"/>
    <mergeCell ref="J76:J80"/>
    <mergeCell ref="F124:F125"/>
    <mergeCell ref="C123:D123"/>
    <mergeCell ref="C1:H1"/>
    <mergeCell ref="C112:D112"/>
    <mergeCell ref="C10:D10"/>
    <mergeCell ref="C32:D32"/>
    <mergeCell ref="C54:D54"/>
    <mergeCell ref="C74:D74"/>
    <mergeCell ref="C93:D93"/>
    <mergeCell ref="C24:D24"/>
    <mergeCell ref="C46:D46"/>
    <mergeCell ref="C66:D66"/>
    <mergeCell ref="C85:D85"/>
    <mergeCell ref="C104:D104"/>
    <mergeCell ref="A123:B123"/>
    <mergeCell ref="A24:B24"/>
    <mergeCell ref="A46:B46"/>
    <mergeCell ref="A66:B66"/>
    <mergeCell ref="A85:B85"/>
    <mergeCell ref="A104:B104"/>
  </mergeCells>
  <conditionalFormatting sqref="H11:H23">
    <cfRule type="cellIs" dxfId="18" priority="116" operator="equal">
      <formula>$B$21</formula>
    </cfRule>
  </conditionalFormatting>
  <conditionalFormatting sqref="H33:H45">
    <cfRule type="cellIs" dxfId="17" priority="117" operator="equal">
      <formula>$B$43</formula>
    </cfRule>
  </conditionalFormatting>
  <conditionalFormatting sqref="H55:H65">
    <cfRule type="cellIs" dxfId="16" priority="118" operator="equal">
      <formula>$B$65</formula>
    </cfRule>
  </conditionalFormatting>
  <conditionalFormatting sqref="H75:H84">
    <cfRule type="cellIs" dxfId="15" priority="119" operator="equal">
      <formula>$B$86</formula>
    </cfRule>
  </conditionalFormatting>
  <conditionalFormatting sqref="H94:H103">
    <cfRule type="cellIs" dxfId="14" priority="120" operator="equal">
      <formula>$B$105</formula>
    </cfRule>
  </conditionalFormatting>
  <conditionalFormatting sqref="H113:H122">
    <cfRule type="cellIs" dxfId="13" priority="121" operator="equal">
      <formula>$B$124</formula>
    </cfRule>
  </conditionalFormatting>
  <conditionalFormatting sqref="N11:N23">
    <cfRule type="cellIs" dxfId="8" priority="59" operator="greaterThan">
      <formula>1</formula>
    </cfRule>
  </conditionalFormatting>
  <conditionalFormatting sqref="N33:O45">
    <cfRule type="cellIs" dxfId="7" priority="56" operator="greaterThan">
      <formula>0</formula>
    </cfRule>
  </conditionalFormatting>
  <conditionalFormatting sqref="N94:O103">
    <cfRule type="cellIs" dxfId="6" priority="43" operator="greaterThan">
      <formula>0</formula>
    </cfRule>
  </conditionalFormatting>
  <conditionalFormatting sqref="N113:O122">
    <cfRule type="cellIs" dxfId="5" priority="39" operator="greaterThan">
      <formula>0</formula>
    </cfRule>
  </conditionalFormatting>
  <conditionalFormatting sqref="O11:O23">
    <cfRule type="cellIs" dxfId="4" priority="64" operator="greaterThan">
      <formula>0</formula>
    </cfRule>
  </conditionalFormatting>
  <conditionalFormatting sqref="Q94:Q103">
    <cfRule type="cellIs" dxfId="3" priority="46" operator="greaterThan">
      <formula>0</formula>
    </cfRule>
  </conditionalFormatting>
  <conditionalFormatting sqref="Q113:Q122">
    <cfRule type="cellIs" dxfId="2" priority="42" operator="greaterThan">
      <formula>0</formula>
    </cfRule>
  </conditionalFormatting>
  <conditionalFormatting sqref="R11:R23 Q55:Q65 N55:O70 R66:W69 R70 N75:O88 Q75:Q88">
    <cfRule type="cellIs" dxfId="1" priority="65" operator="greaterThan">
      <formula>0</formula>
    </cfRule>
  </conditionalFormatting>
  <conditionalFormatting sqref="R33:R45">
    <cfRule type="cellIs" dxfId="0" priority="55" operator="greaterThan">
      <formula>0</formula>
    </cfRule>
  </conditionalFormatting>
  <hyperlinks>
    <hyperlink ref="C1" r:id="rId1" tooltip="Tabelas - 2023 - Semestre 2" xr:uid="{C8BAD582-199A-473B-B1DF-B6353DAFAF40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" operator="containsText" id="{6B26BC4D-A978-4EB0-96F3-A7AD820C91C1}">
            <xm:f>NOT(ISERROR(SEARCH("VERDADEIRO",M11)))</xm:f>
            <xm:f>"VERDADEIRO"</xm:f>
            <x14:dxf>
              <font>
                <b/>
                <i val="0"/>
                <color rgb="FFFF0000"/>
              </font>
            </x14:dxf>
          </x14:cfRule>
          <xm:sqref>M11:M23 M55:M70 M75:M88</xm:sqref>
        </x14:conditionalFormatting>
        <x14:conditionalFormatting xmlns:xm="http://schemas.microsoft.com/office/excel/2006/main">
          <x14:cfRule type="containsText" priority="58" operator="containsText" id="{B722189D-4DCA-4A6E-BB85-DCFBEF8ECEBC}">
            <xm:f>NOT(ISERROR(SEARCH("VERDADEIRO",M33)))</xm:f>
            <xm:f>"VERDADEIRO"</xm:f>
            <x14:dxf>
              <font>
                <b/>
                <i val="0"/>
                <color rgb="FFFF0000"/>
              </font>
            </x14:dxf>
          </x14:cfRule>
          <xm:sqref>M33:M45</xm:sqref>
        </x14:conditionalFormatting>
        <x14:conditionalFormatting xmlns:xm="http://schemas.microsoft.com/office/excel/2006/main">
          <x14:cfRule type="containsText" priority="45" operator="containsText" id="{C423B59A-5EA1-4E6F-BDBA-6C9C3743240C}">
            <xm:f>NOT(ISERROR(SEARCH("VERDADEIRO",M94)))</xm:f>
            <xm:f>"VERDADEIRO"</xm:f>
            <x14:dxf>
              <font>
                <b/>
                <i val="0"/>
                <color rgb="FFFF0000"/>
              </font>
            </x14:dxf>
          </x14:cfRule>
          <xm:sqref>M94:M103</xm:sqref>
        </x14:conditionalFormatting>
        <x14:conditionalFormatting xmlns:xm="http://schemas.microsoft.com/office/excel/2006/main">
          <x14:cfRule type="containsText" priority="41" operator="containsText" id="{69EE6B01-7AE9-441D-9FF9-5981A9E6B26F}">
            <xm:f>NOT(ISERROR(SEARCH("VERDADEIRO",M113)))</xm:f>
            <xm:f>"VERDADEIRO"</xm:f>
            <x14:dxf>
              <font>
                <b/>
                <i val="0"/>
                <color rgb="FFFF0000"/>
              </font>
            </x14:dxf>
          </x14:cfRule>
          <xm:sqref>M113:M122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Trabalho Dep. Continente</vt:lpstr>
      <vt:lpstr>Pensões Continente</vt:lpstr>
      <vt:lpstr>'Trabalho Dep. Continente'!Área_de_Impressão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cp:lastPrinted>2022-12-07T22:14:43Z</cp:lastPrinted>
  <dcterms:created xsi:type="dcterms:W3CDTF">2022-12-07T21:28:53Z</dcterms:created>
  <dcterms:modified xsi:type="dcterms:W3CDTF">2023-04-27T12:38:04Z</dcterms:modified>
</cp:coreProperties>
</file>