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95" windowHeight="9690" activeTab="1"/>
  </bookViews>
  <sheets>
    <sheet name="Emp.Banc" sheetId="1" r:id="rId1"/>
    <sheet name="Emp.Obr" sheetId="2" r:id="rId2"/>
    <sheet name="Folha3" sheetId="3" r:id="rId3"/>
  </sheets>
  <calcPr calcId="114210"/>
</workbook>
</file>

<file path=xl/calcChain.xml><?xml version="1.0" encoding="utf-8"?>
<calcChain xmlns="http://schemas.openxmlformats.org/spreadsheetml/2006/main">
  <c r="D89" i="2"/>
  <c r="C89"/>
  <c r="D83"/>
  <c r="C82"/>
  <c r="C83"/>
  <c r="C72"/>
  <c r="C70"/>
  <c r="C68"/>
  <c r="C67"/>
  <c r="R77"/>
  <c r="H77"/>
  <c r="P77"/>
  <c r="N77"/>
  <c r="L77"/>
  <c r="J77"/>
  <c r="P68"/>
  <c r="N68"/>
  <c r="L68"/>
  <c r="J68"/>
  <c r="H68"/>
  <c r="P62"/>
  <c r="N62"/>
  <c r="L62"/>
  <c r="J62"/>
  <c r="H62"/>
  <c r="C59"/>
  <c r="C53"/>
  <c r="G49"/>
  <c r="G51"/>
  <c r="F49"/>
  <c r="F51"/>
  <c r="E49"/>
  <c r="E51"/>
  <c r="D49"/>
  <c r="D51"/>
  <c r="D41"/>
  <c r="D45"/>
  <c r="F39"/>
  <c r="D39"/>
  <c r="C37"/>
  <c r="C55"/>
  <c r="C32"/>
  <c r="E32"/>
  <c r="G47"/>
  <c r="C28"/>
  <c r="E28"/>
  <c r="G43"/>
  <c r="C22"/>
  <c r="C7"/>
  <c r="C25"/>
  <c r="R91" i="1"/>
  <c r="R82"/>
  <c r="D74"/>
  <c r="R68" i="2"/>
  <c r="D37"/>
  <c r="D43"/>
  <c r="F43"/>
  <c r="D47"/>
  <c r="D55"/>
  <c r="F47"/>
  <c r="E39"/>
  <c r="G39"/>
  <c r="E43"/>
  <c r="E47"/>
  <c r="C38" i="1"/>
  <c r="D30"/>
  <c r="F21"/>
  <c r="F20"/>
  <c r="H20"/>
  <c r="D24"/>
  <c r="F23"/>
  <c r="D32"/>
  <c r="E41" i="2"/>
  <c r="E45"/>
  <c r="E37"/>
  <c r="F32" i="1"/>
  <c r="G32"/>
  <c r="E32"/>
  <c r="D34"/>
  <c r="C40"/>
  <c r="F37" i="2"/>
  <c r="F41"/>
  <c r="E55"/>
  <c r="D44" i="1"/>
  <c r="D42"/>
  <c r="D50"/>
  <c r="C42"/>
  <c r="C52"/>
  <c r="H76"/>
  <c r="F46"/>
  <c r="D46"/>
  <c r="G46"/>
  <c r="E46"/>
  <c r="D36"/>
  <c r="G37" i="2"/>
  <c r="G41"/>
  <c r="F45"/>
  <c r="F55"/>
  <c r="D38" i="1"/>
  <c r="E30"/>
  <c r="F48"/>
  <c r="D48"/>
  <c r="D52"/>
  <c r="J76"/>
  <c r="G48"/>
  <c r="E48"/>
  <c r="G45" i="2"/>
  <c r="G55"/>
  <c r="E34" i="1"/>
  <c r="E44"/>
  <c r="E42"/>
  <c r="E50"/>
  <c r="E36"/>
  <c r="E38"/>
  <c r="F30"/>
  <c r="F34"/>
  <c r="F36"/>
  <c r="F38"/>
  <c r="G30"/>
  <c r="G34"/>
  <c r="F42"/>
  <c r="F50"/>
  <c r="F44"/>
  <c r="E52"/>
  <c r="L76"/>
  <c r="F52"/>
  <c r="N76"/>
  <c r="G44"/>
  <c r="G36"/>
  <c r="G38"/>
  <c r="G42"/>
  <c r="G50"/>
  <c r="G52"/>
  <c r="P76"/>
</calcChain>
</file>

<file path=xl/comments1.xml><?xml version="1.0" encoding="utf-8"?>
<comments xmlns="http://schemas.openxmlformats.org/spreadsheetml/2006/main">
  <authors>
    <author>Tiago</author>
  </authors>
  <commentList>
    <comment ref="B49" authorId="0">
      <text>
        <r>
          <rPr>
            <b/>
            <sz val="9"/>
            <color indexed="81"/>
            <rFont val="Tahoma"/>
            <family val="2"/>
          </rPr>
          <t>Tiago:</t>
        </r>
        <r>
          <rPr>
            <sz val="9"/>
            <color indexed="81"/>
            <rFont val="Tahoma"/>
            <family val="2"/>
          </rPr>
          <t xml:space="preserve">
Paga-se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Tiago:</t>
        </r>
        <r>
          <rPr>
            <sz val="9"/>
            <color indexed="81"/>
            <rFont val="Tahoma"/>
            <family val="2"/>
          </rPr>
          <t xml:space="preserve">
o k a empresa paga ao banco</t>
        </r>
      </text>
    </comment>
  </commentList>
</comments>
</file>

<file path=xl/sharedStrings.xml><?xml version="1.0" encoding="utf-8"?>
<sst xmlns="http://schemas.openxmlformats.org/spreadsheetml/2006/main" count="188" uniqueCount="139">
  <si>
    <t>Anos                      Rubricas</t>
  </si>
  <si>
    <t>Exercício - Empréstimo Bancário</t>
  </si>
  <si>
    <t>Montante</t>
  </si>
  <si>
    <t>Prazo</t>
  </si>
  <si>
    <t>Juro</t>
  </si>
  <si>
    <t xml:space="preserve">Imposto de Selo </t>
  </si>
  <si>
    <t xml:space="preserve">Comissões antecipadas </t>
  </si>
  <si>
    <t>Taxa de Imposto (IRC)</t>
  </si>
  <si>
    <t xml:space="preserve">Prestações constantes, anuais e normais </t>
  </si>
  <si>
    <t>anos</t>
  </si>
  <si>
    <t>ao ano (tx fixa)</t>
  </si>
  <si>
    <t>A</t>
  </si>
  <si>
    <t xml:space="preserve">Actualizar os A's   </t>
  </si>
  <si>
    <r>
      <t>a</t>
    </r>
    <r>
      <rPr>
        <sz val="11"/>
        <color indexed="8"/>
        <rFont val="Calibri"/>
        <family val="2"/>
      </rPr>
      <t>₄     8%  =</t>
    </r>
  </si>
  <si>
    <t xml:space="preserve">              </t>
  </si>
  <si>
    <t>i</t>
  </si>
  <si>
    <r>
      <t xml:space="preserve">1 -(1 + i) </t>
    </r>
    <r>
      <rPr>
        <sz val="11"/>
        <color indexed="8"/>
        <rFont val="Calibri"/>
        <family val="2"/>
      </rPr>
      <t>ˉ</t>
    </r>
    <r>
      <rPr>
        <sz val="14"/>
        <color indexed="8"/>
        <rFont val="Calibri"/>
        <family val="2"/>
      </rPr>
      <t>n</t>
    </r>
  </si>
  <si>
    <r>
      <t>a</t>
    </r>
    <r>
      <rPr>
        <sz val="7"/>
        <color indexed="8"/>
        <rFont val="Calibri"/>
        <family val="2"/>
      </rPr>
      <t>ni</t>
    </r>
    <r>
      <rPr>
        <sz val="5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             =</t>
    </r>
  </si>
  <si>
    <r>
      <t xml:space="preserve">1 -(1 +0,08) </t>
    </r>
    <r>
      <rPr>
        <sz val="11"/>
        <color indexed="8"/>
        <rFont val="Calibri"/>
        <family val="2"/>
      </rPr>
      <t>ˉ4</t>
    </r>
  </si>
  <si>
    <t xml:space="preserve"> =</t>
  </si>
  <si>
    <t xml:space="preserve">ie - Taxa de juro efectiva anual actualizada, para comparar com outras alternativas </t>
  </si>
  <si>
    <t xml:space="preserve">             A   = </t>
  </si>
  <si>
    <t xml:space="preserve">1 - Capital em Divida Inicial </t>
  </si>
  <si>
    <t xml:space="preserve">2 - Prestações </t>
  </si>
  <si>
    <t>3 - Juros 8%</t>
  </si>
  <si>
    <t xml:space="preserve">4 - Amortizações Financeiras </t>
  </si>
  <si>
    <t xml:space="preserve">5 -Capital em Divida Final </t>
  </si>
  <si>
    <t xml:space="preserve">6 - Comissões </t>
  </si>
  <si>
    <t xml:space="preserve">8 - Efeito Fiscal dos Juros </t>
  </si>
  <si>
    <t xml:space="preserve">9 -Efeito Fiscal das Comissões </t>
  </si>
  <si>
    <t>11 - Efeito Fiscal do Imposto de Selo do Juro</t>
  </si>
  <si>
    <t>12 - Out Flow (fluxos de Saída)</t>
  </si>
  <si>
    <t xml:space="preserve">Efeitos fiscais são entradas </t>
  </si>
  <si>
    <t>Efeito Fiscal do Imposto de Selo:</t>
  </si>
  <si>
    <t>140,00€ x 0,3 = 42,00€</t>
  </si>
  <si>
    <t>42,00€ : 4 (anos) = 10,50€</t>
  </si>
  <si>
    <t>Efeito Fiscal das Comissões:</t>
  </si>
  <si>
    <t>3.500€ x 0,3 = 1.050,00€</t>
  </si>
  <si>
    <t>1.050,00€ : 4 (anos) = 262,50€</t>
  </si>
  <si>
    <t xml:space="preserve">PRESTAÇÃO = AMORTIZAÇÃO + JUROS </t>
  </si>
  <si>
    <t>AMORTIZAÇÃO = PRESTAÇÃO - JUROS</t>
  </si>
  <si>
    <t xml:space="preserve">CAPITAL EM DIVIDA FINAL = CAPITAL EM DIVIDA INICIAL - AMORTIZAÇÃO </t>
  </si>
  <si>
    <r>
      <t xml:space="preserve">7 -Imposto de Selo das </t>
    </r>
    <r>
      <rPr>
        <b/>
        <sz val="11"/>
        <rFont val="Calibri"/>
        <family val="2"/>
      </rPr>
      <t>Comissões</t>
    </r>
    <r>
      <rPr>
        <sz val="11"/>
        <rFont val="Calibri"/>
        <family val="2"/>
      </rPr>
      <t xml:space="preserve"> /Juro</t>
    </r>
  </si>
  <si>
    <t>10 - Efeito Fiscal do Imposto de Selo das Comis.</t>
  </si>
  <si>
    <t xml:space="preserve">O imposto de Selo faz  aumentar os custos, logo reduz o lucro, por isso a empresa paga menos Imposto (efeito fiscal no caso de ter lucro) </t>
  </si>
  <si>
    <t>Tir ???????????????</t>
  </si>
  <si>
    <t>+</t>
  </si>
  <si>
    <t>=</t>
  </si>
  <si>
    <t>ie = Tir</t>
  </si>
  <si>
    <t xml:space="preserve">Interpolação linear - tem k dar 1 negativo outro positivo </t>
  </si>
  <si>
    <t>ie= 7%</t>
  </si>
  <si>
    <t>ie= 9%</t>
  </si>
  <si>
    <t>(1 + 0,07)</t>
  </si>
  <si>
    <t>(1 + ie)</t>
  </si>
  <si>
    <t>(1 + ie)^2</t>
  </si>
  <si>
    <t>(1 + ie)^3</t>
  </si>
  <si>
    <t>(1 + ie)^4</t>
  </si>
  <si>
    <t>(1 + 0,07)^2</t>
  </si>
  <si>
    <t>(1 + 0,07)^3</t>
  </si>
  <si>
    <t>(1 + 0,07)^4</t>
  </si>
  <si>
    <t>(1 + 0,09)</t>
  </si>
  <si>
    <t>(1 + 0,09)^2</t>
  </si>
  <si>
    <t>(1 + 0,09)^3</t>
  </si>
  <si>
    <t>(1 + 0,09)^4</t>
  </si>
  <si>
    <t xml:space="preserve">100.000 obrigações de 5€ cada </t>
  </si>
  <si>
    <t>fixa</t>
  </si>
  <si>
    <t>Exercício - Empréstimo Obrigacionista</t>
  </si>
  <si>
    <t>Valor de Emissão</t>
  </si>
  <si>
    <t>Valor nominal</t>
  </si>
  <si>
    <t>Prémio de emissão</t>
  </si>
  <si>
    <t>taxa de juro</t>
  </si>
  <si>
    <t xml:space="preserve">Prazo </t>
  </si>
  <si>
    <t>Juros pagos anualmente</t>
  </si>
  <si>
    <t xml:space="preserve">Reembolsos de capital  </t>
  </si>
  <si>
    <t>no 1º ano</t>
  </si>
  <si>
    <t>no 2º ano</t>
  </si>
  <si>
    <t>no 3º ano</t>
  </si>
  <si>
    <t>no 4º ano</t>
  </si>
  <si>
    <t>Anos                                       Rubricas</t>
  </si>
  <si>
    <t xml:space="preserve">Prémio de Reembolso </t>
  </si>
  <si>
    <t>por cada obrigação</t>
  </si>
  <si>
    <t>Despesas de Emissão</t>
  </si>
  <si>
    <t xml:space="preserve">do valor nominal </t>
  </si>
  <si>
    <t>Compram por 6€ e recebem 5€ + 0,25€ = 5,25€</t>
  </si>
  <si>
    <t>DESPESAS DE EMISSÃO:</t>
  </si>
  <si>
    <t>500.000,00€ *1% =</t>
  </si>
  <si>
    <t>(só aquando da emissão)</t>
  </si>
  <si>
    <t>PRÉMIO DE EMISSÃO:</t>
  </si>
  <si>
    <t>(6-5) X 100.000 =</t>
  </si>
  <si>
    <t>(imputados a cada ano)</t>
  </si>
  <si>
    <t>EFEITO FISCAL DAS DESPESAS EMISSÃO:</t>
  </si>
  <si>
    <t xml:space="preserve">5.000,00€ x 0,3 = </t>
  </si>
  <si>
    <t>1.500,00:4 =</t>
  </si>
  <si>
    <t>sinal -</t>
  </si>
  <si>
    <t>(em termos anuais)</t>
  </si>
  <si>
    <t>sinal +</t>
  </si>
  <si>
    <t>EFEITO FISCAL DO PRÉMIO DE EMISSÃO:</t>
  </si>
  <si>
    <t xml:space="preserve">100.000,00€ x 0,3 = </t>
  </si>
  <si>
    <t>100.000,00:4 =</t>
  </si>
  <si>
    <t xml:space="preserve">SAÍDAS TEM SINAL POSITIVO </t>
  </si>
  <si>
    <t>1 - Capital em Divida Final</t>
  </si>
  <si>
    <t>2 - Amortização</t>
  </si>
  <si>
    <t>3 - Juros 5%</t>
  </si>
  <si>
    <t>4 - Efeito Fiscal Despesas de Emissão</t>
  </si>
  <si>
    <t xml:space="preserve">5 -Efeito Fiscal Juros </t>
  </si>
  <si>
    <t xml:space="preserve">6 - Efeito Fiscal Prémio de emissão </t>
  </si>
  <si>
    <t xml:space="preserve">7 -Prémio de Reembolso </t>
  </si>
  <si>
    <t xml:space="preserve">8 - Efeito Fiscal Prémio de Reembolso </t>
  </si>
  <si>
    <t xml:space="preserve">9 - Despesas de Emissão </t>
  </si>
  <si>
    <t>10 - Out Flow (fluxos de Saída)</t>
  </si>
  <si>
    <t>(só entra com sinal neg no ano 0)</t>
  </si>
  <si>
    <t>Saídas de dinheiro têm sinal positvo</t>
  </si>
  <si>
    <t>TIR</t>
  </si>
  <si>
    <t>ie= 5%</t>
  </si>
  <si>
    <t>ie= 8%</t>
  </si>
  <si>
    <t>(1 + 0,05)</t>
  </si>
  <si>
    <t>(1 + 0,05)^2</t>
  </si>
  <si>
    <t>(1 + 0,05)^3</t>
  </si>
  <si>
    <t>(1 + 0,05)^4</t>
  </si>
  <si>
    <t>vamos experimentar 5% e 8%</t>
  </si>
  <si>
    <t>(1 + 0,08)</t>
  </si>
  <si>
    <t>(1 + 0,08)^2</t>
  </si>
  <si>
    <t>(1 + 0,08)^3</t>
  </si>
  <si>
    <t>(1 + 0,08)^4</t>
  </si>
  <si>
    <t>ie =  5%</t>
  </si>
  <si>
    <t>ie =  8%</t>
  </si>
  <si>
    <t>(tem k dar 1 positivo e outro negativo)</t>
  </si>
  <si>
    <t xml:space="preserve">ie </t>
  </si>
  <si>
    <t>-14.779,78 - 25.131,67</t>
  </si>
  <si>
    <t>8% -5%</t>
  </si>
  <si>
    <t>ie -5%</t>
  </si>
  <si>
    <t>0 - 25.131,67</t>
  </si>
  <si>
    <t>-25.131,67  x 3%</t>
  </si>
  <si>
    <t>ie-5%</t>
  </si>
  <si>
    <t xml:space="preserve">ie - 0,05 = </t>
  </si>
  <si>
    <t xml:space="preserve">ie = </t>
  </si>
  <si>
    <t xml:space="preserve">                                   25.131,67 -(-14.779,78)</t>
  </si>
  <si>
    <r>
      <t>5% + ((8% - 5%) x</t>
    </r>
    <r>
      <rPr>
        <u/>
        <sz val="11"/>
        <color indexed="8"/>
        <rFont val="Calibri"/>
        <family val="2"/>
      </rPr>
      <t>25.131,67</t>
    </r>
  </si>
  <si>
    <t>ou com a Formúla simplificada interpolação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</si>
</sst>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\ &quot;€&quot;_-;\-* #,##0.000\ &quot;€&quot;_-;_-* &quot;-&quot;???\ &quot;€&quot;_-;_-@_-"/>
    <numFmt numFmtId="165" formatCode="0.0%"/>
    <numFmt numFmtId="166" formatCode="_-* #,##0.0000\ _€_-;\-* #,##0.0000\ _€_-;_-* &quot;-&quot;??\ _€_-;_-@_-"/>
    <numFmt numFmtId="167" formatCode="0.0000%"/>
  </numFmts>
  <fonts count="1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31"/>
      <name val="Calibri"/>
      <family val="2"/>
    </font>
    <font>
      <sz val="11"/>
      <color indexed="8"/>
      <name val="Calibri"/>
      <family val="2"/>
    </font>
    <font>
      <sz val="5"/>
      <color indexed="8"/>
      <name val="Calibri"/>
      <family val="2"/>
    </font>
    <font>
      <sz val="7"/>
      <color indexed="8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4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2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1" fillId="0" borderId="0" xfId="0" applyFont="1"/>
    <xf numFmtId="0" fontId="0" fillId="0" borderId="1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3" xfId="0" applyBorder="1"/>
    <xf numFmtId="44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4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8" fontId="0" fillId="0" borderId="0" xfId="0" applyNumberFormat="1" applyAlignment="1">
      <alignment horizontal="center" vertical="center" wrapText="1"/>
    </xf>
    <xf numFmtId="8" fontId="0" fillId="0" borderId="0" xfId="0" applyNumberFormat="1" applyAlignment="1">
      <alignment horizontal="right" vertical="center" wrapText="1"/>
    </xf>
    <xf numFmtId="0" fontId="0" fillId="0" borderId="0" xfId="0" applyFont="1" applyAlignment="1">
      <alignment horizontal="left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44" fontId="0" fillId="0" borderId="8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44" fontId="7" fillId="3" borderId="1" xfId="0" applyNumberFormat="1" applyFont="1" applyFill="1" applyBorder="1" applyAlignment="1">
      <alignment wrapText="1"/>
    </xf>
    <xf numFmtId="44" fontId="8" fillId="3" borderId="1" xfId="0" applyNumberFormat="1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164" fontId="7" fillId="0" borderId="0" xfId="0" applyNumberFormat="1" applyFont="1" applyFill="1" applyBorder="1" applyAlignment="1">
      <alignment wrapText="1"/>
    </xf>
    <xf numFmtId="164" fontId="7" fillId="0" borderId="0" xfId="0" applyNumberFormat="1" applyFont="1" applyFill="1" applyBorder="1"/>
    <xf numFmtId="43" fontId="2" fillId="2" borderId="1" xfId="0" applyNumberFormat="1" applyFont="1" applyFill="1" applyBorder="1" applyAlignment="1">
      <alignment wrapText="1"/>
    </xf>
    <xf numFmtId="43" fontId="2" fillId="2" borderId="1" xfId="0" applyNumberFormat="1" applyFont="1" applyFill="1" applyBorder="1"/>
    <xf numFmtId="44" fontId="7" fillId="3" borderId="1" xfId="0" applyNumberFormat="1" applyFont="1" applyFill="1" applyBorder="1"/>
    <xf numFmtId="44" fontId="7" fillId="2" borderId="1" xfId="0" applyNumberFormat="1" applyFont="1" applyFill="1" applyBorder="1" applyAlignment="1">
      <alignment wrapText="1"/>
    </xf>
    <xf numFmtId="44" fontId="7" fillId="2" borderId="1" xfId="0" applyNumberFormat="1" applyFont="1" applyFill="1" applyBorder="1"/>
    <xf numFmtId="44" fontId="8" fillId="3" borderId="1" xfId="0" applyNumberFormat="1" applyFont="1" applyFill="1" applyBorder="1"/>
    <xf numFmtId="9" fontId="0" fillId="0" borderId="0" xfId="0" applyNumberFormat="1"/>
    <xf numFmtId="43" fontId="9" fillId="3" borderId="1" xfId="0" applyNumberFormat="1" applyFont="1" applyFill="1" applyBorder="1" applyAlignment="1">
      <alignment wrapText="1"/>
    </xf>
    <xf numFmtId="43" fontId="9" fillId="3" borderId="1" xfId="0" applyNumberFormat="1" applyFont="1" applyFill="1" applyBorder="1"/>
    <xf numFmtId="43" fontId="0" fillId="0" borderId="0" xfId="0" applyNumberFormat="1"/>
    <xf numFmtId="43" fontId="0" fillId="0" borderId="8" xfId="0" applyNumberFormat="1" applyBorder="1" applyAlignment="1">
      <alignment horizontal="center"/>
    </xf>
    <xf numFmtId="14" fontId="0" fillId="0" borderId="0" xfId="0" applyNumberFormat="1"/>
    <xf numFmtId="6" fontId="0" fillId="0" borderId="1" xfId="0" applyNumberFormat="1" applyBorder="1"/>
    <xf numFmtId="0" fontId="0" fillId="0" borderId="1" xfId="0" applyNumberFormat="1" applyBorder="1"/>
    <xf numFmtId="8" fontId="0" fillId="0" borderId="0" xfId="0" applyNumberFormat="1" applyBorder="1" applyAlignment="1">
      <alignment horizontal="right" vertical="center" wrapText="1"/>
    </xf>
    <xf numFmtId="0" fontId="0" fillId="0" borderId="0" xfId="0" applyBorder="1" applyAlignment="1">
      <alignment horizontal="left"/>
    </xf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8" fontId="0" fillId="0" borderId="1" xfId="0" applyNumberFormat="1" applyBorder="1"/>
    <xf numFmtId="9" fontId="0" fillId="0" borderId="0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right" vertical="center" wrapText="1"/>
    </xf>
    <xf numFmtId="9" fontId="0" fillId="0" borderId="1" xfId="0" applyNumberFormat="1" applyBorder="1" applyAlignment="1">
      <alignment horizontal="center" vertical="center" wrapText="1"/>
    </xf>
    <xf numFmtId="44" fontId="0" fillId="0" borderId="0" xfId="0" applyNumberFormat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left"/>
    </xf>
    <xf numFmtId="0" fontId="10" fillId="3" borderId="1" xfId="0" applyFont="1" applyFill="1" applyBorder="1" applyAlignment="1">
      <alignment wrapText="1"/>
    </xf>
    <xf numFmtId="165" fontId="0" fillId="0" borderId="0" xfId="0" applyNumberFormat="1"/>
    <xf numFmtId="0" fontId="0" fillId="0" borderId="0" xfId="0" applyAlignment="1">
      <alignment horizontal="right"/>
    </xf>
    <xf numFmtId="0" fontId="0" fillId="4" borderId="0" xfId="0" applyFill="1"/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9" fontId="13" fillId="0" borderId="0" xfId="0" applyNumberFormat="1" applyFont="1" applyAlignment="1">
      <alignment horizontal="center"/>
    </xf>
    <xf numFmtId="166" fontId="0" fillId="0" borderId="0" xfId="0" applyNumberFormat="1"/>
    <xf numFmtId="167" fontId="0" fillId="4" borderId="0" xfId="0" applyNumberFormat="1" applyFill="1"/>
    <xf numFmtId="0" fontId="10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228601</xdr:colOff>
      <xdr:row>16</xdr:row>
      <xdr:rowOff>9527</xdr:rowOff>
    </xdr:from>
    <xdr:to>
      <xdr:col>2</xdr:col>
      <xdr:colOff>228603</xdr:colOff>
      <xdr:row>17</xdr:row>
      <xdr:rowOff>57153</xdr:rowOff>
    </xdr:to>
    <xdr:cxnSp macro="">
      <xdr:nvCxnSpPr>
        <xdr:cNvPr id="5" name="Conexão recta 4"/>
        <xdr:cNvCxnSpPr/>
      </xdr:nvCxnSpPr>
      <xdr:spPr>
        <a:xfrm rot="16200000" flipH="1">
          <a:off x="3233739" y="3290889"/>
          <a:ext cx="238126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16</xdr:row>
      <xdr:rowOff>19050</xdr:rowOff>
    </xdr:from>
    <xdr:to>
      <xdr:col>2</xdr:col>
      <xdr:colOff>228600</xdr:colOff>
      <xdr:row>16</xdr:row>
      <xdr:rowOff>28575</xdr:rowOff>
    </xdr:to>
    <xdr:cxnSp macro="">
      <xdr:nvCxnSpPr>
        <xdr:cNvPr id="12" name="Conexão recta 11"/>
        <xdr:cNvCxnSpPr/>
      </xdr:nvCxnSpPr>
      <xdr:spPr>
        <a:xfrm flipV="1">
          <a:off x="3152775" y="3181350"/>
          <a:ext cx="200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228601</xdr:colOff>
      <xdr:row>19</xdr:row>
      <xdr:rowOff>9527</xdr:rowOff>
    </xdr:from>
    <xdr:to>
      <xdr:col>2</xdr:col>
      <xdr:colOff>228603</xdr:colOff>
      <xdr:row>20</xdr:row>
      <xdr:rowOff>57153</xdr:rowOff>
    </xdr:to>
    <xdr:cxnSp macro="">
      <xdr:nvCxnSpPr>
        <xdr:cNvPr id="21" name="Conexão recta 20"/>
        <xdr:cNvCxnSpPr/>
      </xdr:nvCxnSpPr>
      <xdr:spPr>
        <a:xfrm rot="16200000" flipH="1">
          <a:off x="3233739" y="3290889"/>
          <a:ext cx="238126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19</xdr:row>
      <xdr:rowOff>19050</xdr:rowOff>
    </xdr:from>
    <xdr:to>
      <xdr:col>2</xdr:col>
      <xdr:colOff>228600</xdr:colOff>
      <xdr:row>19</xdr:row>
      <xdr:rowOff>28575</xdr:rowOff>
    </xdr:to>
    <xdr:cxnSp macro="">
      <xdr:nvCxnSpPr>
        <xdr:cNvPr id="22" name="Conexão recta 21"/>
        <xdr:cNvCxnSpPr/>
      </xdr:nvCxnSpPr>
      <xdr:spPr>
        <a:xfrm flipV="1">
          <a:off x="3152775" y="3181350"/>
          <a:ext cx="200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54</xdr:row>
      <xdr:rowOff>76200</xdr:rowOff>
    </xdr:from>
    <xdr:to>
      <xdr:col>0</xdr:col>
      <xdr:colOff>600075</xdr:colOff>
      <xdr:row>55</xdr:row>
      <xdr:rowOff>171450</xdr:rowOff>
    </xdr:to>
    <xdr:sp macro="" textlink="">
      <xdr:nvSpPr>
        <xdr:cNvPr id="16" name="Seta curvada à direita 15"/>
        <xdr:cNvSpPr/>
      </xdr:nvSpPr>
      <xdr:spPr>
        <a:xfrm>
          <a:off x="371475" y="10448925"/>
          <a:ext cx="228600" cy="285750"/>
        </a:xfrm>
        <a:prstGeom prst="curvedRightArrow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2286000</xdr:colOff>
      <xdr:row>74</xdr:row>
      <xdr:rowOff>152400</xdr:rowOff>
    </xdr:from>
    <xdr:to>
      <xdr:col>2</xdr:col>
      <xdr:colOff>238125</xdr:colOff>
      <xdr:row>74</xdr:row>
      <xdr:rowOff>152400</xdr:rowOff>
    </xdr:to>
    <xdr:cxnSp macro="">
      <xdr:nvCxnSpPr>
        <xdr:cNvPr id="18" name="Conexão recta 17"/>
        <xdr:cNvCxnSpPr/>
      </xdr:nvCxnSpPr>
      <xdr:spPr>
        <a:xfrm>
          <a:off x="2895600" y="14335125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75</xdr:row>
      <xdr:rowOff>152400</xdr:rowOff>
    </xdr:from>
    <xdr:to>
      <xdr:col>2</xdr:col>
      <xdr:colOff>219075</xdr:colOff>
      <xdr:row>75</xdr:row>
      <xdr:rowOff>152400</xdr:rowOff>
    </xdr:to>
    <xdr:cxnSp macro="">
      <xdr:nvCxnSpPr>
        <xdr:cNvPr id="19" name="Conexão recta 18"/>
        <xdr:cNvCxnSpPr/>
      </xdr:nvCxnSpPr>
      <xdr:spPr>
        <a:xfrm>
          <a:off x="2876550" y="14525625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92"/>
  <sheetViews>
    <sheetView topLeftCell="A25" workbookViewId="0">
      <selection activeCell="C76" sqref="C76"/>
    </sheetView>
  </sheetViews>
  <sheetFormatPr defaultRowHeight="15"/>
  <cols>
    <col min="2" max="2" width="42.140625" customWidth="1"/>
    <col min="3" max="3" width="19.28515625" bestFit="1" customWidth="1"/>
    <col min="4" max="6" width="16.5703125" bestFit="1" customWidth="1"/>
    <col min="7" max="7" width="14.7109375" customWidth="1"/>
    <col min="8" max="8" width="13.140625" bestFit="1" customWidth="1"/>
    <col min="9" max="9" width="2" bestFit="1" customWidth="1"/>
    <col min="10" max="10" width="12" bestFit="1" customWidth="1"/>
    <col min="11" max="11" width="2" bestFit="1" customWidth="1"/>
    <col min="12" max="12" width="12" bestFit="1" customWidth="1"/>
    <col min="13" max="13" width="2" bestFit="1" customWidth="1"/>
    <col min="14" max="14" width="12" bestFit="1" customWidth="1"/>
    <col min="15" max="15" width="2" bestFit="1" customWidth="1"/>
    <col min="16" max="16" width="11" bestFit="1" customWidth="1"/>
    <col min="17" max="17" width="2" bestFit="1" customWidth="1"/>
    <col min="18" max="18" width="18.85546875" customWidth="1"/>
  </cols>
  <sheetData>
    <row r="1" spans="2:10">
      <c r="B1" s="50">
        <v>40099</v>
      </c>
    </row>
    <row r="2" spans="2:10">
      <c r="B2" s="8" t="s">
        <v>1</v>
      </c>
    </row>
    <row r="4" spans="2:10">
      <c r="B4" s="9" t="s">
        <v>2</v>
      </c>
      <c r="C4" s="12">
        <v>500000</v>
      </c>
    </row>
    <row r="5" spans="2:10">
      <c r="B5" s="9" t="s">
        <v>3</v>
      </c>
      <c r="C5" s="4">
        <v>4</v>
      </c>
      <c r="D5" t="s">
        <v>9</v>
      </c>
    </row>
    <row r="6" spans="2:10">
      <c r="B6" s="9" t="s">
        <v>4</v>
      </c>
      <c r="C6" s="13">
        <v>0.08</v>
      </c>
      <c r="D6" t="s">
        <v>10</v>
      </c>
    </row>
    <row r="7" spans="2:10">
      <c r="B7" s="9" t="s">
        <v>5</v>
      </c>
      <c r="C7" s="13">
        <v>0.04</v>
      </c>
    </row>
    <row r="8" spans="2:10">
      <c r="B8" s="9" t="s">
        <v>6</v>
      </c>
      <c r="C8" s="14">
        <v>7.0000000000000001E-3</v>
      </c>
    </row>
    <row r="9" spans="2:10">
      <c r="B9" s="9" t="s">
        <v>7</v>
      </c>
      <c r="C9" s="13">
        <v>0.3</v>
      </c>
    </row>
    <row r="10" spans="2:10">
      <c r="B10" s="9" t="s">
        <v>8</v>
      </c>
      <c r="C10" s="4"/>
    </row>
    <row r="11" spans="2:10">
      <c r="B11" s="15"/>
      <c r="C11" s="16"/>
    </row>
    <row r="12" spans="2:10" ht="30" customHeight="1">
      <c r="B12" s="23">
        <v>500000</v>
      </c>
      <c r="C12" s="22"/>
      <c r="D12" s="10" t="s">
        <v>11</v>
      </c>
      <c r="E12" s="10" t="s">
        <v>11</v>
      </c>
      <c r="F12" s="10" t="s">
        <v>11</v>
      </c>
      <c r="G12" s="10" t="s">
        <v>11</v>
      </c>
      <c r="J12" s="24"/>
    </row>
    <row r="13" spans="2:10">
      <c r="B13" s="17"/>
      <c r="C13" s="19"/>
      <c r="D13" s="19"/>
      <c r="E13" s="19"/>
      <c r="F13" s="21"/>
      <c r="G13" s="11"/>
      <c r="H13" s="16"/>
    </row>
    <row r="14" spans="2:10" ht="9" customHeight="1">
      <c r="B14" s="18"/>
      <c r="C14" s="20"/>
      <c r="D14" s="20"/>
      <c r="E14" s="20"/>
      <c r="F14" s="11"/>
      <c r="G14" s="11"/>
      <c r="H14" s="16"/>
    </row>
    <row r="15" spans="2:10">
      <c r="C15" s="10">
        <v>0</v>
      </c>
      <c r="D15" s="10">
        <v>1</v>
      </c>
      <c r="E15" s="10">
        <v>2</v>
      </c>
      <c r="F15" s="10">
        <v>3</v>
      </c>
      <c r="G15" s="10">
        <v>4</v>
      </c>
    </row>
    <row r="16" spans="2:10">
      <c r="C16" s="10"/>
      <c r="D16" s="10" t="s">
        <v>14</v>
      </c>
      <c r="E16" s="10"/>
      <c r="F16" s="10"/>
      <c r="G16" s="10"/>
    </row>
    <row r="17" spans="2:8" ht="18.75">
      <c r="B17" t="s">
        <v>12</v>
      </c>
      <c r="C17" s="10" t="s">
        <v>17</v>
      </c>
      <c r="D17" s="27" t="s">
        <v>16</v>
      </c>
      <c r="E17" s="10"/>
      <c r="F17" s="10"/>
      <c r="G17" s="10"/>
    </row>
    <row r="18" spans="2:8">
      <c r="C18" s="25"/>
      <c r="D18" s="26" t="s">
        <v>15</v>
      </c>
      <c r="E18" s="10"/>
      <c r="F18" s="10"/>
      <c r="G18" s="10"/>
    </row>
    <row r="19" spans="2:8">
      <c r="C19" s="10"/>
      <c r="D19" s="10"/>
      <c r="E19" s="10"/>
      <c r="F19" s="10"/>
      <c r="G19" s="10"/>
    </row>
    <row r="20" spans="2:8">
      <c r="C20" s="10" t="s">
        <v>13</v>
      </c>
      <c r="D20" s="27" t="s">
        <v>18</v>
      </c>
      <c r="E20" s="28" t="s">
        <v>19</v>
      </c>
      <c r="F20" s="29">
        <f xml:space="preserve"> 1-(1+0.08)^-4</f>
        <v>0.26497014720354672</v>
      </c>
      <c r="G20" s="28" t="s">
        <v>19</v>
      </c>
      <c r="H20">
        <f>F20/F21</f>
        <v>3.3121268400443338</v>
      </c>
    </row>
    <row r="21" spans="2:8">
      <c r="C21" s="10"/>
      <c r="D21" s="26">
        <v>0.08</v>
      </c>
      <c r="E21" s="10"/>
      <c r="F21" s="26">
        <f>D21</f>
        <v>0.08</v>
      </c>
      <c r="G21" s="10"/>
    </row>
    <row r="22" spans="2:8">
      <c r="C22" s="10"/>
      <c r="D22" s="26"/>
      <c r="E22" s="10"/>
      <c r="F22" s="26"/>
      <c r="G22" s="10"/>
    </row>
    <row r="23" spans="2:8">
      <c r="C23" s="10" t="s">
        <v>21</v>
      </c>
      <c r="D23" s="30">
        <v>500000</v>
      </c>
      <c r="E23" s="28" t="s">
        <v>19</v>
      </c>
      <c r="F23" s="31">
        <f>D23/D24</f>
        <v>150960.4022270196</v>
      </c>
      <c r="G23" s="10"/>
    </row>
    <row r="24" spans="2:8">
      <c r="C24" s="10"/>
      <c r="D24" s="26">
        <f>H20</f>
        <v>3.3121268400443338</v>
      </c>
      <c r="E24" s="10"/>
      <c r="F24" s="26"/>
      <c r="G24" s="10"/>
    </row>
    <row r="25" spans="2:8">
      <c r="C25" s="10"/>
      <c r="D25" s="26"/>
      <c r="E25" s="10"/>
      <c r="F25" s="26"/>
      <c r="G25" s="10"/>
    </row>
    <row r="26" spans="2:8">
      <c r="B26" t="s">
        <v>20</v>
      </c>
      <c r="C26" s="10"/>
      <c r="D26" s="10"/>
      <c r="E26" s="10"/>
      <c r="F26" s="10"/>
      <c r="G26" s="10"/>
    </row>
    <row r="28" spans="2:8" ht="29.25" customHeight="1">
      <c r="B28" s="7" t="s">
        <v>0</v>
      </c>
      <c r="C28" s="6">
        <v>0</v>
      </c>
      <c r="D28" s="6">
        <v>1</v>
      </c>
      <c r="E28" s="6">
        <v>2</v>
      </c>
      <c r="F28" s="6">
        <v>3</v>
      </c>
      <c r="G28" s="6">
        <v>4</v>
      </c>
    </row>
    <row r="29" spans="2:8" s="3" customFormat="1">
      <c r="B29" s="5"/>
      <c r="C29" s="39"/>
      <c r="D29" s="40"/>
      <c r="E29" s="40"/>
      <c r="F29" s="40"/>
      <c r="G29" s="40"/>
    </row>
    <row r="30" spans="2:8" s="3" customFormat="1">
      <c r="B30" s="32" t="s">
        <v>22</v>
      </c>
      <c r="C30" s="34"/>
      <c r="D30" s="41">
        <f>C38</f>
        <v>500000</v>
      </c>
      <c r="E30" s="41">
        <f>D38</f>
        <v>389039.5977729804</v>
      </c>
      <c r="F30" s="41">
        <f>E38</f>
        <v>269202.3633677992</v>
      </c>
      <c r="G30" s="41">
        <f>F38</f>
        <v>139778.15021020354</v>
      </c>
    </row>
    <row r="31" spans="2:8" s="3" customFormat="1">
      <c r="B31" s="33"/>
      <c r="C31" s="42"/>
      <c r="D31" s="43"/>
      <c r="E31" s="43"/>
      <c r="F31" s="43"/>
      <c r="G31" s="43"/>
    </row>
    <row r="32" spans="2:8" s="3" customFormat="1">
      <c r="B32" s="32" t="s">
        <v>23</v>
      </c>
      <c r="C32" s="34"/>
      <c r="D32" s="41">
        <f>F23</f>
        <v>150960.4022270196</v>
      </c>
      <c r="E32" s="41">
        <f>F23</f>
        <v>150960.4022270196</v>
      </c>
      <c r="F32" s="41">
        <f>F23</f>
        <v>150960.4022270196</v>
      </c>
      <c r="G32" s="41">
        <f>F23</f>
        <v>150960.4022270196</v>
      </c>
    </row>
    <row r="33" spans="2:7" s="3" customFormat="1">
      <c r="B33" s="33"/>
      <c r="C33" s="42"/>
      <c r="D33" s="43"/>
      <c r="E33" s="43"/>
      <c r="F33" s="43"/>
      <c r="G33" s="43"/>
    </row>
    <row r="34" spans="2:7" s="3" customFormat="1">
      <c r="B34" s="32" t="s">
        <v>24</v>
      </c>
      <c r="C34" s="34"/>
      <c r="D34" s="41">
        <f>D30*8%</f>
        <v>40000</v>
      </c>
      <c r="E34" s="41">
        <f>E30*8%</f>
        <v>31123.167821838433</v>
      </c>
      <c r="F34" s="41">
        <f>F30*8%</f>
        <v>21536.189069423937</v>
      </c>
      <c r="G34" s="41">
        <f>G30*8%</f>
        <v>11182.252016816285</v>
      </c>
    </row>
    <row r="35" spans="2:7" s="3" customFormat="1">
      <c r="B35" s="33"/>
      <c r="C35" s="42"/>
      <c r="D35" s="43"/>
      <c r="E35" s="43"/>
      <c r="F35" s="43"/>
      <c r="G35" s="43"/>
    </row>
    <row r="36" spans="2:7" s="3" customFormat="1">
      <c r="B36" s="32" t="s">
        <v>25</v>
      </c>
      <c r="C36" s="34"/>
      <c r="D36" s="41">
        <f>D32-D34</f>
        <v>110960.4022270196</v>
      </c>
      <c r="E36" s="41">
        <f>E32-E34</f>
        <v>119837.23440518117</v>
      </c>
      <c r="F36" s="41">
        <f>F32-F34</f>
        <v>129424.21315759566</v>
      </c>
      <c r="G36" s="41">
        <f>G32-G34</f>
        <v>139778.15021020331</v>
      </c>
    </row>
    <row r="37" spans="2:7" s="3" customFormat="1">
      <c r="B37" s="33"/>
      <c r="C37" s="42"/>
      <c r="D37" s="43"/>
      <c r="E37" s="43"/>
      <c r="F37" s="43"/>
      <c r="G37" s="43"/>
    </row>
    <row r="38" spans="2:7" s="3" customFormat="1">
      <c r="B38" s="68" t="s">
        <v>26</v>
      </c>
      <c r="C38" s="34">
        <f>C4</f>
        <v>500000</v>
      </c>
      <c r="D38" s="41">
        <f>D30-D36</f>
        <v>389039.5977729804</v>
      </c>
      <c r="E38" s="41">
        <f>E30-E36</f>
        <v>269202.3633677992</v>
      </c>
      <c r="F38" s="41">
        <f>F30-F36</f>
        <v>139778.15021020354</v>
      </c>
      <c r="G38" s="41">
        <f>G30-G36</f>
        <v>2.3283064365386963E-10</v>
      </c>
    </row>
    <row r="39" spans="2:7" s="3" customFormat="1">
      <c r="B39" s="33"/>
      <c r="C39" s="42"/>
      <c r="D39" s="43"/>
      <c r="E39" s="43"/>
      <c r="F39" s="43"/>
      <c r="G39" s="43"/>
    </row>
    <row r="40" spans="2:7" s="3" customFormat="1">
      <c r="B40" s="32" t="s">
        <v>27</v>
      </c>
      <c r="C40" s="34">
        <f>C38*C8</f>
        <v>3500</v>
      </c>
      <c r="D40" s="41"/>
      <c r="E40" s="41"/>
      <c r="F40" s="41"/>
      <c r="G40" s="41"/>
    </row>
    <row r="41" spans="2:7" s="3" customFormat="1">
      <c r="B41" s="33"/>
      <c r="C41" s="42"/>
      <c r="D41" s="43"/>
      <c r="E41" s="43"/>
      <c r="F41" s="43"/>
      <c r="G41" s="43"/>
    </row>
    <row r="42" spans="2:7" s="3" customFormat="1">
      <c r="B42" s="32" t="s">
        <v>42</v>
      </c>
      <c r="C42" s="35">
        <f>C40*C7</f>
        <v>140</v>
      </c>
      <c r="D42" s="41">
        <f>D34*C7</f>
        <v>1600</v>
      </c>
      <c r="E42" s="41">
        <f>E34*4%</f>
        <v>1244.9267128735373</v>
      </c>
      <c r="F42" s="41">
        <f>F34*4%</f>
        <v>861.44756277695751</v>
      </c>
      <c r="G42" s="41">
        <f>G34*4%</f>
        <v>447.29008067265141</v>
      </c>
    </row>
    <row r="43" spans="2:7" s="3" customFormat="1">
      <c r="B43" s="33"/>
      <c r="C43" s="42"/>
      <c r="D43" s="43"/>
      <c r="E43" s="43"/>
      <c r="F43" s="43"/>
      <c r="G43" s="43"/>
    </row>
    <row r="44" spans="2:7" s="3" customFormat="1">
      <c r="B44" s="68" t="s">
        <v>28</v>
      </c>
      <c r="C44" s="34"/>
      <c r="D44" s="41">
        <f>D34*30%</f>
        <v>12000</v>
      </c>
      <c r="E44" s="41">
        <f>E34*30%</f>
        <v>9336.9503465515299</v>
      </c>
      <c r="F44" s="41">
        <f>F34*30%</f>
        <v>6460.8567208271807</v>
      </c>
      <c r="G44" s="41">
        <f>G34*30%</f>
        <v>3354.6756050448853</v>
      </c>
    </row>
    <row r="45" spans="2:7" s="3" customFormat="1">
      <c r="B45" s="33"/>
      <c r="C45" s="42"/>
      <c r="D45" s="43"/>
      <c r="E45" s="43"/>
      <c r="F45" s="43"/>
      <c r="G45" s="43"/>
    </row>
    <row r="46" spans="2:7" s="3" customFormat="1">
      <c r="B46" s="68" t="s">
        <v>29</v>
      </c>
      <c r="C46" s="34"/>
      <c r="D46" s="41">
        <f>(C40*30%)/4</f>
        <v>262.5</v>
      </c>
      <c r="E46" s="41">
        <f>(C40*30%)/4</f>
        <v>262.5</v>
      </c>
      <c r="F46" s="41">
        <f>(C40*30%)/4</f>
        <v>262.5</v>
      </c>
      <c r="G46" s="41">
        <f>(C40*30%)/4</f>
        <v>262.5</v>
      </c>
    </row>
    <row r="47" spans="2:7" s="3" customFormat="1" ht="15" customHeight="1">
      <c r="B47" s="33"/>
      <c r="C47" s="42"/>
      <c r="D47" s="43"/>
      <c r="E47" s="43"/>
      <c r="F47" s="43"/>
      <c r="G47" s="43"/>
    </row>
    <row r="48" spans="2:7" s="3" customFormat="1" ht="15" customHeight="1">
      <c r="B48" s="68" t="s">
        <v>43</v>
      </c>
      <c r="C48" s="34"/>
      <c r="D48" s="44">
        <f>(C42*30%)/4</f>
        <v>10.5</v>
      </c>
      <c r="E48" s="44">
        <f>(C42*30%)/4</f>
        <v>10.5</v>
      </c>
      <c r="F48" s="44">
        <f>(C42*30%)/4</f>
        <v>10.5</v>
      </c>
      <c r="G48" s="44">
        <f>(C42*30%)/4</f>
        <v>10.5</v>
      </c>
    </row>
    <row r="49" spans="2:9">
      <c r="B49" s="33"/>
      <c r="C49" s="42"/>
      <c r="D49" s="43"/>
      <c r="E49" s="43"/>
      <c r="F49" s="43"/>
      <c r="G49" s="43"/>
    </row>
    <row r="50" spans="2:9">
      <c r="B50" s="68" t="s">
        <v>30</v>
      </c>
      <c r="C50" s="34"/>
      <c r="D50" s="41">
        <f>D42*30%</f>
        <v>480</v>
      </c>
      <c r="E50" s="41">
        <f>E42*30%</f>
        <v>373.47801386206118</v>
      </c>
      <c r="F50" s="41">
        <f>F42*30%</f>
        <v>258.43426883308723</v>
      </c>
      <c r="G50" s="41">
        <f>G42*30%</f>
        <v>134.18702420179542</v>
      </c>
    </row>
    <row r="51" spans="2:9">
      <c r="B51" s="33"/>
      <c r="C51" s="42"/>
      <c r="D51" s="43"/>
      <c r="E51" s="43"/>
      <c r="F51" s="43"/>
      <c r="G51" s="43"/>
    </row>
    <row r="52" spans="2:9" ht="18.75">
      <c r="B52" s="32" t="s">
        <v>31</v>
      </c>
      <c r="C52" s="46">
        <f>-C38+C40+C42</f>
        <v>-496360</v>
      </c>
      <c r="D52" s="47">
        <f>D34+D42-D44-D46-D48-D50</f>
        <v>28847</v>
      </c>
      <c r="E52" s="47">
        <f>E34+E42-E44-E46-E48-E50</f>
        <v>22384.666174298378</v>
      </c>
      <c r="F52" s="47">
        <f>F34+F42-F44-F46-F48-F50</f>
        <v>15405.345642540626</v>
      </c>
      <c r="G52" s="47">
        <f>G34+G42-G44-G46-G48-G50</f>
        <v>7867.6794682422551</v>
      </c>
    </row>
    <row r="53" spans="2:9">
      <c r="B53" s="33"/>
      <c r="C53" s="42"/>
      <c r="D53" s="43"/>
      <c r="E53" s="43"/>
      <c r="F53" s="43"/>
      <c r="G53" s="43"/>
    </row>
    <row r="54" spans="2:9">
      <c r="B54" s="36"/>
      <c r="C54" s="37"/>
      <c r="D54" s="38"/>
      <c r="E54" s="38"/>
      <c r="F54" s="38"/>
      <c r="G54" s="38"/>
    </row>
    <row r="55" spans="2:9">
      <c r="B55" s="36"/>
      <c r="C55" s="37"/>
      <c r="D55" s="37"/>
      <c r="E55" s="37"/>
      <c r="F55" s="37"/>
      <c r="G55" s="37"/>
      <c r="I55" s="45"/>
    </row>
    <row r="56" spans="2:9">
      <c r="C56" s="1"/>
      <c r="D56" s="2"/>
    </row>
    <row r="57" spans="2:9">
      <c r="B57" t="s">
        <v>32</v>
      </c>
      <c r="C57" s="1"/>
      <c r="D57" s="2"/>
    </row>
    <row r="58" spans="2:9">
      <c r="B58" t="s">
        <v>44</v>
      </c>
      <c r="C58" s="1"/>
      <c r="D58" s="2"/>
    </row>
    <row r="59" spans="2:9">
      <c r="C59" s="1"/>
      <c r="D59" s="2"/>
    </row>
    <row r="60" spans="2:9">
      <c r="B60" t="s">
        <v>33</v>
      </c>
      <c r="C60" s="1"/>
      <c r="D60" s="2"/>
    </row>
    <row r="61" spans="2:9">
      <c r="B61" t="s">
        <v>34</v>
      </c>
      <c r="C61" s="1"/>
      <c r="D61" s="2"/>
    </row>
    <row r="62" spans="2:9">
      <c r="B62" t="s">
        <v>35</v>
      </c>
      <c r="C62" s="1"/>
      <c r="D62" s="2"/>
    </row>
    <row r="63" spans="2:9">
      <c r="C63" s="1"/>
      <c r="D63" s="2"/>
    </row>
    <row r="64" spans="2:9">
      <c r="B64" t="s">
        <v>36</v>
      </c>
      <c r="C64" s="1"/>
      <c r="D64" s="2"/>
    </row>
    <row r="65" spans="2:18">
      <c r="B65" t="s">
        <v>37</v>
      </c>
      <c r="C65" s="1"/>
      <c r="D65" s="2"/>
    </row>
    <row r="66" spans="2:18">
      <c r="B66" t="s">
        <v>38</v>
      </c>
    </row>
    <row r="68" spans="2:18">
      <c r="B68" t="s">
        <v>39</v>
      </c>
    </row>
    <row r="69" spans="2:18">
      <c r="B69" t="s">
        <v>40</v>
      </c>
    </row>
    <row r="71" spans="2:18">
      <c r="B71" t="s">
        <v>41</v>
      </c>
    </row>
    <row r="73" spans="2:18">
      <c r="C73">
        <v>-496360</v>
      </c>
      <c r="D73">
        <v>28847</v>
      </c>
      <c r="E73">
        <v>22384.67</v>
      </c>
      <c r="F73">
        <v>15405.35</v>
      </c>
      <c r="G73">
        <v>7867.68</v>
      </c>
    </row>
    <row r="74" spans="2:18">
      <c r="C74" t="s">
        <v>45</v>
      </c>
      <c r="D74" s="45" t="e">
        <f>IRR(C73:G73)</f>
        <v>#NUM!</v>
      </c>
    </row>
    <row r="75" spans="2:18">
      <c r="D75" s="45"/>
    </row>
    <row r="76" spans="2:18">
      <c r="B76" t="s">
        <v>48</v>
      </c>
      <c r="H76" s="48">
        <f>C52</f>
        <v>-496360</v>
      </c>
      <c r="I76" s="78" t="s">
        <v>46</v>
      </c>
      <c r="J76" s="49">
        <f>D52</f>
        <v>28847</v>
      </c>
      <c r="K76" s="78" t="s">
        <v>46</v>
      </c>
      <c r="L76" s="49">
        <f>E52</f>
        <v>22384.666174298378</v>
      </c>
      <c r="M76" s="78" t="s">
        <v>46</v>
      </c>
      <c r="N76" s="49">
        <f>F52</f>
        <v>15405.345642540626</v>
      </c>
      <c r="O76" s="78" t="s">
        <v>46</v>
      </c>
      <c r="P76" s="49">
        <f>G52</f>
        <v>7867.6794682422551</v>
      </c>
      <c r="Q76" s="78" t="s">
        <v>47</v>
      </c>
      <c r="R76" s="78">
        <v>0</v>
      </c>
    </row>
    <row r="77" spans="2:18">
      <c r="I77" s="78"/>
      <c r="J77" s="26" t="s">
        <v>53</v>
      </c>
      <c r="K77" s="78"/>
      <c r="L77" s="26" t="s">
        <v>54</v>
      </c>
      <c r="M77" s="78"/>
      <c r="N77" s="26" t="s">
        <v>55</v>
      </c>
      <c r="O77" s="78"/>
      <c r="P77" s="26" t="s">
        <v>56</v>
      </c>
      <c r="Q77" s="78"/>
      <c r="R77" s="78"/>
    </row>
    <row r="79" spans="2:18">
      <c r="B79" t="s">
        <v>49</v>
      </c>
    </row>
    <row r="80" spans="2:18">
      <c r="H80" t="s">
        <v>50</v>
      </c>
    </row>
    <row r="82" spans="8:18">
      <c r="H82" s="48">
        <v>-496360</v>
      </c>
      <c r="I82" s="78" t="s">
        <v>46</v>
      </c>
      <c r="J82" s="49">
        <v>28847</v>
      </c>
      <c r="K82" s="78" t="s">
        <v>46</v>
      </c>
      <c r="L82" s="49">
        <v>22384.67</v>
      </c>
      <c r="M82" s="78" t="s">
        <v>46</v>
      </c>
      <c r="N82" s="49">
        <v>15405.35</v>
      </c>
      <c r="O82" s="78" t="s">
        <v>46</v>
      </c>
      <c r="P82" s="49">
        <v>7867.68</v>
      </c>
      <c r="Q82" s="78" t="s">
        <v>47</v>
      </c>
      <c r="R82" s="79">
        <f>H82+(J82/1.07)+(L82/1.07^2)+(N82/1.07^3)+(P82/1.07^4)</f>
        <v>-431270.97931858985</v>
      </c>
    </row>
    <row r="83" spans="8:18">
      <c r="I83" s="78"/>
      <c r="J83" s="26" t="s">
        <v>52</v>
      </c>
      <c r="K83" s="78"/>
      <c r="L83" s="26" t="s">
        <v>57</v>
      </c>
      <c r="M83" s="78"/>
      <c r="N83" s="26" t="s">
        <v>58</v>
      </c>
      <c r="O83" s="78"/>
      <c r="P83" s="26" t="s">
        <v>59</v>
      </c>
      <c r="Q83" s="78"/>
      <c r="R83" s="78"/>
    </row>
    <row r="89" spans="8:18">
      <c r="H89" t="s">
        <v>51</v>
      </c>
    </row>
    <row r="91" spans="8:18">
      <c r="H91" s="48">
        <v>-496360</v>
      </c>
      <c r="I91" s="78" t="s">
        <v>46</v>
      </c>
      <c r="J91" s="49">
        <v>28847</v>
      </c>
      <c r="K91" s="78" t="s">
        <v>46</v>
      </c>
      <c r="L91" s="49">
        <v>22384.67</v>
      </c>
      <c r="M91" s="78" t="s">
        <v>46</v>
      </c>
      <c r="N91" s="49">
        <v>15405.35</v>
      </c>
      <c r="O91" s="78" t="s">
        <v>46</v>
      </c>
      <c r="P91" s="49">
        <v>7867.68</v>
      </c>
      <c r="Q91" s="78" t="s">
        <v>47</v>
      </c>
      <c r="R91" s="79">
        <f>H91+(J91/1.09)+(L91/1.09^2)+(N91/1.09^3)+(P91/1.09^4)</f>
        <v>-433584.71385129483</v>
      </c>
    </row>
    <row r="92" spans="8:18">
      <c r="I92" s="78"/>
      <c r="J92" s="26" t="s">
        <v>60</v>
      </c>
      <c r="K92" s="78"/>
      <c r="L92" s="26" t="s">
        <v>61</v>
      </c>
      <c r="M92" s="78"/>
      <c r="N92" s="26" t="s">
        <v>62</v>
      </c>
      <c r="O92" s="78"/>
      <c r="P92" s="26" t="s">
        <v>63</v>
      </c>
      <c r="Q92" s="78"/>
      <c r="R92" s="78"/>
    </row>
  </sheetData>
  <mergeCells count="18">
    <mergeCell ref="R91:R92"/>
    <mergeCell ref="O82:O83"/>
    <mergeCell ref="I91:I92"/>
    <mergeCell ref="K91:K92"/>
    <mergeCell ref="M91:M92"/>
    <mergeCell ref="O91:O92"/>
    <mergeCell ref="Q91:Q92"/>
    <mergeCell ref="I82:I83"/>
    <mergeCell ref="K82:K83"/>
    <mergeCell ref="M82:M83"/>
    <mergeCell ref="O76:O77"/>
    <mergeCell ref="M76:M77"/>
    <mergeCell ref="I76:I77"/>
    <mergeCell ref="K76:K77"/>
    <mergeCell ref="Q82:Q83"/>
    <mergeCell ref="R82:R83"/>
    <mergeCell ref="R76:R77"/>
    <mergeCell ref="Q76:Q77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89"/>
  <sheetViews>
    <sheetView tabSelected="1" topLeftCell="A55" workbookViewId="0">
      <selection activeCell="B61" sqref="B61"/>
    </sheetView>
  </sheetViews>
  <sheetFormatPr defaultRowHeight="15"/>
  <cols>
    <col min="2" max="2" width="42.140625" customWidth="1"/>
    <col min="3" max="3" width="19.28515625" bestFit="1" customWidth="1"/>
    <col min="4" max="7" width="16.5703125" bestFit="1" customWidth="1"/>
    <col min="8" max="8" width="13.140625" bestFit="1" customWidth="1"/>
    <col min="9" max="9" width="2" bestFit="1" customWidth="1"/>
    <col min="10" max="10" width="12" bestFit="1" customWidth="1"/>
    <col min="11" max="11" width="2" bestFit="1" customWidth="1"/>
    <col min="12" max="12" width="13.140625" bestFit="1" customWidth="1"/>
    <col min="13" max="13" width="2" bestFit="1" customWidth="1"/>
    <col min="14" max="14" width="13.140625" bestFit="1" customWidth="1"/>
    <col min="15" max="15" width="2" bestFit="1" customWidth="1"/>
    <col min="16" max="16" width="13.140625" bestFit="1" customWidth="1"/>
    <col min="17" max="17" width="2" bestFit="1" customWidth="1"/>
    <col min="18" max="18" width="18.85546875" customWidth="1"/>
  </cols>
  <sheetData>
    <row r="1" spans="2:4">
      <c r="B1" s="50">
        <v>40100</v>
      </c>
    </row>
    <row r="2" spans="2:4">
      <c r="B2" s="8" t="s">
        <v>66</v>
      </c>
    </row>
    <row r="4" spans="2:4">
      <c r="B4" s="9" t="s">
        <v>2</v>
      </c>
      <c r="C4" s="12">
        <v>500000</v>
      </c>
      <c r="D4" t="s">
        <v>64</v>
      </c>
    </row>
    <row r="5" spans="2:4">
      <c r="B5" s="9" t="s">
        <v>68</v>
      </c>
      <c r="C5" s="51">
        <v>5</v>
      </c>
    </row>
    <row r="6" spans="2:4">
      <c r="B6" s="9" t="s">
        <v>67</v>
      </c>
      <c r="C6" s="51">
        <v>6</v>
      </c>
    </row>
    <row r="7" spans="2:4">
      <c r="B7" s="9" t="s">
        <v>69</v>
      </c>
      <c r="C7" s="51">
        <f>C6-C5</f>
        <v>1</v>
      </c>
    </row>
    <row r="8" spans="2:4">
      <c r="B8" s="9" t="s">
        <v>70</v>
      </c>
      <c r="C8" s="13">
        <v>0.05</v>
      </c>
      <c r="D8" t="s">
        <v>65</v>
      </c>
    </row>
    <row r="9" spans="2:4">
      <c r="B9" s="9" t="s">
        <v>7</v>
      </c>
      <c r="C9" s="13">
        <v>0.3</v>
      </c>
    </row>
    <row r="10" spans="2:4">
      <c r="B10" s="9" t="s">
        <v>71</v>
      </c>
      <c r="C10" s="52">
        <v>4</v>
      </c>
      <c r="D10" t="s">
        <v>9</v>
      </c>
    </row>
    <row r="11" spans="2:4">
      <c r="B11" s="9" t="s">
        <v>72</v>
      </c>
      <c r="C11" s="13"/>
    </row>
    <row r="12" spans="2:4">
      <c r="B12" s="9" t="s">
        <v>73</v>
      </c>
      <c r="C12" s="13">
        <v>0.1</v>
      </c>
      <c r="D12" t="s">
        <v>74</v>
      </c>
    </row>
    <row r="13" spans="2:4">
      <c r="B13" s="9" t="s">
        <v>73</v>
      </c>
      <c r="C13" s="13">
        <v>0.2</v>
      </c>
      <c r="D13" t="s">
        <v>75</v>
      </c>
    </row>
    <row r="14" spans="2:4">
      <c r="B14" s="9" t="s">
        <v>73</v>
      </c>
      <c r="C14" s="13">
        <v>0.3</v>
      </c>
      <c r="D14" t="s">
        <v>76</v>
      </c>
    </row>
    <row r="15" spans="2:4">
      <c r="B15" s="9" t="s">
        <v>73</v>
      </c>
      <c r="C15" s="13">
        <v>0.4</v>
      </c>
      <c r="D15" t="s">
        <v>77</v>
      </c>
    </row>
    <row r="16" spans="2:4">
      <c r="B16" s="9" t="s">
        <v>79</v>
      </c>
      <c r="C16" s="60">
        <v>0.25</v>
      </c>
      <c r="D16" t="s">
        <v>80</v>
      </c>
    </row>
    <row r="17" spans="1:10">
      <c r="B17" s="62" t="s">
        <v>81</v>
      </c>
      <c r="C17" s="63">
        <v>0.01</v>
      </c>
      <c r="D17" s="54" t="s">
        <v>82</v>
      </c>
      <c r="E17" s="54"/>
      <c r="F17" s="54"/>
      <c r="G17" s="54"/>
      <c r="H17" s="16"/>
      <c r="J17" s="24"/>
    </row>
    <row r="18" spans="1:10">
      <c r="B18" s="53"/>
      <c r="C18" s="61"/>
      <c r="D18" s="54"/>
      <c r="E18" s="54"/>
      <c r="F18" s="54"/>
      <c r="G18" s="54"/>
      <c r="H18" s="16"/>
      <c r="J18" s="24"/>
    </row>
    <row r="19" spans="1:10">
      <c r="B19" s="15" t="s">
        <v>83</v>
      </c>
      <c r="C19" s="16"/>
      <c r="D19" s="16"/>
      <c r="E19" s="16"/>
      <c r="F19" s="16"/>
      <c r="G19" s="16"/>
      <c r="H19" s="16"/>
    </row>
    <row r="20" spans="1:10">
      <c r="B20" s="16"/>
      <c r="C20" s="16"/>
      <c r="D20" s="16"/>
      <c r="E20" s="16"/>
      <c r="F20" s="16"/>
      <c r="G20" s="16"/>
      <c r="H20" s="16"/>
    </row>
    <row r="21" spans="1:10">
      <c r="B21" s="16" t="s">
        <v>84</v>
      </c>
      <c r="C21" s="54"/>
      <c r="D21" s="54"/>
      <c r="E21" s="54"/>
      <c r="F21" s="54"/>
      <c r="G21" s="54"/>
      <c r="H21" s="16"/>
    </row>
    <row r="22" spans="1:10">
      <c r="B22" s="56" t="s">
        <v>85</v>
      </c>
      <c r="C22" s="64">
        <f>C4*C17</f>
        <v>5000</v>
      </c>
      <c r="D22" s="54" t="s">
        <v>86</v>
      </c>
      <c r="E22" s="54"/>
      <c r="F22" s="54"/>
      <c r="G22" s="54"/>
      <c r="H22" s="16"/>
    </row>
    <row r="23" spans="1:10">
      <c r="B23" s="16"/>
      <c r="C23" s="54"/>
      <c r="D23" s="54"/>
      <c r="E23" s="54"/>
      <c r="F23" s="54"/>
      <c r="G23" s="54"/>
      <c r="H23" s="16"/>
    </row>
    <row r="24" spans="1:10">
      <c r="B24" s="16" t="s">
        <v>87</v>
      </c>
      <c r="C24" s="55"/>
      <c r="D24" s="56"/>
      <c r="E24" s="54"/>
      <c r="F24" s="54"/>
      <c r="G24" s="54"/>
      <c r="H24" s="16"/>
    </row>
    <row r="25" spans="1:10">
      <c r="B25" s="66" t="s">
        <v>88</v>
      </c>
      <c r="C25" s="67">
        <f>C7*100000</f>
        <v>100000</v>
      </c>
      <c r="D25" s="54" t="s">
        <v>89</v>
      </c>
      <c r="E25" s="54"/>
      <c r="F25" s="54"/>
      <c r="G25" s="54"/>
      <c r="H25" s="16"/>
    </row>
    <row r="26" spans="1:10">
      <c r="B26" s="16"/>
      <c r="C26" s="54"/>
      <c r="D26" s="54"/>
      <c r="E26" s="57"/>
      <c r="F26" s="56"/>
      <c r="G26" s="57"/>
      <c r="H26" s="16"/>
    </row>
    <row r="27" spans="1:10">
      <c r="A27" t="s">
        <v>93</v>
      </c>
      <c r="B27" s="65" t="s">
        <v>90</v>
      </c>
      <c r="C27" s="54"/>
      <c r="D27" s="56"/>
      <c r="E27" s="54"/>
      <c r="F27" s="56"/>
      <c r="G27" s="54"/>
      <c r="H27" s="16"/>
    </row>
    <row r="28" spans="1:10">
      <c r="B28" s="65" t="s">
        <v>91</v>
      </c>
      <c r="C28" s="64">
        <f>5000*0.3</f>
        <v>1500</v>
      </c>
      <c r="D28" s="58" t="s">
        <v>92</v>
      </c>
      <c r="E28" s="58">
        <f>C28/4</f>
        <v>375</v>
      </c>
      <c r="F28" s="54" t="s">
        <v>94</v>
      </c>
      <c r="G28" s="56"/>
      <c r="H28" s="16"/>
    </row>
    <row r="29" spans="1:10">
      <c r="B29" s="16"/>
      <c r="C29" s="54"/>
      <c r="D29" s="58"/>
      <c r="E29" s="57"/>
      <c r="F29" s="59"/>
      <c r="G29" s="54"/>
      <c r="H29" s="16"/>
    </row>
    <row r="30" spans="1:10">
      <c r="B30" s="16"/>
      <c r="C30" s="54"/>
      <c r="D30" s="56"/>
      <c r="E30" s="54"/>
      <c r="F30" s="56"/>
      <c r="G30" s="54"/>
      <c r="H30" s="16"/>
    </row>
    <row r="31" spans="1:10">
      <c r="A31" t="s">
        <v>95</v>
      </c>
      <c r="B31" s="65" t="s">
        <v>96</v>
      </c>
      <c r="C31" s="54"/>
      <c r="D31" s="56"/>
      <c r="E31" s="54"/>
      <c r="F31" s="56"/>
      <c r="G31" s="54"/>
      <c r="H31" s="16"/>
    </row>
    <row r="32" spans="1:10">
      <c r="B32" s="65" t="s">
        <v>97</v>
      </c>
      <c r="C32" s="64">
        <f>100000*0.3</f>
        <v>30000</v>
      </c>
      <c r="D32" s="58" t="s">
        <v>98</v>
      </c>
      <c r="E32" s="58">
        <f>C32/4</f>
        <v>7500</v>
      </c>
      <c r="F32" s="54" t="s">
        <v>94</v>
      </c>
      <c r="G32" s="54"/>
      <c r="H32" s="16"/>
    </row>
    <row r="33" spans="1:18">
      <c r="B33" s="65" t="s">
        <v>99</v>
      </c>
      <c r="C33" s="64"/>
      <c r="D33" s="58"/>
      <c r="E33" s="58"/>
      <c r="F33" s="54"/>
      <c r="G33" s="54"/>
      <c r="H33" s="16"/>
    </row>
    <row r="34" spans="1:18">
      <c r="B34" s="16"/>
      <c r="C34" s="54"/>
      <c r="D34" s="58"/>
      <c r="E34" s="57"/>
      <c r="F34" s="59"/>
    </row>
    <row r="35" spans="1:18" ht="21.75" customHeight="1">
      <c r="B35" s="7" t="s">
        <v>78</v>
      </c>
      <c r="C35" s="6">
        <v>0</v>
      </c>
      <c r="D35" s="6">
        <v>1</v>
      </c>
      <c r="E35" s="6">
        <v>2</v>
      </c>
      <c r="F35" s="6">
        <v>3</v>
      </c>
      <c r="G35" s="6">
        <v>4</v>
      </c>
    </row>
    <row r="36" spans="1:18" ht="15" customHeight="1">
      <c r="A36" s="3"/>
      <c r="B36" s="5"/>
      <c r="C36" s="39"/>
      <c r="D36" s="40"/>
      <c r="E36" s="40"/>
      <c r="F36" s="40"/>
      <c r="G36" s="40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" customHeight="1">
      <c r="A37" s="3"/>
      <c r="B37" s="68" t="s">
        <v>100</v>
      </c>
      <c r="C37" s="34">
        <f>C4</f>
        <v>500000</v>
      </c>
      <c r="D37" s="41">
        <f>C37-D39</f>
        <v>450000</v>
      </c>
      <c r="E37" s="41">
        <f>D37-E39</f>
        <v>350000</v>
      </c>
      <c r="F37" s="41">
        <f>E37-F39</f>
        <v>200000</v>
      </c>
      <c r="G37" s="41">
        <f>F37-G39</f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" customHeight="1">
      <c r="A38" s="3"/>
      <c r="B38" s="33" t="s">
        <v>110</v>
      </c>
      <c r="C38" s="42"/>
      <c r="D38" s="43"/>
      <c r="E38" s="43"/>
      <c r="F38" s="43"/>
      <c r="G38" s="4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>
      <c r="A39" s="3"/>
      <c r="B39" s="32" t="s">
        <v>101</v>
      </c>
      <c r="C39" s="34"/>
      <c r="D39" s="41">
        <f>C37*C12</f>
        <v>50000</v>
      </c>
      <c r="E39" s="41">
        <f>C37*C13</f>
        <v>100000</v>
      </c>
      <c r="F39" s="41">
        <f>C37*C14</f>
        <v>150000</v>
      </c>
      <c r="G39" s="41">
        <f>C37*C15</f>
        <v>200000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" customHeight="1">
      <c r="A40" s="3"/>
      <c r="B40" s="33"/>
      <c r="C40" s="42"/>
      <c r="D40" s="43"/>
      <c r="E40" s="43"/>
      <c r="F40" s="43"/>
      <c r="G40" s="4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" customHeight="1">
      <c r="A41" s="3"/>
      <c r="B41" s="32" t="s">
        <v>102</v>
      </c>
      <c r="C41" s="34"/>
      <c r="D41" s="41">
        <f>C37*5%</f>
        <v>25000</v>
      </c>
      <c r="E41" s="41">
        <f>D37*5%</f>
        <v>22500</v>
      </c>
      <c r="F41" s="41">
        <f>E37*5%</f>
        <v>17500</v>
      </c>
      <c r="G41" s="41">
        <f>F37*5%</f>
        <v>10000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" customHeight="1">
      <c r="A42" s="3"/>
      <c r="B42" s="33"/>
      <c r="C42" s="42"/>
      <c r="D42" s="43"/>
      <c r="E42" s="43"/>
      <c r="F42" s="43"/>
      <c r="G42" s="4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" customHeight="1">
      <c r="A43" s="3"/>
      <c r="B43" s="68" t="s">
        <v>103</v>
      </c>
      <c r="C43" s="34"/>
      <c r="D43" s="41">
        <f>E28</f>
        <v>375</v>
      </c>
      <c r="E43" s="41">
        <f>E28</f>
        <v>375</v>
      </c>
      <c r="F43" s="41">
        <f>E28</f>
        <v>375</v>
      </c>
      <c r="G43" s="41">
        <f>E28</f>
        <v>375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" customHeight="1">
      <c r="A44" s="3"/>
      <c r="B44" s="33"/>
      <c r="C44" s="42"/>
      <c r="D44" s="43"/>
      <c r="E44" s="43"/>
      <c r="F44" s="43"/>
      <c r="G44" s="4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" customHeight="1">
      <c r="A45" s="3"/>
      <c r="B45" s="68" t="s">
        <v>104</v>
      </c>
      <c r="C45" s="34"/>
      <c r="D45" s="41">
        <f>D41*0.3</f>
        <v>7500</v>
      </c>
      <c r="E45" s="41">
        <f>E41*0.3</f>
        <v>6750</v>
      </c>
      <c r="F45" s="41">
        <f>F41*0.3</f>
        <v>5250</v>
      </c>
      <c r="G45" s="41">
        <f>G41*0.3</f>
        <v>3000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" customHeight="1">
      <c r="A46" s="3"/>
      <c r="B46" s="33"/>
      <c r="C46" s="42"/>
      <c r="D46" s="43"/>
      <c r="E46" s="43"/>
      <c r="F46" s="43"/>
      <c r="G46" s="4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" customHeight="1">
      <c r="A47" s="3"/>
      <c r="B47" s="32" t="s">
        <v>105</v>
      </c>
      <c r="C47" s="34"/>
      <c r="D47" s="41">
        <f>E32</f>
        <v>7500</v>
      </c>
      <c r="E47" s="41">
        <f>E32</f>
        <v>7500</v>
      </c>
      <c r="F47" s="41">
        <f>E32</f>
        <v>7500</v>
      </c>
      <c r="G47" s="41">
        <f>E32</f>
        <v>7500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" customHeight="1">
      <c r="A48" s="3"/>
      <c r="B48" s="33"/>
      <c r="C48" s="42"/>
      <c r="D48" s="43"/>
      <c r="E48" s="43"/>
      <c r="F48" s="43"/>
      <c r="G48" s="4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" customHeight="1">
      <c r="A49" s="3"/>
      <c r="B49" s="32" t="s">
        <v>106</v>
      </c>
      <c r="C49" s="35"/>
      <c r="D49" s="41">
        <f>0.25*(10%*100000)</f>
        <v>2500</v>
      </c>
      <c r="E49" s="41">
        <f>0.25*(20%*100000)</f>
        <v>5000</v>
      </c>
      <c r="F49" s="41">
        <f>0.25*(30%*100000)</f>
        <v>7500</v>
      </c>
      <c r="G49" s="41">
        <f>0.25*(40%*100000)</f>
        <v>10000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" customHeight="1">
      <c r="A50" s="3"/>
      <c r="B50" s="33"/>
      <c r="C50" s="42"/>
      <c r="D50" s="43"/>
      <c r="E50" s="43"/>
      <c r="F50" s="43"/>
      <c r="G50" s="4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" customHeight="1">
      <c r="A51" s="3"/>
      <c r="B51" s="68" t="s">
        <v>107</v>
      </c>
      <c r="C51" s="34"/>
      <c r="D51" s="41">
        <f>D49*0.3</f>
        <v>750</v>
      </c>
      <c r="E51" s="41">
        <f>E49*0.3</f>
        <v>1500</v>
      </c>
      <c r="F51" s="41">
        <f>F49*0.3</f>
        <v>2250</v>
      </c>
      <c r="G51" s="41">
        <f>G49*0.3</f>
        <v>3000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5" customHeight="1">
      <c r="A52" s="3"/>
      <c r="B52" s="33"/>
      <c r="C52" s="42"/>
      <c r="D52" s="43"/>
      <c r="E52" s="43"/>
      <c r="F52" s="43"/>
      <c r="G52" s="4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5" customHeight="1">
      <c r="A53" s="3"/>
      <c r="B53" s="32" t="s">
        <v>108</v>
      </c>
      <c r="C53" s="34">
        <f>C22</f>
        <v>5000</v>
      </c>
      <c r="D53" s="41"/>
      <c r="E53" s="41"/>
      <c r="F53" s="41"/>
      <c r="G53" s="41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5" customHeight="1">
      <c r="A54" s="3"/>
      <c r="B54" s="33"/>
      <c r="C54" s="42"/>
      <c r="D54" s="43"/>
      <c r="E54" s="43"/>
      <c r="F54" s="43"/>
      <c r="G54" s="4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5" customHeight="1">
      <c r="A55" s="3"/>
      <c r="B55" s="32" t="s">
        <v>109</v>
      </c>
      <c r="C55" s="34">
        <f>-C37+C53</f>
        <v>-495000</v>
      </c>
      <c r="D55" s="44">
        <f>D39+D41+D47+D49-D43-D45-D51</f>
        <v>76375</v>
      </c>
      <c r="E55" s="44">
        <f>E39+E41+E47+E49-E43-E45-E51</f>
        <v>126375</v>
      </c>
      <c r="F55" s="44">
        <f>F39+F41+F47+F49-F43-F45-F51</f>
        <v>174625</v>
      </c>
      <c r="G55" s="44">
        <f>G39+G41+G47+G49-G43-G45-G51</f>
        <v>221125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>
      <c r="B56" s="36" t="s">
        <v>111</v>
      </c>
      <c r="C56" s="37"/>
      <c r="D56" s="38"/>
      <c r="E56" s="38"/>
      <c r="F56" s="38"/>
      <c r="G56" s="38"/>
    </row>
    <row r="57" spans="1:18">
      <c r="B57" s="36"/>
      <c r="C57" s="37"/>
      <c r="D57" s="37"/>
      <c r="E57" s="37"/>
      <c r="F57" s="37"/>
      <c r="G57" s="37"/>
      <c r="I57" s="45"/>
    </row>
    <row r="59" spans="1:18">
      <c r="B59" s="70" t="s">
        <v>112</v>
      </c>
      <c r="C59" s="69">
        <f>IRR(C55:G55)</f>
        <v>6.8470510988918667E-2</v>
      </c>
    </row>
    <row r="60" spans="1:18">
      <c r="B60" t="s">
        <v>119</v>
      </c>
      <c r="D60" s="45"/>
    </row>
    <row r="61" spans="1:18">
      <c r="B61" t="s">
        <v>126</v>
      </c>
      <c r="D61" s="45"/>
    </row>
    <row r="62" spans="1:18">
      <c r="B62" t="s">
        <v>48</v>
      </c>
      <c r="H62" s="48">
        <f>C55</f>
        <v>-495000</v>
      </c>
      <c r="I62" s="78" t="s">
        <v>46</v>
      </c>
      <c r="J62" s="49">
        <f>D55</f>
        <v>76375</v>
      </c>
      <c r="K62" s="78" t="s">
        <v>46</v>
      </c>
      <c r="L62" s="49">
        <f>E55</f>
        <v>126375</v>
      </c>
      <c r="M62" s="78" t="s">
        <v>46</v>
      </c>
      <c r="N62" s="49">
        <f>F55</f>
        <v>174625</v>
      </c>
      <c r="O62" s="78" t="s">
        <v>46</v>
      </c>
      <c r="P62" s="49">
        <f>G55</f>
        <v>221125</v>
      </c>
      <c r="Q62" s="78" t="s">
        <v>47</v>
      </c>
      <c r="R62" s="78">
        <v>0</v>
      </c>
    </row>
    <row r="63" spans="1:18">
      <c r="I63" s="78"/>
      <c r="J63" s="26" t="s">
        <v>53</v>
      </c>
      <c r="K63" s="78"/>
      <c r="L63" s="26" t="s">
        <v>54</v>
      </c>
      <c r="M63" s="78"/>
      <c r="N63" s="26" t="s">
        <v>55</v>
      </c>
      <c r="O63" s="78"/>
      <c r="P63" s="26" t="s">
        <v>56</v>
      </c>
      <c r="Q63" s="78"/>
      <c r="R63" s="78"/>
    </row>
    <row r="66" spans="2:18">
      <c r="H66" s="71" t="s">
        <v>113</v>
      </c>
    </row>
    <row r="67" spans="2:18">
      <c r="B67" s="70" t="s">
        <v>124</v>
      </c>
      <c r="C67" s="48">
        <f>R68</f>
        <v>25131.670960145188</v>
      </c>
    </row>
    <row r="68" spans="2:18">
      <c r="B68" s="70" t="s">
        <v>125</v>
      </c>
      <c r="C68" s="48">
        <f>R77</f>
        <v>-14779.782704006764</v>
      </c>
      <c r="H68" s="48">
        <f>H62</f>
        <v>-495000</v>
      </c>
      <c r="I68" s="78" t="s">
        <v>46</v>
      </c>
      <c r="J68" s="49">
        <f>J62</f>
        <v>76375</v>
      </c>
      <c r="K68" s="78" t="s">
        <v>46</v>
      </c>
      <c r="L68" s="49">
        <f>L62</f>
        <v>126375</v>
      </c>
      <c r="M68" s="78" t="s">
        <v>46</v>
      </c>
      <c r="N68" s="49">
        <f>N62</f>
        <v>174625</v>
      </c>
      <c r="O68" s="78" t="s">
        <v>46</v>
      </c>
      <c r="P68" s="49">
        <f>P62</f>
        <v>221125</v>
      </c>
      <c r="Q68" s="78" t="s">
        <v>47</v>
      </c>
      <c r="R68" s="80">
        <f>H68+(J68/1.05)+(L68/1.05^2)+(N68/1.05^3)+(P68/1.05^4)</f>
        <v>25131.670960145188</v>
      </c>
    </row>
    <row r="69" spans="2:18">
      <c r="I69" s="78"/>
      <c r="J69" s="26" t="s">
        <v>115</v>
      </c>
      <c r="K69" s="78"/>
      <c r="L69" s="26" t="s">
        <v>116</v>
      </c>
      <c r="M69" s="78"/>
      <c r="N69" s="26" t="s">
        <v>117</v>
      </c>
      <c r="O69" s="78"/>
      <c r="P69" s="26" t="s">
        <v>118</v>
      </c>
      <c r="Q69" s="78"/>
      <c r="R69" s="81"/>
    </row>
    <row r="70" spans="2:18">
      <c r="B70" s="45">
        <v>0.05</v>
      </c>
      <c r="C70" s="48">
        <f>C67</f>
        <v>25131.670960145188</v>
      </c>
    </row>
    <row r="71" spans="2:18">
      <c r="B71" s="70" t="s">
        <v>127</v>
      </c>
      <c r="C71" s="26">
        <v>0</v>
      </c>
    </row>
    <row r="72" spans="2:18">
      <c r="B72" s="45">
        <v>0.08</v>
      </c>
      <c r="C72" s="48">
        <f>C68</f>
        <v>-14779.782704006764</v>
      </c>
    </row>
    <row r="75" spans="2:18">
      <c r="B75" s="72" t="s">
        <v>128</v>
      </c>
      <c r="C75" s="73" t="s">
        <v>129</v>
      </c>
      <c r="H75" s="71" t="s">
        <v>114</v>
      </c>
    </row>
    <row r="76" spans="2:18">
      <c r="B76" s="26" t="s">
        <v>131</v>
      </c>
      <c r="C76" s="26" t="s">
        <v>130</v>
      </c>
    </row>
    <row r="77" spans="2:18">
      <c r="H77" s="48">
        <f>H68</f>
        <v>-495000</v>
      </c>
      <c r="I77" s="78" t="s">
        <v>46</v>
      </c>
      <c r="J77" s="49">
        <f>J68</f>
        <v>76375</v>
      </c>
      <c r="K77" s="78" t="s">
        <v>46</v>
      </c>
      <c r="L77" s="49">
        <f>L68</f>
        <v>126375</v>
      </c>
      <c r="M77" s="78" t="s">
        <v>46</v>
      </c>
      <c r="N77" s="49">
        <f>N68</f>
        <v>174625</v>
      </c>
      <c r="O77" s="78" t="s">
        <v>46</v>
      </c>
      <c r="P77" s="49">
        <f>P68</f>
        <v>221125</v>
      </c>
      <c r="Q77" s="78" t="s">
        <v>47</v>
      </c>
      <c r="R77" s="80">
        <f>H77+(J77/1.08)+(L77/1.08^2)+(N77/1.08^3)+(P77/1.08^4)</f>
        <v>-14779.782704006764</v>
      </c>
    </row>
    <row r="78" spans="2:18">
      <c r="B78" s="74" t="s">
        <v>132</v>
      </c>
      <c r="C78" s="78" t="s">
        <v>47</v>
      </c>
      <c r="D78" s="78" t="s">
        <v>133</v>
      </c>
      <c r="I78" s="78"/>
      <c r="J78" s="26" t="s">
        <v>120</v>
      </c>
      <c r="K78" s="78"/>
      <c r="L78" s="26" t="s">
        <v>121</v>
      </c>
      <c r="M78" s="78"/>
      <c r="N78" s="26" t="s">
        <v>122</v>
      </c>
      <c r="O78" s="78"/>
      <c r="P78" s="26" t="s">
        <v>123</v>
      </c>
      <c r="Q78" s="78"/>
      <c r="R78" s="81"/>
    </row>
    <row r="79" spans="2:18">
      <c r="B79" s="72" t="s">
        <v>128</v>
      </c>
      <c r="C79" s="78"/>
      <c r="D79" s="78"/>
    </row>
    <row r="82" spans="2:4">
      <c r="B82" s="70" t="s">
        <v>134</v>
      </c>
      <c r="C82" s="48">
        <f>-C67*0.03/-39911.45</f>
        <v>1.8890572224370593E-2</v>
      </c>
    </row>
    <row r="83" spans="2:4">
      <c r="B83" s="70" t="s">
        <v>135</v>
      </c>
      <c r="C83" s="75">
        <f>C82+0.05</f>
        <v>6.8890572224370589E-2</v>
      </c>
      <c r="D83" s="76">
        <f>C83</f>
        <v>6.8890572224370589E-2</v>
      </c>
    </row>
    <row r="85" spans="2:4">
      <c r="B85" s="77" t="s">
        <v>138</v>
      </c>
    </row>
    <row r="86" spans="2:4">
      <c r="B86" s="70" t="s">
        <v>135</v>
      </c>
      <c r="C86" t="s">
        <v>137</v>
      </c>
    </row>
    <row r="87" spans="2:4">
      <c r="C87" t="s">
        <v>136</v>
      </c>
    </row>
    <row r="89" spans="2:4">
      <c r="B89" s="70" t="s">
        <v>135</v>
      </c>
      <c r="C89">
        <f>0.05+((0.03*(25131.67/39911.45)))</f>
        <v>6.8890571502664033E-2</v>
      </c>
      <c r="D89" s="76">
        <f>C89</f>
        <v>6.8890571502664033E-2</v>
      </c>
    </row>
  </sheetData>
  <mergeCells count="20">
    <mergeCell ref="C78:C79"/>
    <mergeCell ref="D78:D79"/>
    <mergeCell ref="I77:I78"/>
    <mergeCell ref="K77:K78"/>
    <mergeCell ref="M68:M69"/>
    <mergeCell ref="O68:O69"/>
    <mergeCell ref="M77:M78"/>
    <mergeCell ref="O77:O78"/>
    <mergeCell ref="Q77:Q78"/>
    <mergeCell ref="R77:R78"/>
    <mergeCell ref="Q68:Q69"/>
    <mergeCell ref="R68:R69"/>
    <mergeCell ref="R62:R63"/>
    <mergeCell ref="I62:I63"/>
    <mergeCell ref="K62:K63"/>
    <mergeCell ref="M62:M63"/>
    <mergeCell ref="O62:O63"/>
    <mergeCell ref="Q62:Q63"/>
    <mergeCell ref="I68:I69"/>
    <mergeCell ref="K68:K69"/>
  </mergeCells>
  <phoneticPr fontId="14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Emp.Banc</vt:lpstr>
      <vt:lpstr>Emp.Obr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</dc:creator>
  <cp:lastModifiedBy>Bela Lourenço</cp:lastModifiedBy>
  <dcterms:created xsi:type="dcterms:W3CDTF">2009-10-13T22:12:20Z</dcterms:created>
  <dcterms:modified xsi:type="dcterms:W3CDTF">2009-10-15T08:44:56Z</dcterms:modified>
</cp:coreProperties>
</file>