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095" windowHeight="8445"/>
  </bookViews>
  <sheets>
    <sheet name="Balanço" sheetId="5" r:id="rId1"/>
    <sheet name="Estrutura de Prov. e de Cus" sheetId="6" r:id="rId2"/>
  </sheets>
  <calcPr calcId="125725"/>
</workbook>
</file>

<file path=xl/calcChain.xml><?xml version="1.0" encoding="utf-8"?>
<calcChain xmlns="http://schemas.openxmlformats.org/spreadsheetml/2006/main">
  <c r="K48" i="5"/>
  <c r="J48"/>
  <c r="I48"/>
  <c r="H48"/>
  <c r="K41"/>
  <c r="K49" s="1"/>
  <c r="J41"/>
  <c r="J49" s="1"/>
  <c r="I41"/>
  <c r="I49" s="1"/>
  <c r="H41"/>
  <c r="H49" s="1"/>
  <c r="K34"/>
  <c r="K50" s="1"/>
  <c r="J34"/>
  <c r="J50" s="1"/>
  <c r="I34"/>
  <c r="I50" s="1"/>
  <c r="H34"/>
  <c r="H50" s="1"/>
  <c r="K17"/>
  <c r="J17"/>
  <c r="I17"/>
  <c r="H17"/>
  <c r="K10"/>
  <c r="K18" s="1"/>
  <c r="J10"/>
  <c r="J18" s="1"/>
  <c r="I10"/>
  <c r="I18" s="1"/>
  <c r="H10"/>
  <c r="H18" s="1"/>
  <c r="B5" i="6" l="1"/>
  <c r="C5"/>
  <c r="D5"/>
  <c r="E5"/>
  <c r="B6"/>
  <c r="C6"/>
  <c r="D6"/>
  <c r="E6"/>
  <c r="B7"/>
  <c r="C7"/>
  <c r="D7"/>
  <c r="E7"/>
  <c r="B9"/>
  <c r="C9"/>
  <c r="D9"/>
  <c r="E9"/>
  <c r="B11"/>
  <c r="C11"/>
  <c r="D11"/>
  <c r="E11"/>
  <c r="T62" i="5"/>
  <c r="T63"/>
  <c r="T65"/>
  <c r="T69"/>
  <c r="T70"/>
  <c r="T72"/>
  <c r="T79"/>
  <c r="T87"/>
  <c r="T90"/>
  <c r="T61"/>
  <c r="S62"/>
  <c r="S63"/>
  <c r="S65"/>
  <c r="S69"/>
  <c r="S70"/>
  <c r="S72"/>
  <c r="S79"/>
  <c r="S87"/>
  <c r="S90"/>
  <c r="S61"/>
  <c r="R62"/>
  <c r="R63"/>
  <c r="R64"/>
  <c r="R65"/>
  <c r="R69"/>
  <c r="R70"/>
  <c r="R72"/>
  <c r="R78"/>
  <c r="R79"/>
  <c r="R87"/>
  <c r="R90"/>
  <c r="R61"/>
  <c r="H77"/>
  <c r="B20" i="6" s="1"/>
  <c r="I77" i="5"/>
  <c r="J77"/>
  <c r="D20" i="6" s="1"/>
  <c r="K77" i="5"/>
  <c r="I82"/>
  <c r="J82"/>
  <c r="D21" i="6" s="1"/>
  <c r="K82" i="5"/>
  <c r="H82"/>
  <c r="B21" i="6" s="1"/>
  <c r="J78" i="5"/>
  <c r="K78"/>
  <c r="I86"/>
  <c r="J86"/>
  <c r="D22" i="6" s="1"/>
  <c r="K86" i="5"/>
  <c r="H86"/>
  <c r="B22" i="6" s="1"/>
  <c r="K64" i="5"/>
  <c r="J64"/>
  <c r="I88"/>
  <c r="J88"/>
  <c r="K88"/>
  <c r="H88"/>
  <c r="I83"/>
  <c r="J83"/>
  <c r="K83"/>
  <c r="H83"/>
  <c r="I84"/>
  <c r="J84"/>
  <c r="D10" i="6" s="1"/>
  <c r="K84" i="5"/>
  <c r="H84"/>
  <c r="B10" i="6" s="1"/>
  <c r="I81" i="5"/>
  <c r="J81"/>
  <c r="K81"/>
  <c r="H81"/>
  <c r="I75"/>
  <c r="J75"/>
  <c r="D8" i="6" s="1"/>
  <c r="K75" i="5"/>
  <c r="H75"/>
  <c r="B8" i="6" s="1"/>
  <c r="I74" i="5"/>
  <c r="J74"/>
  <c r="D19" i="6" s="1"/>
  <c r="K74" i="5"/>
  <c r="H74"/>
  <c r="B19" i="6" s="1"/>
  <c r="I67" i="5"/>
  <c r="J67"/>
  <c r="D15" i="6" s="1"/>
  <c r="K67" i="5"/>
  <c r="H67"/>
  <c r="B15" i="6" s="1"/>
  <c r="I68" i="5"/>
  <c r="J68"/>
  <c r="D16" i="6" s="1"/>
  <c r="K68" i="5"/>
  <c r="H68"/>
  <c r="B16" i="6" s="1"/>
  <c r="I73" i="5"/>
  <c r="J73"/>
  <c r="D18" i="6" s="1"/>
  <c r="K73" i="5"/>
  <c r="H73"/>
  <c r="B18" i="6" s="1"/>
  <c r="I66" i="5"/>
  <c r="I71" s="1"/>
  <c r="I76" s="1"/>
  <c r="J66"/>
  <c r="J71" s="1"/>
  <c r="J76" s="1"/>
  <c r="K66"/>
  <c r="K71" s="1"/>
  <c r="K76" s="1"/>
  <c r="K93" s="1"/>
  <c r="H66"/>
  <c r="H71" s="1"/>
  <c r="C211" s="1"/>
  <c r="F203"/>
  <c r="C114"/>
  <c r="D114"/>
  <c r="E114"/>
  <c r="B114"/>
  <c r="C112"/>
  <c r="D112"/>
  <c r="E112"/>
  <c r="B112"/>
  <c r="E105"/>
  <c r="D105"/>
  <c r="C105"/>
  <c r="B105"/>
  <c r="B21"/>
  <c r="I80" l="1"/>
  <c r="B12" i="6"/>
  <c r="D12"/>
  <c r="O80" i="5"/>
  <c r="T73"/>
  <c r="O73"/>
  <c r="I18" i="6" s="1"/>
  <c r="T68" i="5"/>
  <c r="O68"/>
  <c r="I16" i="6" s="1"/>
  <c r="T67" i="5"/>
  <c r="O67"/>
  <c r="I15" i="6" s="1"/>
  <c r="T74" i="5"/>
  <c r="O74"/>
  <c r="I19" i="6" s="1"/>
  <c r="T75" i="5"/>
  <c r="O75"/>
  <c r="I8" i="6" s="1"/>
  <c r="T81" i="5"/>
  <c r="O81"/>
  <c r="T84"/>
  <c r="O84"/>
  <c r="I10" i="6" s="1"/>
  <c r="T83" i="5"/>
  <c r="O83"/>
  <c r="T88"/>
  <c r="O88"/>
  <c r="T64"/>
  <c r="T86"/>
  <c r="O86"/>
  <c r="I22" i="6" s="1"/>
  <c r="P78" i="5"/>
  <c r="T82"/>
  <c r="O82"/>
  <c r="I21" i="6" s="1"/>
  <c r="B23"/>
  <c r="D23"/>
  <c r="T77" i="5"/>
  <c r="S77"/>
  <c r="E10" i="6"/>
  <c r="C10"/>
  <c r="E8"/>
  <c r="E12" s="1"/>
  <c r="C8"/>
  <c r="C12" s="1"/>
  <c r="F211" i="5"/>
  <c r="D211"/>
  <c r="F214"/>
  <c r="D214"/>
  <c r="E15" i="6"/>
  <c r="C15"/>
  <c r="E16"/>
  <c r="C16"/>
  <c r="E18"/>
  <c r="C18"/>
  <c r="E19"/>
  <c r="C19"/>
  <c r="E20"/>
  <c r="C20"/>
  <c r="E21"/>
  <c r="C21"/>
  <c r="E22"/>
  <c r="C22"/>
  <c r="E211" i="5"/>
  <c r="C214"/>
  <c r="E214"/>
  <c r="D186"/>
  <c r="K80"/>
  <c r="R71"/>
  <c r="P76"/>
  <c r="R73"/>
  <c r="S73"/>
  <c r="N68"/>
  <c r="H16" i="6" s="1"/>
  <c r="P68" i="5"/>
  <c r="J16" i="6" s="1"/>
  <c r="R67" i="5"/>
  <c r="S67"/>
  <c r="N74"/>
  <c r="H19" i="6" s="1"/>
  <c r="P74" i="5"/>
  <c r="J19" i="6" s="1"/>
  <c r="R75" i="5"/>
  <c r="S75"/>
  <c r="R81"/>
  <c r="S81"/>
  <c r="N84"/>
  <c r="H10" i="6" s="1"/>
  <c r="P84" i="5"/>
  <c r="J10" i="6" s="1"/>
  <c r="R83" i="5"/>
  <c r="S83"/>
  <c r="N88"/>
  <c r="P88"/>
  <c r="P64"/>
  <c r="N86"/>
  <c r="H22" i="6" s="1"/>
  <c r="P86" i="5"/>
  <c r="J22" i="6" s="1"/>
  <c r="T78" i="5"/>
  <c r="N82"/>
  <c r="H21" i="6" s="1"/>
  <c r="P82" i="5"/>
  <c r="J21" i="6" s="1"/>
  <c r="P77" i="5"/>
  <c r="J20" i="6" s="1"/>
  <c r="N77" i="5"/>
  <c r="H20" i="6" s="1"/>
  <c r="N87" i="5"/>
  <c r="H11" i="6" s="1"/>
  <c r="N83" i="5"/>
  <c r="N81"/>
  <c r="N79"/>
  <c r="H9" i="6" s="1"/>
  <c r="N75" i="5"/>
  <c r="H8" i="6" s="1"/>
  <c r="N73" i="5"/>
  <c r="H18" i="6" s="1"/>
  <c r="N71" i="5"/>
  <c r="N69"/>
  <c r="H7" i="6" s="1"/>
  <c r="N67" i="5"/>
  <c r="H15" i="6" s="1"/>
  <c r="N65" i="5"/>
  <c r="N63"/>
  <c r="O61"/>
  <c r="I5" i="6" s="1"/>
  <c r="P61" i="5"/>
  <c r="J5" i="6" s="1"/>
  <c r="O90" i="5"/>
  <c r="O78"/>
  <c r="O76"/>
  <c r="O72"/>
  <c r="O70"/>
  <c r="O66"/>
  <c r="O64"/>
  <c r="O62"/>
  <c r="I6" i="6" s="1"/>
  <c r="P87" i="5"/>
  <c r="J11" i="6" s="1"/>
  <c r="P83" i="5"/>
  <c r="P81"/>
  <c r="P79"/>
  <c r="J9" i="6" s="1"/>
  <c r="P75" i="5"/>
  <c r="J8" i="6" s="1"/>
  <c r="P73" i="5"/>
  <c r="J18" i="6" s="1"/>
  <c r="P71" i="5"/>
  <c r="P69"/>
  <c r="J7" i="6" s="1"/>
  <c r="P67" i="5"/>
  <c r="J15" i="6" s="1"/>
  <c r="P65" i="5"/>
  <c r="P63"/>
  <c r="Q90"/>
  <c r="Q88"/>
  <c r="Q86"/>
  <c r="K22" i="6" s="1"/>
  <c r="Q84" i="5"/>
  <c r="K10" i="6" s="1"/>
  <c r="Q82" i="5"/>
  <c r="K21" i="6" s="1"/>
  <c r="Q78" i="5"/>
  <c r="Q76"/>
  <c r="Q74"/>
  <c r="K19" i="6" s="1"/>
  <c r="Q72" i="5"/>
  <c r="Q70"/>
  <c r="Q68"/>
  <c r="K16" i="6" s="1"/>
  <c r="Q66" i="5"/>
  <c r="Q64"/>
  <c r="Q62"/>
  <c r="K6" i="6" s="1"/>
  <c r="R88" i="5"/>
  <c r="R86"/>
  <c r="R84"/>
  <c r="R82"/>
  <c r="R74"/>
  <c r="R68"/>
  <c r="R66"/>
  <c r="S88"/>
  <c r="S86"/>
  <c r="S84"/>
  <c r="S82"/>
  <c r="S78"/>
  <c r="S76"/>
  <c r="S74"/>
  <c r="S68"/>
  <c r="S66"/>
  <c r="S64"/>
  <c r="T76"/>
  <c r="T66"/>
  <c r="N90"/>
  <c r="N78"/>
  <c r="N72"/>
  <c r="N70"/>
  <c r="N66"/>
  <c r="N64"/>
  <c r="N62"/>
  <c r="H6" i="6" s="1"/>
  <c r="Q61" i="5"/>
  <c r="K5" i="6" s="1"/>
  <c r="N61" i="5"/>
  <c r="H5" i="6" s="1"/>
  <c r="O87" i="5"/>
  <c r="I11" i="6" s="1"/>
  <c r="O79" i="5"/>
  <c r="I9" i="6" s="1"/>
  <c r="O77" i="5"/>
  <c r="I20" i="6" s="1"/>
  <c r="O71" i="5"/>
  <c r="O69"/>
  <c r="I7" i="6" s="1"/>
  <c r="O65" i="5"/>
  <c r="O63"/>
  <c r="P90"/>
  <c r="P72"/>
  <c r="P70"/>
  <c r="P66"/>
  <c r="P62"/>
  <c r="J6" i="6" s="1"/>
  <c r="Q93" i="5"/>
  <c r="Q87"/>
  <c r="K11" i="6" s="1"/>
  <c r="Q83" i="5"/>
  <c r="Q81"/>
  <c r="Q79"/>
  <c r="K9" i="6" s="1"/>
  <c r="Q77" i="5"/>
  <c r="K20" i="6" s="1"/>
  <c r="Q75" i="5"/>
  <c r="K8" i="6" s="1"/>
  <c r="Q73" i="5"/>
  <c r="K18" i="6" s="1"/>
  <c r="Q71" i="5"/>
  <c r="Q69"/>
  <c r="K7" i="6" s="1"/>
  <c r="Q67" i="5"/>
  <c r="K15" i="6" s="1"/>
  <c r="Q65" i="5"/>
  <c r="Q63"/>
  <c r="R77"/>
  <c r="S71"/>
  <c r="T71"/>
  <c r="J80"/>
  <c r="I93"/>
  <c r="O93" s="1"/>
  <c r="J93"/>
  <c r="H76"/>
  <c r="I85"/>
  <c r="I89" s="1"/>
  <c r="B100"/>
  <c r="B95"/>
  <c r="B47"/>
  <c r="C144" s="1"/>
  <c r="C225"/>
  <c r="D225"/>
  <c r="D227" s="1"/>
  <c r="E225"/>
  <c r="E227" s="1"/>
  <c r="F225"/>
  <c r="F227" s="1"/>
  <c r="D217"/>
  <c r="E217"/>
  <c r="F217"/>
  <c r="C217"/>
  <c r="F206"/>
  <c r="G197"/>
  <c r="D197"/>
  <c r="G200"/>
  <c r="D200"/>
  <c r="D131"/>
  <c r="E131"/>
  <c r="F131"/>
  <c r="C131"/>
  <c r="B106"/>
  <c r="B109" s="1"/>
  <c r="E106"/>
  <c r="E109" s="1"/>
  <c r="D113"/>
  <c r="E113"/>
  <c r="C113"/>
  <c r="D111"/>
  <c r="D99"/>
  <c r="D101" s="1"/>
  <c r="C96"/>
  <c r="D96"/>
  <c r="E96"/>
  <c r="E94"/>
  <c r="B113"/>
  <c r="B96"/>
  <c r="B94"/>
  <c r="D37"/>
  <c r="D16"/>
  <c r="D106" s="1"/>
  <c r="D109" s="1"/>
  <c r="E37"/>
  <c r="C37"/>
  <c r="B37"/>
  <c r="B39" s="1"/>
  <c r="B88" s="1"/>
  <c r="B90" s="1"/>
  <c r="E186" l="1"/>
  <c r="F186"/>
  <c r="K85"/>
  <c r="K89" s="1"/>
  <c r="C23" i="6"/>
  <c r="D189" i="5"/>
  <c r="E23" i="6"/>
  <c r="O89" i="5"/>
  <c r="O85"/>
  <c r="N76"/>
  <c r="R76"/>
  <c r="J85"/>
  <c r="J89" s="1"/>
  <c r="P80"/>
  <c r="S80"/>
  <c r="T80"/>
  <c r="Q80"/>
  <c r="S93"/>
  <c r="P93"/>
  <c r="T93"/>
  <c r="I94"/>
  <c r="O94" s="1"/>
  <c r="I91"/>
  <c r="H80"/>
  <c r="C186" s="1"/>
  <c r="H93"/>
  <c r="E97"/>
  <c r="C192"/>
  <c r="D115"/>
  <c r="B97"/>
  <c r="E50"/>
  <c r="C11"/>
  <c r="C50"/>
  <c r="C12"/>
  <c r="C91" s="1"/>
  <c r="C47"/>
  <c r="B46"/>
  <c r="C170"/>
  <c r="E189" l="1"/>
  <c r="F189"/>
  <c r="C227"/>
  <c r="T85"/>
  <c r="Q85"/>
  <c r="R93"/>
  <c r="N93"/>
  <c r="I92"/>
  <c r="O92" s="1"/>
  <c r="O91"/>
  <c r="S85"/>
  <c r="P85"/>
  <c r="H85"/>
  <c r="H89" s="1"/>
  <c r="N80"/>
  <c r="R80"/>
  <c r="D116"/>
  <c r="E49"/>
  <c r="G203" s="1"/>
  <c r="E111"/>
  <c r="E115" s="1"/>
  <c r="E116" s="1"/>
  <c r="C46"/>
  <c r="C111"/>
  <c r="C115" s="1"/>
  <c r="C16"/>
  <c r="B50"/>
  <c r="B111" s="1"/>
  <c r="B115" s="1"/>
  <c r="B116" s="1"/>
  <c r="C49"/>
  <c r="E203" s="1"/>
  <c r="E46"/>
  <c r="B74"/>
  <c r="E74"/>
  <c r="D74"/>
  <c r="C74"/>
  <c r="E55"/>
  <c r="F150" s="1"/>
  <c r="D55"/>
  <c r="E150" s="1"/>
  <c r="E47"/>
  <c r="D47"/>
  <c r="E39"/>
  <c r="F138" s="1"/>
  <c r="D39"/>
  <c r="E138" s="1"/>
  <c r="E21"/>
  <c r="E12"/>
  <c r="E91" s="1"/>
  <c r="D12"/>
  <c r="D91" s="1"/>
  <c r="C39"/>
  <c r="D138" s="1"/>
  <c r="C189" l="1"/>
  <c r="C138"/>
  <c r="J94"/>
  <c r="S89"/>
  <c r="P89"/>
  <c r="J91"/>
  <c r="R85"/>
  <c r="N85"/>
  <c r="T89"/>
  <c r="Q89"/>
  <c r="K91"/>
  <c r="K94"/>
  <c r="C77"/>
  <c r="C81" s="1"/>
  <c r="E77"/>
  <c r="E81" s="1"/>
  <c r="D77"/>
  <c r="D81" s="1"/>
  <c r="B77"/>
  <c r="C88"/>
  <c r="D192"/>
  <c r="D170"/>
  <c r="D88"/>
  <c r="D90" s="1"/>
  <c r="D92" s="1"/>
  <c r="E192"/>
  <c r="E170"/>
  <c r="C15"/>
  <c r="C106"/>
  <c r="E99"/>
  <c r="G206"/>
  <c r="F147"/>
  <c r="F144"/>
  <c r="F135"/>
  <c r="E88"/>
  <c r="E90" s="1"/>
  <c r="E92" s="1"/>
  <c r="F192"/>
  <c r="F170"/>
  <c r="E206"/>
  <c r="C55"/>
  <c r="D150" s="1"/>
  <c r="C99"/>
  <c r="E22"/>
  <c r="F122" s="1"/>
  <c r="E56"/>
  <c r="D56"/>
  <c r="E161" s="1"/>
  <c r="B49"/>
  <c r="D203" s="1"/>
  <c r="D11"/>
  <c r="D15"/>
  <c r="D83" l="1"/>
  <c r="E232"/>
  <c r="C83"/>
  <c r="D232"/>
  <c r="D237" s="1"/>
  <c r="B81"/>
  <c r="C232" s="1"/>
  <c r="C237" s="1"/>
  <c r="E83"/>
  <c r="F232"/>
  <c r="K92"/>
  <c r="T91"/>
  <c r="Q91"/>
  <c r="T94"/>
  <c r="Q94"/>
  <c r="R89"/>
  <c r="N89"/>
  <c r="H91"/>
  <c r="H94"/>
  <c r="P94"/>
  <c r="S94"/>
  <c r="J92"/>
  <c r="S91"/>
  <c r="P91"/>
  <c r="C109"/>
  <c r="C116" s="1"/>
  <c r="C90"/>
  <c r="C92" s="1"/>
  <c r="F237"/>
  <c r="F197"/>
  <c r="F200"/>
  <c r="D206"/>
  <c r="E57"/>
  <c r="F167"/>
  <c r="F164"/>
  <c r="C135"/>
  <c r="D57"/>
  <c r="E167"/>
  <c r="F153"/>
  <c r="F127"/>
  <c r="C101"/>
  <c r="E101"/>
  <c r="E102" s="1"/>
  <c r="E103" s="1"/>
  <c r="C94"/>
  <c r="C97" s="1"/>
  <c r="E197"/>
  <c r="E200"/>
  <c r="C21"/>
  <c r="F173"/>
  <c r="C56"/>
  <c r="F161"/>
  <c r="F158"/>
  <c r="E173"/>
  <c r="D21"/>
  <c r="D94"/>
  <c r="B55"/>
  <c r="C150" s="1"/>
  <c r="B99"/>
  <c r="B101" s="1"/>
  <c r="B102" s="1"/>
  <c r="B12"/>
  <c r="B83" l="1"/>
  <c r="P92"/>
  <c r="S92"/>
  <c r="N94"/>
  <c r="R94"/>
  <c r="T92"/>
  <c r="Q92"/>
  <c r="H92"/>
  <c r="R91"/>
  <c r="N91"/>
  <c r="E237"/>
  <c r="D179"/>
  <c r="E244"/>
  <c r="E179"/>
  <c r="F244"/>
  <c r="F179"/>
  <c r="G244"/>
  <c r="C179"/>
  <c r="D244"/>
  <c r="C102"/>
  <c r="C103" s="1"/>
  <c r="D97"/>
  <c r="D102" s="1"/>
  <c r="D103" s="1"/>
  <c r="B56"/>
  <c r="C173" s="1"/>
  <c r="D22"/>
  <c r="E135"/>
  <c r="E147"/>
  <c r="E144"/>
  <c r="C57"/>
  <c r="D167"/>
  <c r="D161"/>
  <c r="D147"/>
  <c r="D144"/>
  <c r="D135"/>
  <c r="C22"/>
  <c r="D122" s="1"/>
  <c r="C147"/>
  <c r="D173"/>
  <c r="B22"/>
  <c r="C122" s="1"/>
  <c r="B91"/>
  <c r="B92" s="1"/>
  <c r="B103" s="1"/>
  <c r="F241" l="1"/>
  <c r="E122"/>
  <c r="N92"/>
  <c r="R92"/>
  <c r="E241"/>
  <c r="D241"/>
  <c r="D164"/>
  <c r="C127"/>
  <c r="C153"/>
  <c r="C158"/>
  <c r="E127"/>
  <c r="E153"/>
  <c r="E158"/>
  <c r="E164"/>
  <c r="D127"/>
  <c r="D153"/>
  <c r="D158"/>
  <c r="B57"/>
  <c r="C167"/>
  <c r="C164"/>
  <c r="C161"/>
</calcChain>
</file>

<file path=xl/sharedStrings.xml><?xml version="1.0" encoding="utf-8"?>
<sst xmlns="http://schemas.openxmlformats.org/spreadsheetml/2006/main" count="349" uniqueCount="259">
  <si>
    <t>Activo</t>
  </si>
  <si>
    <t>Total do activo</t>
  </si>
  <si>
    <t>Capital Próprio e Passivo</t>
  </si>
  <si>
    <t>Total do passivo</t>
  </si>
  <si>
    <t>Activo não corrente</t>
  </si>
  <si>
    <t>Activos fixos tangíveis</t>
  </si>
  <si>
    <t>Outros activos fixos intangíveis</t>
  </si>
  <si>
    <t>Participações financeiras pelo método do custo</t>
  </si>
  <si>
    <t>Activos por impostos diferidos</t>
  </si>
  <si>
    <t>Activo corrente</t>
  </si>
  <si>
    <t>Inventários</t>
  </si>
  <si>
    <t>Clientes</t>
  </si>
  <si>
    <t>Outras contas a receber</t>
  </si>
  <si>
    <t>Impostos sobre o rendimento a receber</t>
  </si>
  <si>
    <t>Passivo</t>
  </si>
  <si>
    <t>Capital próprio</t>
  </si>
  <si>
    <t>Capital nominal</t>
  </si>
  <si>
    <t>Prestações suplementares e outros instrumentos de capital</t>
  </si>
  <si>
    <t>Acções (quotas) próprias</t>
  </si>
  <si>
    <t>Prémios de emissão</t>
  </si>
  <si>
    <t>Reservas não distribuíveis</t>
  </si>
  <si>
    <t>Reservas distribuíveis</t>
  </si>
  <si>
    <t>Reservas de conversão cambial</t>
  </si>
  <si>
    <t>Excedentes de valorização de activos fixos</t>
  </si>
  <si>
    <t>Excedentes de valorização de activos financeiros</t>
  </si>
  <si>
    <t>Resultados acumulados</t>
  </si>
  <si>
    <t>Resultado líquido do período</t>
  </si>
  <si>
    <t>Interesses minoritários</t>
  </si>
  <si>
    <t>Total do capital próprio</t>
  </si>
  <si>
    <t>Passivo não corrente</t>
  </si>
  <si>
    <t>Empréstimos e descobertos bancários</t>
  </si>
  <si>
    <t>Passivos por impostos diferidos</t>
  </si>
  <si>
    <t>Passivos por locação financeira</t>
  </si>
  <si>
    <t>Passivo corrente</t>
  </si>
  <si>
    <t>Fornecedores</t>
  </si>
  <si>
    <t>Outras contas a pagar</t>
  </si>
  <si>
    <t>Imposto corrente sobre o rendimento a pagar</t>
  </si>
  <si>
    <t>Total do capital próprio e do passivo</t>
  </si>
  <si>
    <t>Participações financeiras pelo método da equivalência patrimonial</t>
  </si>
  <si>
    <t>Rubricas</t>
  </si>
  <si>
    <t>Rendimentos e Ganhos</t>
  </si>
  <si>
    <t xml:space="preserve">Demonstração de Resultados por Natureza </t>
  </si>
  <si>
    <t>Lucros imputados de subsidiárias, associadas e empreendimentos conjuntos</t>
  </si>
  <si>
    <t>Fornecimentos e serviços externos</t>
  </si>
  <si>
    <t>Aumentos / diminuições de ajustamentos de inventários</t>
  </si>
  <si>
    <t>Vendas e Pretação de Serviços</t>
  </si>
  <si>
    <t>Custos das Mercadorias Vendidas e das Matérias consumidas</t>
  </si>
  <si>
    <t>Gastos com o pessoal</t>
  </si>
  <si>
    <t>Resultado Operacional (antes de Depreciações, gastos de financiamento e impostos)</t>
  </si>
  <si>
    <t>Gastos/ Reversões de Depreciações e de Amortizações</t>
  </si>
  <si>
    <t>Resultado Operacional (antes de gastos de financiamento e impostos)</t>
  </si>
  <si>
    <t>Resultado Antes de Imposto</t>
  </si>
  <si>
    <t>Juros e Rendimentos similares obtidos</t>
  </si>
  <si>
    <t>Juros e gastos similares suportados</t>
  </si>
  <si>
    <t>Imposto Sobre o Rendimento do Periodo</t>
  </si>
  <si>
    <t>Aumentos / diminuições de ajustamentos de instrumentos financeiros</t>
  </si>
  <si>
    <t>Aumentos / diminuições de imparidades de dividas a receber</t>
  </si>
  <si>
    <t>Outros rendimentos e ganhos operacionais</t>
  </si>
  <si>
    <t>Outros rendimentos e ganhos financeiros</t>
  </si>
  <si>
    <t>Outros gastos e perdas operacionais</t>
  </si>
  <si>
    <t>Outros gastos e perdas financeiros</t>
  </si>
  <si>
    <t>Fornecedores de Investimento</t>
  </si>
  <si>
    <t>Clientes de Cobrança Duvidosa</t>
  </si>
  <si>
    <t>Balanço Financeiro</t>
  </si>
  <si>
    <t>Balanço Funcional</t>
  </si>
  <si>
    <t>Resultados transitados</t>
  </si>
  <si>
    <t>Rendibilidade</t>
  </si>
  <si>
    <t>Rendibilidade do activo=</t>
  </si>
  <si>
    <t>Resultado líquido</t>
  </si>
  <si>
    <t>Activo líquido</t>
  </si>
  <si>
    <t>Rotação do activo=</t>
  </si>
  <si>
    <t>Rotação do activo fixo=</t>
  </si>
  <si>
    <t>Vol. Negócios</t>
  </si>
  <si>
    <t>Imob. Liquido</t>
  </si>
  <si>
    <t>Rendibilidade dos capitais próprios=</t>
  </si>
  <si>
    <t>Cap. Próprios</t>
  </si>
  <si>
    <t>Liquidez</t>
  </si>
  <si>
    <t>Liquidez geral=</t>
  </si>
  <si>
    <t>Passivo c/prazo</t>
  </si>
  <si>
    <t>Liquidez reduzida=</t>
  </si>
  <si>
    <t>Liquidez imediata=</t>
  </si>
  <si>
    <t>Disponibilidades</t>
  </si>
  <si>
    <t>Estrutura do capital</t>
  </si>
  <si>
    <t>Autonomia financeira=</t>
  </si>
  <si>
    <t>Activo liquido</t>
  </si>
  <si>
    <t>Solvabilidade=</t>
  </si>
  <si>
    <t>Capital Próprio</t>
  </si>
  <si>
    <t>Endividamento=</t>
  </si>
  <si>
    <t>Grau de endividamento=</t>
  </si>
  <si>
    <t>Estrutura de capital=</t>
  </si>
  <si>
    <t>Estrutura de endividamento=</t>
  </si>
  <si>
    <t>Passivo total</t>
  </si>
  <si>
    <t>Cash flow</t>
  </si>
  <si>
    <t>Cash flow= RLE+ Amort.+ ∆ Ajust.+ ∆ Provisões</t>
  </si>
  <si>
    <t>Análise Financeira</t>
  </si>
  <si>
    <t>Análise Económica</t>
  </si>
  <si>
    <t>Rendibilidade operacional do VN=</t>
  </si>
  <si>
    <t>Resultado Operacional</t>
  </si>
  <si>
    <t>Vol.Negócios</t>
  </si>
  <si>
    <t>Rendibilidade líquida do VN=</t>
  </si>
  <si>
    <t>Resultado Líquido</t>
  </si>
  <si>
    <t>Rotação dos capitais próprios=</t>
  </si>
  <si>
    <t>Actividade</t>
  </si>
  <si>
    <t>PMR=</t>
  </si>
  <si>
    <t>Créd. Concedido</t>
  </si>
  <si>
    <t>*360</t>
  </si>
  <si>
    <t>Vol. Neg.*(1+IVA)</t>
  </si>
  <si>
    <t>Rotação do crédito concedido=</t>
  </si>
  <si>
    <t>PMP=</t>
  </si>
  <si>
    <t>Compras(exist.+FSE)*(1+IVA)</t>
  </si>
  <si>
    <t>Rotação crédito obtido=</t>
  </si>
  <si>
    <t>Produtividade</t>
  </si>
  <si>
    <t>Produtividade do trabalho=</t>
  </si>
  <si>
    <t>VAB</t>
  </si>
  <si>
    <t>Nº médio de trabalhadores</t>
  </si>
  <si>
    <t>Produtividade do equipamento=</t>
  </si>
  <si>
    <t>Imob.corp. bruto</t>
  </si>
  <si>
    <t>Coeficiente capital/emprego=</t>
  </si>
  <si>
    <t>Imob. Corp. bruto</t>
  </si>
  <si>
    <t>Análise do Risco</t>
  </si>
  <si>
    <t>Risco operacional</t>
  </si>
  <si>
    <t>Margem bruta= Proveitos operacionais - Custos Operacionais</t>
  </si>
  <si>
    <t>GAO=</t>
  </si>
  <si>
    <t>Margem bruta</t>
  </si>
  <si>
    <t>RO</t>
  </si>
  <si>
    <t>Risco financeiro</t>
  </si>
  <si>
    <t>Grau de Alavanca Financeira=</t>
  </si>
  <si>
    <t>RAI</t>
  </si>
  <si>
    <t>Risco Global</t>
  </si>
  <si>
    <t>Grau de Alavanca Combinada= GAO*GAF</t>
  </si>
  <si>
    <t>Financiamento do crescimento</t>
  </si>
  <si>
    <t>g=</t>
  </si>
  <si>
    <t>activo 1</t>
  </si>
  <si>
    <t>activo0</t>
  </si>
  <si>
    <t>g*=</t>
  </si>
  <si>
    <t>RLE1</t>
  </si>
  <si>
    <t>(1-d)</t>
  </si>
  <si>
    <t>capital próprio</t>
  </si>
  <si>
    <t>d=</t>
  </si>
  <si>
    <t>Dividendos</t>
  </si>
  <si>
    <t>RLE</t>
  </si>
  <si>
    <t>Clientes Cobrança Duvidosa</t>
  </si>
  <si>
    <t>Caixa</t>
  </si>
  <si>
    <t>Passivo não Corrente</t>
  </si>
  <si>
    <t>Outras Contas a Pagar</t>
  </si>
  <si>
    <t>Capital Permanente</t>
  </si>
  <si>
    <t>Activos não Corrente</t>
  </si>
  <si>
    <t>Fundo Maneio Liquido</t>
  </si>
  <si>
    <t>Necessidades Financeiras</t>
  </si>
  <si>
    <t>Clientes Conta corrente</t>
  </si>
  <si>
    <t>Recursos Financeiros</t>
  </si>
  <si>
    <t>Fornecedores c/c</t>
  </si>
  <si>
    <t>Necessidades em Fundo Maneio</t>
  </si>
  <si>
    <t>Tesouraria Global</t>
  </si>
  <si>
    <t>Activo Corrente-Inventários</t>
  </si>
  <si>
    <t>Passivo Corrente</t>
  </si>
  <si>
    <t>Fundo Maneio= Activo Corrente - Passivo Corrente</t>
  </si>
  <si>
    <t>Activo Corrente</t>
  </si>
  <si>
    <t>Rotação do activo Corrente=</t>
  </si>
  <si>
    <t>tesouraria global</t>
  </si>
  <si>
    <t>Elementos activos de Tesouraria</t>
  </si>
  <si>
    <t>Imposto sobre o rendimento a receber</t>
  </si>
  <si>
    <t>Elementos passivos de tesouraria</t>
  </si>
  <si>
    <t>empréstimos e descobertos bancários</t>
  </si>
  <si>
    <t>passivos por locação financeira</t>
  </si>
  <si>
    <t>imposto corrente sobre rendimento a pagar</t>
  </si>
  <si>
    <t xml:space="preserve">Caixa </t>
  </si>
  <si>
    <t>Depósitos Bancários</t>
  </si>
  <si>
    <t>Depósitos á Ordem</t>
  </si>
  <si>
    <t>*360          PMP</t>
  </si>
  <si>
    <t>Compras(inv.+FSE)</t>
  </si>
  <si>
    <t>Demonstração de Resultados para Análise Financeira</t>
  </si>
  <si>
    <t>71 - Vendas</t>
  </si>
  <si>
    <t>72 - Prestações de Serviços</t>
  </si>
  <si>
    <t>74 - Subsidios à Exploração</t>
  </si>
  <si>
    <t>75 - Trabalhos para a própria empresa</t>
  </si>
  <si>
    <t xml:space="preserve"> - Variação da Produção</t>
  </si>
  <si>
    <t>Produção</t>
  </si>
  <si>
    <t>61 - CMVMC</t>
  </si>
  <si>
    <t>62 - F.S.E</t>
  </si>
  <si>
    <t>73 - Proveitos Suplementares</t>
  </si>
  <si>
    <t>631 - Impostos Indirectos</t>
  </si>
  <si>
    <t>Valor Acrescentado Bruto</t>
  </si>
  <si>
    <t>632 - Impostos Directos</t>
  </si>
  <si>
    <t>64 - Custos com o Pessoal</t>
  </si>
  <si>
    <t>65 - Outros Custos e Perdas Operacionais</t>
  </si>
  <si>
    <t>76 - Outros Proveitos e Ganhos Operacionais</t>
  </si>
  <si>
    <t>Excedente Bruto de Exploração</t>
  </si>
  <si>
    <t xml:space="preserve">67 - Ajustamentos do Exercício </t>
  </si>
  <si>
    <t>81 - Resultados Operacionais</t>
  </si>
  <si>
    <t>681 - Juros Suportados</t>
  </si>
  <si>
    <t>781 - Juros Obtidos</t>
  </si>
  <si>
    <t>782/5/6/7/8 - Outros Proveitos e Ganhos Financeiros</t>
  </si>
  <si>
    <t>83 - Resultados Correntes</t>
  </si>
  <si>
    <t>69 - Custos e Perdas Extraordinárias</t>
  </si>
  <si>
    <t>79 - Proveitos e Ganhos Extraordinários</t>
  </si>
  <si>
    <t>86 - Impostos Sobre o Rendimento</t>
  </si>
  <si>
    <t>88 - Resultado Liquido do Exercicio</t>
  </si>
  <si>
    <t>Auto Financiamento Bruto</t>
  </si>
  <si>
    <t>Auto Financiamento Liquido</t>
  </si>
  <si>
    <t>Resultado Económico Bruto</t>
  </si>
  <si>
    <t>Meios Libertos</t>
  </si>
  <si>
    <t>Reversões de Amortizações e Ajustamentos</t>
  </si>
  <si>
    <t>77 - Reversões de Amortizações e Ajustamentos</t>
  </si>
  <si>
    <t>682/5/6/7/8 - Outros Custos e Perdas Financeiros</t>
  </si>
  <si>
    <t>66 - Amortizações do Exercicio</t>
  </si>
  <si>
    <t>(%) da DR para Análise Financeira</t>
  </si>
  <si>
    <t>Variações da DR para Análise Financeira</t>
  </si>
  <si>
    <t>2009/2008</t>
  </si>
  <si>
    <t>2007/2008</t>
  </si>
  <si>
    <t>2006/2007</t>
  </si>
  <si>
    <t>Estrutura de Proveitos e Custos</t>
  </si>
  <si>
    <t>Estruturas de Proveitos</t>
  </si>
  <si>
    <t>78 - Proveitos e Ganhos Financeiros</t>
  </si>
  <si>
    <t>Total de Proveitos</t>
  </si>
  <si>
    <t>Estrutura de Custos</t>
  </si>
  <si>
    <t>62 - Fornecimentos e Serviços Externos</t>
  </si>
  <si>
    <t>63 - Impostos</t>
  </si>
  <si>
    <t>64 - Custos com o pessoal</t>
  </si>
  <si>
    <t>66 - Amortizações e Ajustamentos do Exercício</t>
  </si>
  <si>
    <t>68 - Custos e Perdas Financeiros</t>
  </si>
  <si>
    <t>69 - Custos e Perdas Extraordinários</t>
  </si>
  <si>
    <t>Total dos Custos</t>
  </si>
  <si>
    <t>Indicadores</t>
  </si>
  <si>
    <t>Vendas</t>
  </si>
  <si>
    <t>Prestações de Serviços</t>
  </si>
  <si>
    <t>Proveitos Suplementares</t>
  </si>
  <si>
    <t>Outros Proveitos e Ganhos Operacionais</t>
  </si>
  <si>
    <t>Proveitos e Ganhos Financeiros</t>
  </si>
  <si>
    <t>Proveitos e Ganhos Extraordinarios</t>
  </si>
  <si>
    <t>Proveitos</t>
  </si>
  <si>
    <t>Custos</t>
  </si>
  <si>
    <t>CMVMC</t>
  </si>
  <si>
    <t>Fornecimento e Serviços Externos</t>
  </si>
  <si>
    <t>Impostos</t>
  </si>
  <si>
    <t>Custos com o Pessoal</t>
  </si>
  <si>
    <t>Outros Custos e Perdas Operacionais</t>
  </si>
  <si>
    <t>Custos e Perdas Financeiras</t>
  </si>
  <si>
    <t>Custos e Perdas Extraordinarias</t>
  </si>
  <si>
    <t>Amortizações e Ajustamentos do Exercicio</t>
  </si>
  <si>
    <t xml:space="preserve"> </t>
  </si>
  <si>
    <t>Produtividade do Equipamento</t>
  </si>
  <si>
    <t>Produtividade do Trabalho</t>
  </si>
  <si>
    <r>
      <rPr>
        <sz val="7"/>
        <color rgb="FF7030A0"/>
        <rFont val="Times New Roman"/>
        <family val="1"/>
      </rPr>
      <t xml:space="preserve"> </t>
    </r>
    <r>
      <rPr>
        <b/>
        <sz val="11"/>
        <color rgb="FF000000"/>
        <rFont val="Calibri"/>
        <family val="2"/>
        <scheme val="minor"/>
      </rPr>
      <t>Representação Gráfica entre o Prazo Médio de Pagamento e de Recebimento</t>
    </r>
  </si>
  <si>
    <t>PMR</t>
  </si>
  <si>
    <t>PMP</t>
  </si>
  <si>
    <t>Liquidez Geral</t>
  </si>
  <si>
    <t>Liquidez Reduzida</t>
  </si>
  <si>
    <t>Liquidez Imediata</t>
  </si>
  <si>
    <r>
      <rPr>
        <sz val="7"/>
        <color rgb="FF7030A0"/>
        <rFont val="Times New Roman"/>
        <family val="1"/>
      </rPr>
      <t xml:space="preserve"> </t>
    </r>
    <r>
      <rPr>
        <b/>
        <sz val="11"/>
        <color theme="1"/>
        <rFont val="Calibri"/>
        <family val="2"/>
        <scheme val="minor"/>
      </rPr>
      <t>Representação Gráfica entre a Produtividade do Trabalho e do Equipamento</t>
    </r>
  </si>
  <si>
    <r>
      <rPr>
        <sz val="7"/>
        <color rgb="FF7030A0"/>
        <rFont val="Times New Roman"/>
        <family val="1"/>
      </rPr>
      <t xml:space="preserve"> </t>
    </r>
    <r>
      <rPr>
        <b/>
        <sz val="11"/>
        <color rgb="FF000000"/>
        <rFont val="Calibri"/>
        <family val="2"/>
        <scheme val="minor"/>
      </rPr>
      <t>Representação Gráfica da Liquidez Geral, Reduzida e Imediata</t>
    </r>
  </si>
  <si>
    <t>Autonomia Financeira</t>
  </si>
  <si>
    <t>Endividamento</t>
  </si>
  <si>
    <r>
      <rPr>
        <sz val="7"/>
        <color rgb="FF7030A0"/>
        <rFont val="Times New Roman"/>
        <family val="1"/>
      </rPr>
      <t xml:space="preserve"> </t>
    </r>
    <r>
      <rPr>
        <b/>
        <sz val="11"/>
        <color theme="1"/>
        <rFont val="Calibri"/>
        <family val="2"/>
        <scheme val="minor"/>
      </rPr>
      <t>Representação do rácio de autonomia financeira em conjunto com o rácio de endividamento</t>
    </r>
  </si>
  <si>
    <t>Grau da Alavanca Combinada</t>
  </si>
  <si>
    <t>Grau da Alavanca Fianaceira</t>
  </si>
  <si>
    <t>Grau da Alavanca Operacional</t>
  </si>
  <si>
    <t>Caixa e seus equivalentes</t>
  </si>
  <si>
    <t>Balanço SNS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</si>
</sst>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41" formatCode="_-* #,##0\ _€_-;\-* #,##0\ _€_-;_-* &quot;-&quot;\ _€_-;_-@_-"/>
    <numFmt numFmtId="43" formatCode="_-* #,##0.00\ _€_-;\-* #,##0.00\ _€_-;_-* &quot;-&quot;??\ _€_-;_-@_-"/>
    <numFmt numFmtId="164" formatCode="#,##0.00_ ;[Red]\-#,##0.00\ "/>
    <numFmt numFmtId="165" formatCode="0.00_ ;[Red]\-0.00\ 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Century Gothic"/>
      <family val="2"/>
    </font>
    <font>
      <b/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2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7030A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7030A0"/>
      <name val="Wingdings"/>
      <charset val="2"/>
    </font>
    <font>
      <sz val="7"/>
      <color rgb="FF7030A0"/>
      <name val="Times New Roman"/>
      <family val="1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5" xfId="0" applyFont="1" applyBorder="1"/>
    <xf numFmtId="0" fontId="2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Font="1" applyBorder="1"/>
    <xf numFmtId="0" fontId="3" fillId="0" borderId="5" xfId="0" applyFont="1" applyBorder="1"/>
    <xf numFmtId="0" fontId="3" fillId="0" borderId="4" xfId="0" applyFont="1" applyBorder="1" applyAlignment="1"/>
    <xf numFmtId="0" fontId="1" fillId="0" borderId="6" xfId="0" applyNumberFormat="1" applyFont="1" applyBorder="1" applyAlignment="1">
      <alignment horizontal="center"/>
    </xf>
    <xf numFmtId="0" fontId="1" fillId="0" borderId="0" xfId="0" applyFont="1"/>
    <xf numFmtId="0" fontId="0" fillId="0" borderId="0" xfId="0" applyFont="1"/>
    <xf numFmtId="0" fontId="0" fillId="0" borderId="0" xfId="0" applyBorder="1"/>
    <xf numFmtId="0" fontId="1" fillId="0" borderId="0" xfId="0" applyFont="1" applyBorder="1"/>
    <xf numFmtId="3" fontId="0" fillId="0" borderId="0" xfId="0" applyNumberFormat="1" applyFont="1" applyBorder="1" applyAlignment="1">
      <alignment horizontal="right"/>
    </xf>
    <xf numFmtId="0" fontId="0" fillId="0" borderId="7" xfId="0" applyFont="1" applyBorder="1"/>
    <xf numFmtId="40" fontId="0" fillId="0" borderId="7" xfId="0" applyNumberFormat="1" applyFont="1" applyBorder="1" applyAlignment="1">
      <alignment horizontal="right"/>
    </xf>
    <xf numFmtId="0" fontId="1" fillId="0" borderId="7" xfId="0" applyFont="1" applyBorder="1"/>
    <xf numFmtId="0" fontId="1" fillId="0" borderId="8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40" fontId="0" fillId="0" borderId="7" xfId="0" applyNumberFormat="1" applyFont="1" applyBorder="1" applyAlignment="1">
      <alignment horizontal="center"/>
    </xf>
    <xf numFmtId="0" fontId="7" fillId="0" borderId="0" xfId="0" applyFont="1"/>
    <xf numFmtId="165" fontId="0" fillId="0" borderId="1" xfId="0" applyNumberFormat="1" applyFont="1" applyBorder="1"/>
    <xf numFmtId="8" fontId="0" fillId="0" borderId="1" xfId="0" applyNumberFormat="1" applyFont="1" applyBorder="1"/>
    <xf numFmtId="8" fontId="0" fillId="0" borderId="2" xfId="0" applyNumberFormat="1" applyFont="1" applyBorder="1"/>
    <xf numFmtId="164" fontId="0" fillId="0" borderId="0" xfId="0" applyNumberFormat="1" applyFont="1"/>
    <xf numFmtId="40" fontId="0" fillId="0" borderId="7" xfId="0" applyNumberFormat="1" applyFont="1" applyBorder="1"/>
    <xf numFmtId="40" fontId="0" fillId="0" borderId="8" xfId="0" applyNumberFormat="1" applyFont="1" applyBorder="1"/>
    <xf numFmtId="0" fontId="0" fillId="0" borderId="0" xfId="0" applyFont="1" applyBorder="1"/>
    <xf numFmtId="0" fontId="9" fillId="0" borderId="0" xfId="0" applyFont="1"/>
    <xf numFmtId="0" fontId="9" fillId="0" borderId="0" xfId="0" applyFont="1" applyBorder="1" applyAlignment="1">
      <alignment horizontal="right"/>
    </xf>
    <xf numFmtId="0" fontId="10" fillId="0" borderId="9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10" fillId="0" borderId="0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0" fontId="10" fillId="0" borderId="0" xfId="0" applyNumberFormat="1" applyFont="1" applyAlignment="1">
      <alignment vertical="center"/>
    </xf>
    <xf numFmtId="1" fontId="10" fillId="0" borderId="0" xfId="0" applyNumberFormat="1" applyFont="1" applyAlignment="1">
      <alignment vertical="center"/>
    </xf>
    <xf numFmtId="1" fontId="9" fillId="0" borderId="0" xfId="0" applyNumberFormat="1" applyFont="1"/>
    <xf numFmtId="0" fontId="10" fillId="0" borderId="1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0" fontId="4" fillId="0" borderId="0" xfId="0" applyNumberFormat="1" applyFont="1" applyBorder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justify"/>
    </xf>
    <xf numFmtId="0" fontId="0" fillId="0" borderId="19" xfId="0" applyBorder="1"/>
    <xf numFmtId="1" fontId="1" fillId="0" borderId="19" xfId="0" applyNumberFormat="1" applyFont="1" applyBorder="1"/>
    <xf numFmtId="1" fontId="1" fillId="0" borderId="19" xfId="0" applyNumberFormat="1" applyFont="1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10" fillId="0" borderId="0" xfId="0" applyFont="1" applyAlignment="1">
      <alignment horizontal="center"/>
    </xf>
    <xf numFmtId="40" fontId="10" fillId="0" borderId="13" xfId="0" applyNumberFormat="1" applyFont="1" applyBorder="1"/>
    <xf numFmtId="165" fontId="10" fillId="0" borderId="13" xfId="0" applyNumberFormat="1" applyFont="1" applyBorder="1"/>
    <xf numFmtId="165" fontId="10" fillId="0" borderId="13" xfId="0" applyNumberFormat="1" applyFont="1" applyBorder="1" applyAlignment="1">
      <alignment vertical="center"/>
    </xf>
    <xf numFmtId="164" fontId="10" fillId="0" borderId="13" xfId="0" applyNumberFormat="1" applyFont="1" applyBorder="1" applyAlignment="1">
      <alignment vertical="center"/>
    </xf>
    <xf numFmtId="0" fontId="0" fillId="0" borderId="5" xfId="0" applyBorder="1"/>
    <xf numFmtId="2" fontId="10" fillId="0" borderId="0" xfId="0" applyNumberFormat="1" applyFont="1" applyBorder="1" applyAlignment="1">
      <alignment vertical="center"/>
    </xf>
    <xf numFmtId="1" fontId="10" fillId="0" borderId="0" xfId="0" applyNumberFormat="1" applyFont="1"/>
    <xf numFmtId="1" fontId="9" fillId="0" borderId="0" xfId="0" applyNumberFormat="1" applyFont="1" applyAlignment="1">
      <alignment vertical="center"/>
    </xf>
    <xf numFmtId="0" fontId="6" fillId="2" borderId="0" xfId="0" applyFont="1" applyFill="1" applyAlignment="1"/>
    <xf numFmtId="0" fontId="11" fillId="2" borderId="0" xfId="0" applyFont="1" applyFill="1" applyAlignment="1"/>
    <xf numFmtId="0" fontId="0" fillId="0" borderId="13" xfId="0" applyBorder="1"/>
    <xf numFmtId="0" fontId="1" fillId="0" borderId="13" xfId="0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1" fillId="0" borderId="24" xfId="0" applyFont="1" applyBorder="1"/>
    <xf numFmtId="0" fontId="0" fillId="0" borderId="24" xfId="0" applyBorder="1"/>
    <xf numFmtId="0" fontId="0" fillId="0" borderId="12" xfId="0" applyBorder="1"/>
    <xf numFmtId="0" fontId="0" fillId="0" borderId="25" xfId="0" applyBorder="1"/>
    <xf numFmtId="0" fontId="0" fillId="0" borderId="9" xfId="0" applyBorder="1"/>
    <xf numFmtId="0" fontId="0" fillId="0" borderId="26" xfId="0" applyBorder="1"/>
    <xf numFmtId="10" fontId="0" fillId="0" borderId="24" xfId="0" applyNumberFormat="1" applyFont="1" applyBorder="1"/>
    <xf numFmtId="0" fontId="0" fillId="0" borderId="24" xfId="0" applyFont="1" applyBorder="1"/>
    <xf numFmtId="10" fontId="0" fillId="0" borderId="24" xfId="0" applyNumberFormat="1" applyFont="1" applyBorder="1" applyAlignment="1">
      <alignment horizontal="right"/>
    </xf>
    <xf numFmtId="10" fontId="0" fillId="0" borderId="0" xfId="0" applyNumberFormat="1" applyFont="1" applyBorder="1" applyAlignment="1">
      <alignment horizontal="right"/>
    </xf>
    <xf numFmtId="10" fontId="0" fillId="0" borderId="12" xfId="0" applyNumberFormat="1" applyFont="1" applyBorder="1" applyAlignment="1">
      <alignment horizontal="right"/>
    </xf>
    <xf numFmtId="10" fontId="0" fillId="0" borderId="25" xfId="0" applyNumberFormat="1" applyFont="1" applyBorder="1" applyAlignment="1">
      <alignment horizontal="right"/>
    </xf>
    <xf numFmtId="10" fontId="0" fillId="0" borderId="9" xfId="0" applyNumberFormat="1" applyFont="1" applyBorder="1" applyAlignment="1">
      <alignment horizontal="right"/>
    </xf>
    <xf numFmtId="10" fontId="0" fillId="0" borderId="26" xfId="0" applyNumberFormat="1" applyFont="1" applyBorder="1" applyAlignment="1">
      <alignment horizontal="right"/>
    </xf>
    <xf numFmtId="10" fontId="0" fillId="0" borderId="25" xfId="0" applyNumberFormat="1" applyFont="1" applyBorder="1"/>
    <xf numFmtId="10" fontId="0" fillId="0" borderId="11" xfId="0" applyNumberFormat="1" applyFont="1" applyBorder="1"/>
    <xf numFmtId="0" fontId="1" fillId="0" borderId="2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43" fontId="0" fillId="0" borderId="0" xfId="0" applyNumberFormat="1" applyFont="1" applyBorder="1"/>
    <xf numFmtId="43" fontId="0" fillId="0" borderId="12" xfId="0" applyNumberFormat="1" applyFont="1" applyBorder="1"/>
    <xf numFmtId="43" fontId="0" fillId="0" borderId="0" xfId="0" applyNumberFormat="1" applyBorder="1"/>
    <xf numFmtId="43" fontId="0" fillId="0" borderId="12" xfId="0" applyNumberFormat="1" applyBorder="1"/>
    <xf numFmtId="40" fontId="0" fillId="0" borderId="0" xfId="0" applyNumberFormat="1" applyBorder="1"/>
    <xf numFmtId="40" fontId="0" fillId="0" borderId="12" xfId="0" applyNumberFormat="1" applyBorder="1"/>
    <xf numFmtId="0" fontId="0" fillId="0" borderId="25" xfId="0" applyFont="1" applyBorder="1"/>
    <xf numFmtId="43" fontId="0" fillId="0" borderId="9" xfId="0" applyNumberFormat="1" applyFont="1" applyBorder="1"/>
    <xf numFmtId="43" fontId="0" fillId="0" borderId="26" xfId="0" applyNumberFormat="1" applyFont="1" applyBorder="1"/>
    <xf numFmtId="0" fontId="1" fillId="0" borderId="28" xfId="0" applyFont="1" applyBorder="1"/>
    <xf numFmtId="0" fontId="1" fillId="0" borderId="27" xfId="0" applyFont="1" applyBorder="1"/>
    <xf numFmtId="0" fontId="1" fillId="0" borderId="29" xfId="0" applyFont="1" applyBorder="1"/>
    <xf numFmtId="43" fontId="0" fillId="0" borderId="13" xfId="0" applyNumberFormat="1" applyBorder="1"/>
    <xf numFmtId="0" fontId="1" fillId="0" borderId="13" xfId="0" applyFont="1" applyBorder="1" applyAlignment="1">
      <alignment horizontal="right"/>
    </xf>
    <xf numFmtId="0" fontId="3" fillId="0" borderId="13" xfId="0" applyFont="1" applyBorder="1"/>
    <xf numFmtId="0" fontId="10" fillId="0" borderId="13" xfId="0" applyFont="1" applyBorder="1"/>
    <xf numFmtId="43" fontId="9" fillId="0" borderId="13" xfId="0" applyNumberFormat="1" applyFont="1" applyBorder="1"/>
    <xf numFmtId="0" fontId="10" fillId="0" borderId="13" xfId="0" applyFont="1" applyBorder="1" applyAlignment="1">
      <alignment horizontal="center"/>
    </xf>
    <xf numFmtId="0" fontId="9" fillId="0" borderId="13" xfId="0" applyFont="1" applyBorder="1"/>
    <xf numFmtId="43" fontId="10" fillId="0" borderId="13" xfId="0" applyNumberFormat="1" applyFont="1" applyFill="1" applyBorder="1" applyAlignment="1">
      <alignment horizontal="center"/>
    </xf>
    <xf numFmtId="40" fontId="9" fillId="0" borderId="13" xfId="0" applyNumberFormat="1" applyFont="1" applyBorder="1"/>
    <xf numFmtId="0" fontId="1" fillId="0" borderId="13" xfId="0" applyFont="1" applyBorder="1" applyAlignment="1">
      <alignment horizontal="center"/>
    </xf>
    <xf numFmtId="1" fontId="1" fillId="0" borderId="13" xfId="0" applyNumberFormat="1" applyFont="1" applyBorder="1" applyAlignment="1"/>
    <xf numFmtId="0" fontId="13" fillId="0" borderId="11" xfId="0" applyFont="1" applyFill="1" applyBorder="1" applyAlignment="1">
      <alignment horizontal="right"/>
    </xf>
    <xf numFmtId="43" fontId="0" fillId="0" borderId="11" xfId="0" applyNumberFormat="1" applyBorder="1"/>
    <xf numFmtId="0" fontId="1" fillId="0" borderId="13" xfId="0" applyFont="1" applyFill="1" applyBorder="1"/>
    <xf numFmtId="10" fontId="0" fillId="0" borderId="13" xfId="0" applyNumberFormat="1" applyBorder="1"/>
    <xf numFmtId="1" fontId="1" fillId="0" borderId="13" xfId="0" applyNumberFormat="1" applyFont="1" applyFill="1" applyBorder="1" applyAlignment="1"/>
    <xf numFmtId="0" fontId="13" fillId="0" borderId="0" xfId="0" applyFont="1" applyFill="1" applyBorder="1" applyAlignment="1">
      <alignment horizontal="right"/>
    </xf>
    <xf numFmtId="0" fontId="1" fillId="2" borderId="28" xfId="0" applyFont="1" applyFill="1" applyBorder="1" applyAlignment="1"/>
    <xf numFmtId="0" fontId="1" fillId="2" borderId="27" xfId="0" applyFont="1" applyFill="1" applyBorder="1" applyAlignment="1"/>
    <xf numFmtId="0" fontId="1" fillId="2" borderId="29" xfId="0" applyFont="1" applyFill="1" applyBorder="1" applyAlignment="1"/>
    <xf numFmtId="0" fontId="1" fillId="2" borderId="28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0" fillId="0" borderId="0" xfId="0" applyFont="1" applyAlignment="1">
      <alignment horizontal="right" vertical="center"/>
    </xf>
    <xf numFmtId="165" fontId="10" fillId="0" borderId="10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2" xfId="0" applyFont="1" applyBorder="1" applyAlignment="1">
      <alignment horizont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 vertical="center"/>
    </xf>
    <xf numFmtId="2" fontId="10" fillId="0" borderId="11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left" vertical="center"/>
    </xf>
    <xf numFmtId="10" fontId="10" fillId="0" borderId="10" xfId="0" applyNumberFormat="1" applyFont="1" applyBorder="1" applyAlignment="1">
      <alignment horizontal="center" vertical="center"/>
    </xf>
    <xf numFmtId="10" fontId="10" fillId="0" borderId="11" xfId="0" applyNumberFormat="1" applyFont="1" applyBorder="1" applyAlignment="1">
      <alignment horizontal="center" vertical="center"/>
    </xf>
    <xf numFmtId="2" fontId="10" fillId="0" borderId="10" xfId="0" applyNumberFormat="1" applyFont="1" applyBorder="1" applyAlignment="1">
      <alignment horizontal="center"/>
    </xf>
    <xf numFmtId="2" fontId="10" fillId="0" borderId="11" xfId="0" applyNumberFormat="1" applyFont="1" applyBorder="1" applyAlignment="1">
      <alignment horizontal="center"/>
    </xf>
    <xf numFmtId="10" fontId="10" fillId="0" borderId="10" xfId="0" applyNumberFormat="1" applyFont="1" applyBorder="1" applyAlignment="1">
      <alignment horizontal="center"/>
    </xf>
    <xf numFmtId="10" fontId="10" fillId="0" borderId="11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9" xfId="0" applyFont="1" applyBorder="1" applyAlignment="1">
      <alignment horizontal="center"/>
    </xf>
    <xf numFmtId="0" fontId="12" fillId="2" borderId="13" xfId="0" applyFont="1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0" fontId="4" fillId="0" borderId="0" xfId="0" applyNumberFormat="1" applyFont="1" applyBorder="1" applyAlignment="1">
      <alignment horizontal="center"/>
    </xf>
    <xf numFmtId="0" fontId="0" fillId="0" borderId="1" xfId="0" applyBorder="1"/>
    <xf numFmtId="41" fontId="0" fillId="0" borderId="1" xfId="0" applyNumberFormat="1" applyBorder="1"/>
    <xf numFmtId="41" fontId="0" fillId="0" borderId="2" xfId="0" applyNumberFormat="1" applyBorder="1"/>
    <xf numFmtId="0" fontId="12" fillId="2" borderId="30" xfId="0" applyFont="1" applyFill="1" applyBorder="1" applyAlignment="1">
      <alignment horizontal="center"/>
    </xf>
    <xf numFmtId="0" fontId="0" fillId="2" borderId="30" xfId="0" applyFont="1" applyFill="1" applyBorder="1" applyAlignment="1">
      <alignment horizontal="center"/>
    </xf>
  </cellXfs>
  <cellStyles count="1">
    <cellStyle name="Normal" xfId="0" builtinId="0"/>
  </cellStyles>
  <dxfs count="3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  <extLst>
    <ext xmlns:x14="http://schemas.microsoft.com/office/spreadsheetml/2008/2/main" uri="{2FA3799A-409F-427f-AF3B-CBDC4617632B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ela1" displayName="Tabela1" ref="A34:C38" totalsRowShown="0" tableBorderDxfId="2">
  <tableColumns count="3">
    <tableColumn id="1" name=" "/>
    <tableColumn id="2" name="Produtividade do Equipamento"/>
    <tableColumn id="3" name="Produtividade do Trabalho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ela14" displayName="Tabela14" ref="A26:C30" totalsRowShown="0" tableBorderDxfId="1">
  <tableColumns count="3">
    <tableColumn id="1" name=" "/>
    <tableColumn id="2" name="PMR"/>
    <tableColumn id="3" name="PMP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7" name="Tabela18" displayName="Tabela18" ref="A56:D60" totalsRowShown="0" tableBorderDxfId="0">
  <tableColumns count="4">
    <tableColumn id="1" name=" "/>
    <tableColumn id="2" name="Grau da Alavanca Combinada"/>
    <tableColumn id="3" name="Grau da Alavanca Fianaceira"/>
    <tableColumn id="4" name="Grau da Alavanca Operacion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54"/>
  <sheetViews>
    <sheetView tabSelected="1" topLeftCell="D1" zoomScaleNormal="100" workbookViewId="0">
      <selection activeCell="G1" sqref="G1:K50"/>
    </sheetView>
  </sheetViews>
  <sheetFormatPr defaultRowHeight="15"/>
  <cols>
    <col min="1" max="1" width="77.7109375" bestFit="1" customWidth="1"/>
    <col min="2" max="2" width="28.42578125" bestFit="1" customWidth="1"/>
    <col min="3" max="4" width="16.28515625" bestFit="1" customWidth="1"/>
    <col min="5" max="5" width="16.42578125" bestFit="1" customWidth="1"/>
    <col min="6" max="6" width="16.28515625" customWidth="1"/>
    <col min="7" max="7" width="47.7109375" customWidth="1"/>
    <col min="8" max="8" width="18.140625" customWidth="1"/>
    <col min="9" max="9" width="15.85546875" bestFit="1" customWidth="1"/>
    <col min="10" max="12" width="15.7109375" bestFit="1" customWidth="1"/>
    <col min="17" max="17" width="7.85546875" bestFit="1" customWidth="1"/>
    <col min="18" max="18" width="14.5703125" customWidth="1"/>
    <col min="19" max="19" width="14.28515625" customWidth="1"/>
    <col min="20" max="20" width="16.85546875" customWidth="1"/>
  </cols>
  <sheetData>
    <row r="1" spans="1:11" ht="27" thickBot="1">
      <c r="A1" s="126" t="s">
        <v>63</v>
      </c>
      <c r="B1" s="126"/>
      <c r="C1" s="126"/>
      <c r="D1" s="126"/>
      <c r="E1" s="126"/>
      <c r="G1" s="158" t="s">
        <v>258</v>
      </c>
      <c r="H1" s="159"/>
      <c r="I1" s="159"/>
      <c r="J1" s="159"/>
      <c r="K1" s="159"/>
    </row>
    <row r="2" spans="1:11" ht="19.5" thickBot="1">
      <c r="G2" s="2" t="s">
        <v>0</v>
      </c>
      <c r="H2" s="17">
        <v>2009</v>
      </c>
      <c r="I2" s="17">
        <v>2008</v>
      </c>
      <c r="J2" s="17">
        <v>2007</v>
      </c>
      <c r="K2" s="17">
        <v>2006</v>
      </c>
    </row>
    <row r="3" spans="1:11" ht="18.75">
      <c r="A3" s="2" t="s">
        <v>0</v>
      </c>
      <c r="B3" s="7">
        <v>2009</v>
      </c>
      <c r="C3" s="7">
        <v>2008</v>
      </c>
      <c r="D3" s="7">
        <v>2007</v>
      </c>
      <c r="E3" s="7">
        <v>2006</v>
      </c>
      <c r="F3" s="9"/>
      <c r="G3" s="56"/>
      <c r="H3" s="155"/>
      <c r="I3" s="155"/>
      <c r="J3" s="155"/>
      <c r="K3" s="155"/>
    </row>
    <row r="4" spans="1:11">
      <c r="A4" s="4"/>
      <c r="B4" s="21"/>
      <c r="C4" s="21"/>
      <c r="D4" s="21"/>
      <c r="E4" s="21"/>
      <c r="F4" s="9"/>
      <c r="G4" s="1" t="s">
        <v>4</v>
      </c>
      <c r="H4" s="155"/>
      <c r="I4" s="155"/>
      <c r="J4" s="155"/>
      <c r="K4" s="155"/>
    </row>
    <row r="5" spans="1:11">
      <c r="A5" s="1" t="s">
        <v>4</v>
      </c>
      <c r="B5" s="21"/>
      <c r="C5" s="21"/>
      <c r="D5" s="21"/>
      <c r="E5" s="21"/>
      <c r="F5" s="9"/>
      <c r="G5" s="56" t="s">
        <v>5</v>
      </c>
      <c r="H5" s="156">
        <v>9880294</v>
      </c>
      <c r="I5" s="156">
        <v>10173948</v>
      </c>
      <c r="J5" s="156">
        <v>10427304</v>
      </c>
      <c r="K5" s="156">
        <v>11197902</v>
      </c>
    </row>
    <row r="6" spans="1:11">
      <c r="A6" s="4" t="s">
        <v>5</v>
      </c>
      <c r="B6" s="22">
        <v>9880294</v>
      </c>
      <c r="C6" s="22">
        <v>10173948</v>
      </c>
      <c r="D6" s="22">
        <v>10427304</v>
      </c>
      <c r="E6" s="22">
        <v>11197902</v>
      </c>
      <c r="F6" s="9"/>
      <c r="G6" s="56" t="s">
        <v>6</v>
      </c>
      <c r="H6" s="156">
        <v>507817</v>
      </c>
      <c r="I6" s="156"/>
      <c r="J6" s="156">
        <v>396883</v>
      </c>
      <c r="K6" s="156">
        <v>863174</v>
      </c>
    </row>
    <row r="7" spans="1:11">
      <c r="A7" s="4" t="s">
        <v>6</v>
      </c>
      <c r="B7" s="22">
        <v>507817</v>
      </c>
      <c r="C7" s="22"/>
      <c r="D7" s="22">
        <v>396883</v>
      </c>
      <c r="E7" s="22">
        <v>863174</v>
      </c>
      <c r="F7" s="9"/>
      <c r="G7" s="56" t="s">
        <v>38</v>
      </c>
      <c r="H7" s="156"/>
      <c r="I7" s="156"/>
      <c r="J7" s="156"/>
      <c r="K7" s="156">
        <v>137300</v>
      </c>
    </row>
    <row r="8" spans="1:11">
      <c r="A8" s="4" t="s">
        <v>38</v>
      </c>
      <c r="B8" s="22"/>
      <c r="C8" s="22"/>
      <c r="D8" s="22"/>
      <c r="E8" s="22">
        <v>137300</v>
      </c>
      <c r="F8" s="9"/>
      <c r="G8" s="56" t="s">
        <v>7</v>
      </c>
      <c r="H8" s="156">
        <v>16249</v>
      </c>
      <c r="I8" s="156">
        <v>11916</v>
      </c>
      <c r="J8" s="156">
        <v>11916</v>
      </c>
      <c r="K8" s="156">
        <v>1729989</v>
      </c>
    </row>
    <row r="9" spans="1:11">
      <c r="A9" s="4" t="s">
        <v>7</v>
      </c>
      <c r="B9" s="22">
        <v>16249</v>
      </c>
      <c r="C9" s="22">
        <v>11916</v>
      </c>
      <c r="D9" s="22">
        <v>11916</v>
      </c>
      <c r="E9" s="22">
        <v>1729989</v>
      </c>
      <c r="F9" s="9"/>
      <c r="G9" s="56" t="s">
        <v>8</v>
      </c>
      <c r="H9" s="156">
        <v>2463933</v>
      </c>
      <c r="I9" s="156">
        <v>3689588</v>
      </c>
      <c r="J9" s="156">
        <v>4997819</v>
      </c>
      <c r="K9" s="156">
        <v>3587834</v>
      </c>
    </row>
    <row r="10" spans="1:11">
      <c r="A10" s="4" t="s">
        <v>8</v>
      </c>
      <c r="B10" s="22">
        <v>2463933</v>
      </c>
      <c r="C10" s="22">
        <v>3689588</v>
      </c>
      <c r="D10" s="22">
        <v>4997819</v>
      </c>
      <c r="E10" s="22">
        <v>3587834</v>
      </c>
      <c r="F10" s="9"/>
      <c r="G10" s="56"/>
      <c r="H10" s="156">
        <f>SUM(H5:H9)</f>
        <v>12868293</v>
      </c>
      <c r="I10" s="156">
        <f>SUM(I5:I9)</f>
        <v>13875452</v>
      </c>
      <c r="J10" s="156">
        <f>SUM(J5:J9)</f>
        <v>15833922</v>
      </c>
      <c r="K10" s="156">
        <f>SUM(K5:K9)</f>
        <v>17516199</v>
      </c>
    </row>
    <row r="11" spans="1:11">
      <c r="A11" s="4" t="s">
        <v>62</v>
      </c>
      <c r="B11" s="22"/>
      <c r="C11" s="22">
        <f>1000000-698325</f>
        <v>301675</v>
      </c>
      <c r="D11" s="22">
        <f>52956-D16</f>
        <v>51927</v>
      </c>
      <c r="E11" s="22"/>
      <c r="F11" s="9"/>
      <c r="G11" s="1" t="s">
        <v>9</v>
      </c>
      <c r="H11" s="156"/>
      <c r="I11" s="156"/>
      <c r="J11" s="156"/>
      <c r="K11" s="156"/>
    </row>
    <row r="12" spans="1:11">
      <c r="A12" s="4"/>
      <c r="B12" s="22">
        <f>SUM(B6:B11)</f>
        <v>12868293</v>
      </c>
      <c r="C12" s="22">
        <f>SUM(C6:C10)</f>
        <v>13875452</v>
      </c>
      <c r="D12" s="22">
        <f>SUM(D6:D10)</f>
        <v>15833922</v>
      </c>
      <c r="E12" s="22">
        <f>SUM(E6:E10)</f>
        <v>17516199</v>
      </c>
      <c r="F12" s="9"/>
      <c r="G12" s="56" t="s">
        <v>10</v>
      </c>
      <c r="H12" s="156">
        <v>365382</v>
      </c>
      <c r="I12" s="156">
        <v>337566</v>
      </c>
      <c r="J12" s="156">
        <v>220579</v>
      </c>
      <c r="K12" s="156">
        <v>361564</v>
      </c>
    </row>
    <row r="13" spans="1:11">
      <c r="A13" s="1" t="s">
        <v>9</v>
      </c>
      <c r="B13" s="22"/>
      <c r="C13" s="22"/>
      <c r="D13" s="22"/>
      <c r="E13" s="22"/>
      <c r="F13" s="9"/>
      <c r="G13" s="56" t="s">
        <v>11</v>
      </c>
      <c r="H13" s="156">
        <v>6931528</v>
      </c>
      <c r="I13" s="156">
        <v>3295052</v>
      </c>
      <c r="J13" s="156">
        <v>2529149</v>
      </c>
      <c r="K13" s="156">
        <v>3876671</v>
      </c>
    </row>
    <row r="14" spans="1:11">
      <c r="A14" s="4" t="s">
        <v>10</v>
      </c>
      <c r="B14" s="22">
        <v>365382</v>
      </c>
      <c r="C14" s="22">
        <v>337566</v>
      </c>
      <c r="D14" s="22">
        <v>220579</v>
      </c>
      <c r="E14" s="22">
        <v>361564</v>
      </c>
      <c r="F14" s="9"/>
      <c r="G14" s="56" t="s">
        <v>12</v>
      </c>
      <c r="H14" s="156">
        <v>4774728</v>
      </c>
      <c r="I14" s="156">
        <v>7283898</v>
      </c>
      <c r="J14" s="156">
        <v>7151604</v>
      </c>
      <c r="K14" s="156">
        <v>1473308</v>
      </c>
    </row>
    <row r="15" spans="1:11">
      <c r="A15" s="4" t="s">
        <v>11</v>
      </c>
      <c r="B15" s="22">
        <v>6931527</v>
      </c>
      <c r="C15" s="22">
        <f>3295054-C16</f>
        <v>2898404</v>
      </c>
      <c r="D15" s="22">
        <f>2529149-D16</f>
        <v>2528120</v>
      </c>
      <c r="E15" s="22">
        <v>3876671</v>
      </c>
      <c r="F15" s="9"/>
      <c r="G15" s="56" t="s">
        <v>13</v>
      </c>
      <c r="H15" s="156">
        <v>196789</v>
      </c>
      <c r="I15" s="156">
        <v>152946</v>
      </c>
      <c r="J15" s="156">
        <v>141530</v>
      </c>
      <c r="K15" s="156">
        <v>170366</v>
      </c>
    </row>
    <row r="16" spans="1:11">
      <c r="A16" s="4" t="s">
        <v>62</v>
      </c>
      <c r="B16" s="22"/>
      <c r="C16" s="22">
        <f>698325-C11</f>
        <v>396650</v>
      </c>
      <c r="D16" s="22">
        <f>53985-52956</f>
        <v>1029</v>
      </c>
      <c r="E16" s="22"/>
      <c r="F16" s="9"/>
      <c r="G16" s="56" t="s">
        <v>257</v>
      </c>
      <c r="H16" s="156">
        <v>1150951</v>
      </c>
      <c r="I16" s="156">
        <v>358264</v>
      </c>
      <c r="J16" s="156">
        <v>433436</v>
      </c>
      <c r="K16" s="156">
        <v>529436</v>
      </c>
    </row>
    <row r="17" spans="1:11">
      <c r="A17" s="4" t="s">
        <v>12</v>
      </c>
      <c r="B17" s="22">
        <v>4774728</v>
      </c>
      <c r="C17" s="22">
        <v>7283898</v>
      </c>
      <c r="D17" s="22">
        <v>7151604</v>
      </c>
      <c r="E17" s="22">
        <v>1473308</v>
      </c>
      <c r="F17" s="9"/>
      <c r="G17" s="56"/>
      <c r="H17" s="156">
        <f>SUM(H12:H16)</f>
        <v>13419378</v>
      </c>
      <c r="I17" s="156">
        <f>SUM(I12:I16)</f>
        <v>11427726</v>
      </c>
      <c r="J17" s="156">
        <f>SUM(J12:J16)</f>
        <v>10476298</v>
      </c>
      <c r="K17" s="156">
        <f>SUM(K12:K16)</f>
        <v>6411345</v>
      </c>
    </row>
    <row r="18" spans="1:11" ht="15.75">
      <c r="A18" s="4" t="s">
        <v>13</v>
      </c>
      <c r="B18" s="22">
        <v>196789</v>
      </c>
      <c r="C18" s="22">
        <v>152946</v>
      </c>
      <c r="D18" s="22">
        <v>141530</v>
      </c>
      <c r="E18" s="22">
        <v>170366</v>
      </c>
      <c r="F18" s="9"/>
      <c r="G18" s="5" t="s">
        <v>1</v>
      </c>
      <c r="H18" s="156">
        <f>H10+H17</f>
        <v>26287671</v>
      </c>
      <c r="I18" s="156">
        <f>I10+I17</f>
        <v>25303178</v>
      </c>
      <c r="J18" s="156">
        <f>J10+J17</f>
        <v>26310220</v>
      </c>
      <c r="K18" s="156">
        <f>K10+K17</f>
        <v>23927544</v>
      </c>
    </row>
    <row r="19" spans="1:11">
      <c r="A19" s="56" t="s">
        <v>167</v>
      </c>
      <c r="B19" s="22">
        <v>1106184</v>
      </c>
      <c r="C19" s="22">
        <v>335568</v>
      </c>
      <c r="D19" s="22">
        <v>421645</v>
      </c>
      <c r="E19" s="22">
        <v>514247</v>
      </c>
      <c r="F19" s="9"/>
      <c r="G19" s="56"/>
      <c r="H19" s="156"/>
      <c r="I19" s="156"/>
      <c r="J19" s="156"/>
      <c r="K19" s="156"/>
    </row>
    <row r="20" spans="1:11" ht="18.75">
      <c r="A20" s="56" t="s">
        <v>166</v>
      </c>
      <c r="B20" s="22">
        <v>44767</v>
      </c>
      <c r="C20" s="22">
        <v>22696</v>
      </c>
      <c r="D20" s="22">
        <v>11791</v>
      </c>
      <c r="E20" s="22">
        <v>15188</v>
      </c>
      <c r="F20" s="9"/>
      <c r="G20" s="3" t="s">
        <v>2</v>
      </c>
      <c r="H20" s="156"/>
      <c r="I20" s="156"/>
      <c r="J20" s="156"/>
      <c r="K20" s="156"/>
    </row>
    <row r="21" spans="1:11">
      <c r="A21" s="4"/>
      <c r="B21" s="22">
        <f>SUM(B14:B20)</f>
        <v>13419377</v>
      </c>
      <c r="C21" s="22">
        <f>SUM(C14:C20)</f>
        <v>11427728</v>
      </c>
      <c r="D21" s="22">
        <f>SUM(D14:D20)</f>
        <v>10476298</v>
      </c>
      <c r="E21" s="22">
        <f>SUM(E14:E20)</f>
        <v>6411344</v>
      </c>
      <c r="F21" s="9"/>
      <c r="G21" s="1" t="s">
        <v>15</v>
      </c>
      <c r="H21" s="156"/>
      <c r="I21" s="156"/>
      <c r="J21" s="156"/>
      <c r="K21" s="156"/>
    </row>
    <row r="22" spans="1:11" ht="15.75">
      <c r="A22" s="5" t="s">
        <v>1</v>
      </c>
      <c r="B22" s="22">
        <f>B12+B21</f>
        <v>26287670</v>
      </c>
      <c r="C22" s="22">
        <f>C12+C21</f>
        <v>25303180</v>
      </c>
      <c r="D22" s="22">
        <f>D12+D21</f>
        <v>26310220</v>
      </c>
      <c r="E22" s="22">
        <f>E12+E21</f>
        <v>23927543</v>
      </c>
      <c r="F22" s="9"/>
      <c r="G22" s="56" t="s">
        <v>16</v>
      </c>
      <c r="H22" s="156">
        <v>14775000</v>
      </c>
      <c r="I22" s="156">
        <v>11500000</v>
      </c>
      <c r="J22" s="156">
        <v>5550000</v>
      </c>
      <c r="K22" s="156">
        <v>5550000</v>
      </c>
    </row>
    <row r="23" spans="1:11">
      <c r="A23" s="4"/>
      <c r="B23" s="22"/>
      <c r="C23" s="22"/>
      <c r="D23" s="22"/>
      <c r="E23" s="22"/>
      <c r="F23" s="9"/>
      <c r="G23" s="56" t="s">
        <v>17</v>
      </c>
      <c r="H23" s="156">
        <v>1950000</v>
      </c>
      <c r="I23" s="156">
        <v>1950000</v>
      </c>
      <c r="J23" s="156"/>
      <c r="K23" s="156"/>
    </row>
    <row r="24" spans="1:11" ht="18.75">
      <c r="A24" s="3" t="s">
        <v>2</v>
      </c>
      <c r="B24" s="22"/>
      <c r="C24" s="22"/>
      <c r="D24" s="22"/>
      <c r="E24" s="22"/>
      <c r="F24" s="9"/>
      <c r="G24" s="56" t="s">
        <v>18</v>
      </c>
      <c r="H24" s="156">
        <v>-3610</v>
      </c>
      <c r="I24" s="156">
        <v>-3610</v>
      </c>
      <c r="J24" s="156">
        <v>-13620</v>
      </c>
      <c r="K24" s="156">
        <v>-61820</v>
      </c>
    </row>
    <row r="25" spans="1:11">
      <c r="A25" s="1" t="s">
        <v>15</v>
      </c>
      <c r="B25" s="22"/>
      <c r="C25" s="22"/>
      <c r="D25" s="22"/>
      <c r="E25" s="22"/>
      <c r="F25" s="9"/>
      <c r="G25" s="56" t="s">
        <v>19</v>
      </c>
      <c r="H25" s="156">
        <v>-72604</v>
      </c>
      <c r="I25" s="156">
        <v>-72604</v>
      </c>
      <c r="J25" s="156">
        <v>-62595</v>
      </c>
      <c r="K25" s="156">
        <v>-129710</v>
      </c>
    </row>
    <row r="26" spans="1:11">
      <c r="A26" s="4" t="s">
        <v>16</v>
      </c>
      <c r="B26" s="22">
        <v>14775000</v>
      </c>
      <c r="C26" s="22">
        <v>11500000</v>
      </c>
      <c r="D26" s="22">
        <v>5550000</v>
      </c>
      <c r="E26" s="22">
        <v>5550000</v>
      </c>
      <c r="F26" s="9"/>
      <c r="G26" s="56" t="s">
        <v>20</v>
      </c>
      <c r="H26" s="156">
        <v>1177410</v>
      </c>
      <c r="I26" s="156">
        <v>1177410</v>
      </c>
      <c r="J26" s="156">
        <v>1174181</v>
      </c>
      <c r="K26" s="156">
        <v>1174181</v>
      </c>
    </row>
    <row r="27" spans="1:11">
      <c r="A27" s="4" t="s">
        <v>17</v>
      </c>
      <c r="B27" s="22">
        <v>1950000</v>
      </c>
      <c r="C27" s="22">
        <v>1950000</v>
      </c>
      <c r="D27" s="22"/>
      <c r="E27" s="22"/>
      <c r="F27" s="9"/>
      <c r="G27" s="56" t="s">
        <v>21</v>
      </c>
      <c r="H27" s="156">
        <v>1541294</v>
      </c>
      <c r="I27" s="156">
        <v>1541294</v>
      </c>
      <c r="J27" s="156">
        <v>1541294</v>
      </c>
      <c r="K27" s="156">
        <v>1541294</v>
      </c>
    </row>
    <row r="28" spans="1:11">
      <c r="A28" s="4" t="s">
        <v>18</v>
      </c>
      <c r="B28" s="22">
        <v>-3610</v>
      </c>
      <c r="C28" s="22">
        <v>-3610</v>
      </c>
      <c r="D28" s="22">
        <v>-13620</v>
      </c>
      <c r="E28" s="22">
        <v>-61820</v>
      </c>
      <c r="F28" s="9"/>
      <c r="G28" s="56" t="s">
        <v>22</v>
      </c>
      <c r="H28" s="156">
        <v>-5811</v>
      </c>
      <c r="I28" s="156">
        <v>-1098</v>
      </c>
      <c r="J28" s="156">
        <v>-811</v>
      </c>
      <c r="K28" s="156"/>
    </row>
    <row r="29" spans="1:11">
      <c r="A29" s="4" t="s">
        <v>19</v>
      </c>
      <c r="B29" s="22">
        <v>-72604</v>
      </c>
      <c r="C29" s="22">
        <v>-72604</v>
      </c>
      <c r="D29" s="22">
        <v>-62595</v>
      </c>
      <c r="E29" s="22">
        <v>-129710</v>
      </c>
      <c r="F29" s="9"/>
      <c r="G29" s="56" t="s">
        <v>23</v>
      </c>
      <c r="H29" s="156">
        <v>199562</v>
      </c>
      <c r="I29" s="156">
        <v>200828</v>
      </c>
      <c r="J29" s="156">
        <v>1290584</v>
      </c>
      <c r="K29" s="156">
        <v>1309355</v>
      </c>
    </row>
    <row r="30" spans="1:11">
      <c r="A30" s="4" t="s">
        <v>20</v>
      </c>
      <c r="B30" s="22">
        <v>1177410</v>
      </c>
      <c r="C30" s="22">
        <v>1177410</v>
      </c>
      <c r="D30" s="22">
        <v>1174181</v>
      </c>
      <c r="E30" s="22">
        <v>1174181</v>
      </c>
      <c r="F30" s="9"/>
      <c r="G30" s="56" t="s">
        <v>24</v>
      </c>
      <c r="H30" s="156">
        <v>-372990</v>
      </c>
      <c r="I30" s="156">
        <v>-74750</v>
      </c>
      <c r="J30" s="156">
        <v>-74748</v>
      </c>
      <c r="K30" s="156">
        <v>-3460969</v>
      </c>
    </row>
    <row r="31" spans="1:11">
      <c r="A31" s="4" t="s">
        <v>21</v>
      </c>
      <c r="B31" s="22">
        <v>1541294</v>
      </c>
      <c r="C31" s="22">
        <v>1541294</v>
      </c>
      <c r="D31" s="22">
        <v>1541294</v>
      </c>
      <c r="E31" s="22">
        <v>1541294</v>
      </c>
      <c r="F31" s="9"/>
      <c r="G31" s="56" t="s">
        <v>25</v>
      </c>
      <c r="H31" s="156">
        <v>-18547772</v>
      </c>
      <c r="I31" s="156">
        <v>-16834134</v>
      </c>
      <c r="J31" s="156">
        <v>-21914928</v>
      </c>
      <c r="K31" s="156">
        <v>-16260891</v>
      </c>
    </row>
    <row r="32" spans="1:11">
      <c r="A32" s="4" t="s">
        <v>22</v>
      </c>
      <c r="B32" s="22">
        <v>-5811</v>
      </c>
      <c r="C32" s="22">
        <v>-1098</v>
      </c>
      <c r="D32" s="22">
        <v>-811</v>
      </c>
      <c r="E32" s="22"/>
      <c r="F32" s="9"/>
      <c r="G32" s="56" t="s">
        <v>26</v>
      </c>
      <c r="H32" s="156">
        <v>-270272</v>
      </c>
      <c r="I32" s="156">
        <v>-597203</v>
      </c>
      <c r="J32" s="156">
        <v>842613</v>
      </c>
      <c r="K32" s="156">
        <v>-3891130</v>
      </c>
    </row>
    <row r="33" spans="1:11">
      <c r="A33" s="4" t="s">
        <v>23</v>
      </c>
      <c r="B33" s="22">
        <v>199562</v>
      </c>
      <c r="C33" s="22">
        <v>200828</v>
      </c>
      <c r="D33" s="22">
        <v>1290584</v>
      </c>
      <c r="E33" s="22">
        <v>1309355</v>
      </c>
      <c r="F33" s="9"/>
      <c r="G33" s="56" t="s">
        <v>27</v>
      </c>
      <c r="H33" s="156">
        <v>163221</v>
      </c>
      <c r="I33" s="156">
        <v>105395</v>
      </c>
      <c r="J33" s="156"/>
      <c r="K33" s="156">
        <v>251569</v>
      </c>
    </row>
    <row r="34" spans="1:11" ht="15.75">
      <c r="A34" s="4" t="s">
        <v>24</v>
      </c>
      <c r="B34" s="22">
        <v>-372990</v>
      </c>
      <c r="C34" s="22">
        <v>-74750</v>
      </c>
      <c r="D34" s="22">
        <v>-74748</v>
      </c>
      <c r="E34" s="22">
        <v>-3460969</v>
      </c>
      <c r="F34" s="9"/>
      <c r="G34" s="5" t="s">
        <v>28</v>
      </c>
      <c r="H34" s="156">
        <f>SUM(H22:H33)</f>
        <v>533428</v>
      </c>
      <c r="I34" s="156">
        <f>SUM(I22:I33)</f>
        <v>-1108472</v>
      </c>
      <c r="J34" s="156">
        <f>SUM(J22:J33)</f>
        <v>-11668030</v>
      </c>
      <c r="K34" s="156">
        <f>SUM(K22:K33)</f>
        <v>-13978121</v>
      </c>
    </row>
    <row r="35" spans="1:11">
      <c r="A35" s="4" t="s">
        <v>65</v>
      </c>
      <c r="B35" s="22">
        <v>-270272</v>
      </c>
      <c r="C35" s="22">
        <v>-597203</v>
      </c>
      <c r="D35" s="22">
        <v>842613</v>
      </c>
      <c r="E35" s="22">
        <v>-3891130</v>
      </c>
      <c r="F35" s="9"/>
      <c r="G35" s="56"/>
      <c r="H35" s="156"/>
      <c r="I35" s="156"/>
      <c r="J35" s="156"/>
      <c r="K35" s="156"/>
    </row>
    <row r="36" spans="1:11" ht="15.75">
      <c r="A36" s="4" t="s">
        <v>25</v>
      </c>
      <c r="B36" s="22">
        <v>-18547772</v>
      </c>
      <c r="C36" s="22">
        <v>-16834134</v>
      </c>
      <c r="D36" s="22">
        <v>-21914928</v>
      </c>
      <c r="E36" s="22">
        <v>-16260891</v>
      </c>
      <c r="F36" s="9"/>
      <c r="G36" s="5" t="s">
        <v>14</v>
      </c>
      <c r="H36" s="156"/>
      <c r="I36" s="156"/>
      <c r="J36" s="156"/>
      <c r="K36" s="156"/>
    </row>
    <row r="37" spans="1:11">
      <c r="A37" s="4" t="s">
        <v>26</v>
      </c>
      <c r="B37" s="22">
        <f>-270272-B35</f>
        <v>0</v>
      </c>
      <c r="C37" s="22">
        <f>-597203-C35</f>
        <v>0</v>
      </c>
      <c r="D37" s="22">
        <f>842613-D35</f>
        <v>0</v>
      </c>
      <c r="E37" s="22">
        <f>-3891130-E35</f>
        <v>0</v>
      </c>
      <c r="F37" s="9"/>
      <c r="G37" s="1" t="s">
        <v>29</v>
      </c>
      <c r="H37" s="156"/>
      <c r="I37" s="156"/>
      <c r="J37" s="156"/>
      <c r="K37" s="156"/>
    </row>
    <row r="38" spans="1:11">
      <c r="A38" s="4" t="s">
        <v>27</v>
      </c>
      <c r="B38" s="22">
        <v>163221</v>
      </c>
      <c r="C38" s="22">
        <v>105395</v>
      </c>
      <c r="D38" s="22"/>
      <c r="E38" s="22">
        <v>251569</v>
      </c>
      <c r="F38" s="9"/>
      <c r="G38" s="4" t="s">
        <v>30</v>
      </c>
      <c r="H38" s="156">
        <v>31250</v>
      </c>
      <c r="I38" s="156">
        <v>8069</v>
      </c>
      <c r="J38" s="156">
        <v>8099000</v>
      </c>
      <c r="K38" s="156">
        <v>8099000</v>
      </c>
    </row>
    <row r="39" spans="1:11" ht="15.75">
      <c r="A39" s="5" t="s">
        <v>28</v>
      </c>
      <c r="B39" s="22">
        <f>SUM(B26:B38)</f>
        <v>533428</v>
      </c>
      <c r="C39" s="22">
        <f>SUM(C26:C38)</f>
        <v>-1108472</v>
      </c>
      <c r="D39" s="22">
        <f>SUM(D26:D38)</f>
        <v>-11668030</v>
      </c>
      <c r="E39" s="22">
        <f>SUM(E26:E38)</f>
        <v>-13978121</v>
      </c>
      <c r="F39" s="9"/>
      <c r="G39" s="4" t="s">
        <v>31</v>
      </c>
      <c r="H39" s="156">
        <v>21939</v>
      </c>
      <c r="I39" s="156">
        <v>22395</v>
      </c>
      <c r="J39" s="156">
        <v>420757</v>
      </c>
      <c r="K39" s="156">
        <v>1141195</v>
      </c>
    </row>
    <row r="40" spans="1:11">
      <c r="A40" s="4"/>
      <c r="B40" s="22"/>
      <c r="C40" s="22"/>
      <c r="D40" s="22"/>
      <c r="E40" s="22"/>
      <c r="F40" s="9"/>
      <c r="G40" s="4" t="s">
        <v>32</v>
      </c>
      <c r="H40" s="156">
        <v>213912</v>
      </c>
      <c r="I40" s="156">
        <v>201207</v>
      </c>
      <c r="J40" s="156">
        <v>4718495</v>
      </c>
      <c r="K40" s="156">
        <v>4979282</v>
      </c>
    </row>
    <row r="41" spans="1:11" ht="15.75">
      <c r="A41" s="5" t="s">
        <v>14</v>
      </c>
      <c r="B41" s="22"/>
      <c r="C41" s="22"/>
      <c r="D41" s="22"/>
      <c r="E41" s="22"/>
      <c r="F41" s="9"/>
      <c r="G41" s="4"/>
      <c r="H41" s="156">
        <f>SUM(H38:H40)</f>
        <v>267101</v>
      </c>
      <c r="I41" s="156">
        <f>SUM(I38:I40)</f>
        <v>231671</v>
      </c>
      <c r="J41" s="156">
        <f>SUM(J38:J40)</f>
        <v>13238252</v>
      </c>
      <c r="K41" s="156">
        <f>SUM(K38:K40)</f>
        <v>14219477</v>
      </c>
    </row>
    <row r="42" spans="1:11">
      <c r="A42" s="1" t="s">
        <v>29</v>
      </c>
      <c r="B42" s="22"/>
      <c r="C42" s="22"/>
      <c r="D42" s="22"/>
      <c r="E42" s="22"/>
      <c r="F42" s="9"/>
      <c r="G42" s="1" t="s">
        <v>33</v>
      </c>
      <c r="H42" s="156"/>
      <c r="I42" s="156"/>
      <c r="J42" s="156"/>
      <c r="K42" s="156"/>
    </row>
    <row r="43" spans="1:11">
      <c r="A43" s="4" t="s">
        <v>30</v>
      </c>
      <c r="B43" s="22">
        <v>31250</v>
      </c>
      <c r="C43" s="22">
        <v>8069</v>
      </c>
      <c r="D43" s="22">
        <v>8099000</v>
      </c>
      <c r="E43" s="22">
        <v>8099000</v>
      </c>
      <c r="F43" s="9"/>
      <c r="G43" s="4" t="s">
        <v>34</v>
      </c>
      <c r="H43" s="156">
        <v>6622213</v>
      </c>
      <c r="I43" s="156">
        <v>2915693</v>
      </c>
      <c r="J43" s="156">
        <v>5353793</v>
      </c>
      <c r="K43" s="156">
        <v>3667063</v>
      </c>
    </row>
    <row r="44" spans="1:11">
      <c r="A44" s="4" t="s">
        <v>31</v>
      </c>
      <c r="B44" s="22">
        <v>21939</v>
      </c>
      <c r="C44" s="22">
        <v>22395</v>
      </c>
      <c r="D44" s="22">
        <v>420757</v>
      </c>
      <c r="E44" s="22">
        <v>1141195</v>
      </c>
      <c r="F44" s="9"/>
      <c r="G44" s="4" t="s">
        <v>30</v>
      </c>
      <c r="H44" s="156">
        <v>12676170</v>
      </c>
      <c r="I44" s="156">
        <v>13900530</v>
      </c>
      <c r="J44" s="156">
        <v>13020783</v>
      </c>
      <c r="K44" s="156">
        <v>12571955</v>
      </c>
    </row>
    <row r="45" spans="1:11">
      <c r="A45" s="4" t="s">
        <v>32</v>
      </c>
      <c r="B45" s="22">
        <v>213912</v>
      </c>
      <c r="C45" s="22">
        <v>201207</v>
      </c>
      <c r="D45" s="22">
        <v>4718495</v>
      </c>
      <c r="E45" s="22">
        <v>4979282</v>
      </c>
      <c r="F45" s="9"/>
      <c r="G45" s="4" t="s">
        <v>35</v>
      </c>
      <c r="H45" s="156">
        <v>5884251</v>
      </c>
      <c r="I45" s="156">
        <v>6186920</v>
      </c>
      <c r="J45" s="156">
        <v>5845694</v>
      </c>
      <c r="K45" s="156">
        <v>6496665</v>
      </c>
    </row>
    <row r="46" spans="1:11">
      <c r="A46" s="4" t="s">
        <v>61</v>
      </c>
      <c r="B46" s="22">
        <f>3000000/2</f>
        <v>1500000</v>
      </c>
      <c r="C46" s="22">
        <f>904493-C50</f>
        <v>56980</v>
      </c>
      <c r="D46" s="22"/>
      <c r="E46" s="22">
        <f>654893-E50</f>
        <v>642716</v>
      </c>
      <c r="F46" s="9"/>
      <c r="G46" s="4" t="s">
        <v>36</v>
      </c>
      <c r="H46" s="156">
        <v>262979</v>
      </c>
      <c r="I46" s="156">
        <v>124302</v>
      </c>
      <c r="J46" s="156">
        <v>43539</v>
      </c>
      <c r="K46" s="156">
        <v>484923</v>
      </c>
    </row>
    <row r="47" spans="1:11">
      <c r="A47" s="4"/>
      <c r="B47" s="22">
        <f>SUM(B43:B45)</f>
        <v>267101</v>
      </c>
      <c r="C47" s="22">
        <f>SUM(C43:C45)</f>
        <v>231671</v>
      </c>
      <c r="D47" s="22">
        <f>SUM(D43:D45)</f>
        <v>13238252</v>
      </c>
      <c r="E47" s="22">
        <f>SUM(E43:E45)</f>
        <v>14219477</v>
      </c>
      <c r="F47" s="9"/>
      <c r="G47" s="4" t="s">
        <v>32</v>
      </c>
      <c r="H47" s="156">
        <v>41528</v>
      </c>
      <c r="I47" s="156">
        <v>3052536</v>
      </c>
      <c r="J47" s="156">
        <v>476189</v>
      </c>
      <c r="K47" s="156">
        <v>465581</v>
      </c>
    </row>
    <row r="48" spans="1:11">
      <c r="A48" s="1" t="s">
        <v>33</v>
      </c>
      <c r="B48" s="22"/>
      <c r="C48" s="22"/>
      <c r="D48" s="22"/>
      <c r="E48" s="22"/>
      <c r="F48" s="9"/>
      <c r="G48" s="56"/>
      <c r="H48" s="156">
        <f>SUM(H43:H47)</f>
        <v>25487141</v>
      </c>
      <c r="I48" s="156">
        <f>SUM(I43:I47)</f>
        <v>26179981</v>
      </c>
      <c r="J48" s="156">
        <f>SUM(J43:J47)</f>
        <v>24739998</v>
      </c>
      <c r="K48" s="156">
        <f>SUM(K43:K47)</f>
        <v>23686187</v>
      </c>
    </row>
    <row r="49" spans="1:20">
      <c r="A49" s="4" t="s">
        <v>34</v>
      </c>
      <c r="B49" s="22">
        <f>6622213-B50</f>
        <v>5122213</v>
      </c>
      <c r="C49" s="22">
        <f>2915693-C50</f>
        <v>2068180</v>
      </c>
      <c r="D49" s="22">
        <v>5353793</v>
      </c>
      <c r="E49" s="22">
        <f>3667063-E50</f>
        <v>3654886</v>
      </c>
      <c r="F49" s="9"/>
      <c r="G49" s="1" t="s">
        <v>3</v>
      </c>
      <c r="H49" s="156">
        <f>H41+H48</f>
        <v>25754242</v>
      </c>
      <c r="I49" s="156">
        <f>I41+I48</f>
        <v>26411652</v>
      </c>
      <c r="J49" s="156">
        <f>J41+J48</f>
        <v>37978250</v>
      </c>
      <c r="K49" s="156">
        <f>K41+K48</f>
        <v>37905664</v>
      </c>
    </row>
    <row r="50" spans="1:20" ht="16.5" thickBot="1">
      <c r="A50" s="4" t="s">
        <v>61</v>
      </c>
      <c r="B50" s="22">
        <f>3000000-B46</f>
        <v>1500000</v>
      </c>
      <c r="C50" s="22">
        <f>904493-56980</f>
        <v>847513</v>
      </c>
      <c r="D50" s="22"/>
      <c r="E50" s="22">
        <f>667070-654893</f>
        <v>12177</v>
      </c>
      <c r="F50" s="9"/>
      <c r="G50" s="6" t="s">
        <v>37</v>
      </c>
      <c r="H50" s="157">
        <f>H34+H49</f>
        <v>26287670</v>
      </c>
      <c r="I50" s="157">
        <f>I34+I49</f>
        <v>25303180</v>
      </c>
      <c r="J50" s="157">
        <f>J34+J49</f>
        <v>26310220</v>
      </c>
      <c r="K50" s="157">
        <f>K34+K49</f>
        <v>23927543</v>
      </c>
    </row>
    <row r="51" spans="1:20">
      <c r="A51" s="4" t="s">
        <v>30</v>
      </c>
      <c r="B51" s="22">
        <v>12676170</v>
      </c>
      <c r="C51" s="22">
        <v>13900530</v>
      </c>
      <c r="D51" s="22">
        <v>13020783</v>
      </c>
      <c r="E51" s="22">
        <v>12571955</v>
      </c>
      <c r="F51" s="9"/>
      <c r="G51" s="9"/>
    </row>
    <row r="52" spans="1:20">
      <c r="A52" s="4" t="s">
        <v>35</v>
      </c>
      <c r="B52" s="22">
        <v>5884251</v>
      </c>
      <c r="C52" s="22">
        <v>6186920</v>
      </c>
      <c r="D52" s="22">
        <v>5845694</v>
      </c>
      <c r="E52" s="22">
        <v>6496665</v>
      </c>
      <c r="F52" s="9"/>
      <c r="G52" s="9"/>
    </row>
    <row r="53" spans="1:20">
      <c r="A53" s="4" t="s">
        <v>36</v>
      </c>
      <c r="B53" s="22">
        <v>262979</v>
      </c>
      <c r="C53" s="22">
        <v>124302</v>
      </c>
      <c r="D53" s="22">
        <v>43539</v>
      </c>
      <c r="E53" s="22">
        <v>484923</v>
      </c>
      <c r="F53" s="9"/>
      <c r="G53" s="9"/>
    </row>
    <row r="54" spans="1:20">
      <c r="A54" s="4" t="s">
        <v>32</v>
      </c>
      <c r="B54" s="22">
        <v>41528</v>
      </c>
      <c r="C54" s="22">
        <v>3052536</v>
      </c>
      <c r="D54" s="22">
        <v>476189</v>
      </c>
      <c r="E54" s="22">
        <v>465581</v>
      </c>
      <c r="F54" s="9"/>
      <c r="G54" s="9"/>
    </row>
    <row r="55" spans="1:20">
      <c r="A55" s="4"/>
      <c r="B55" s="22">
        <f>SUM(B49:B54)</f>
        <v>25487141</v>
      </c>
      <c r="C55" s="22">
        <f>SUM(C49:C54)</f>
        <v>26179981</v>
      </c>
      <c r="D55" s="22">
        <f>SUM(D49:D54)</f>
        <v>24739998</v>
      </c>
      <c r="E55" s="22">
        <f>SUM(E49:E54)</f>
        <v>23686187</v>
      </c>
      <c r="F55" s="9"/>
      <c r="G55" s="9"/>
    </row>
    <row r="56" spans="1:20">
      <c r="A56" s="1" t="s">
        <v>3</v>
      </c>
      <c r="B56" s="22">
        <f>B47+B55</f>
        <v>25754242</v>
      </c>
      <c r="C56" s="22">
        <f>C47+C55</f>
        <v>26411652</v>
      </c>
      <c r="D56" s="22">
        <f>D47+D55</f>
        <v>37978250</v>
      </c>
      <c r="E56" s="22">
        <f>E47+E55</f>
        <v>37905664</v>
      </c>
      <c r="F56" s="9"/>
      <c r="G56" s="9"/>
    </row>
    <row r="57" spans="1:20" ht="16.5" thickBot="1">
      <c r="A57" s="6" t="s">
        <v>37</v>
      </c>
      <c r="B57" s="23">
        <f>B39+B56</f>
        <v>26287670</v>
      </c>
      <c r="C57" s="23">
        <f>C39+C56</f>
        <v>25303180</v>
      </c>
      <c r="D57" s="23">
        <f>D39+D56</f>
        <v>26310220</v>
      </c>
      <c r="E57" s="23">
        <f>E39+E56</f>
        <v>23927543</v>
      </c>
      <c r="F57" s="9"/>
      <c r="G57" s="9"/>
    </row>
    <row r="58" spans="1:20">
      <c r="A58" s="9"/>
      <c r="B58" s="9"/>
      <c r="C58" s="9"/>
      <c r="D58" s="9"/>
      <c r="E58" s="9"/>
      <c r="F58" s="9"/>
      <c r="G58" s="9"/>
    </row>
    <row r="59" spans="1:20" ht="26.25">
      <c r="A59" s="127" t="s">
        <v>41</v>
      </c>
      <c r="B59" s="127"/>
      <c r="C59" s="127"/>
      <c r="D59" s="127"/>
      <c r="E59" s="127"/>
      <c r="F59" s="9"/>
      <c r="G59" s="60" t="s">
        <v>171</v>
      </c>
      <c r="H59" s="61"/>
      <c r="I59" s="61"/>
      <c r="J59" s="61"/>
      <c r="K59" s="61"/>
      <c r="N59" s="119" t="s">
        <v>206</v>
      </c>
      <c r="O59" s="120"/>
      <c r="P59" s="120"/>
      <c r="Q59" s="121"/>
      <c r="R59" s="116" t="s">
        <v>207</v>
      </c>
      <c r="S59" s="117"/>
      <c r="T59" s="118"/>
    </row>
    <row r="60" spans="1:20" ht="15.75" thickBot="1">
      <c r="A60" s="9"/>
      <c r="B60" s="9"/>
      <c r="C60" s="9"/>
      <c r="D60" s="9"/>
      <c r="E60" s="9"/>
      <c r="F60" s="9"/>
      <c r="G60" s="96" t="s">
        <v>39</v>
      </c>
      <c r="H60" s="97">
        <v>2009</v>
      </c>
      <c r="I60" s="97">
        <v>2008</v>
      </c>
      <c r="J60" s="97">
        <v>2007</v>
      </c>
      <c r="K60" s="98">
        <v>2006</v>
      </c>
      <c r="N60" s="83">
        <v>2009</v>
      </c>
      <c r="O60" s="84">
        <v>2008</v>
      </c>
      <c r="P60" s="84">
        <v>2007</v>
      </c>
      <c r="Q60" s="85">
        <v>2006</v>
      </c>
      <c r="R60" s="83" t="s">
        <v>208</v>
      </c>
      <c r="S60" s="84" t="s">
        <v>209</v>
      </c>
      <c r="T60" s="86" t="s">
        <v>210</v>
      </c>
    </row>
    <row r="61" spans="1:20" s="8" customFormat="1">
      <c r="A61" s="17" t="s">
        <v>39</v>
      </c>
      <c r="B61" s="18">
        <v>2009</v>
      </c>
      <c r="C61" s="18">
        <v>2008</v>
      </c>
      <c r="D61" s="18">
        <v>2007</v>
      </c>
      <c r="E61" s="18">
        <v>2006</v>
      </c>
      <c r="G61" s="68" t="s">
        <v>172</v>
      </c>
      <c r="H61" s="87">
        <v>17241376</v>
      </c>
      <c r="I61" s="87">
        <v>11589647</v>
      </c>
      <c r="J61" s="87">
        <v>5669135</v>
      </c>
      <c r="K61" s="88">
        <v>4653821</v>
      </c>
      <c r="N61" s="73">
        <f>H61/$H$66</f>
        <v>0.57241885099738676</v>
      </c>
      <c r="O61" s="73">
        <f>I61/$H$66</f>
        <v>0.38477975419162086</v>
      </c>
      <c r="P61" s="73">
        <f t="shared" ref="P61:Q76" si="0">J61/$H$66</f>
        <v>0.18821698122290648</v>
      </c>
      <c r="Q61" s="73">
        <f t="shared" si="0"/>
        <v>0.15450825210049995</v>
      </c>
      <c r="R61" s="75">
        <f>IFERROR(((H61/I61)-1),"0,00%")</f>
        <v>0.48765324776500951</v>
      </c>
      <c r="S61" s="76">
        <f>IFERROR(((J61/I61)-1),"0,00%")</f>
        <v>-0.51084489458565907</v>
      </c>
      <c r="T61" s="77">
        <f>IFERROR(((K61/J61)-1),"0,00%")</f>
        <v>-0.17909504712800106</v>
      </c>
    </row>
    <row r="62" spans="1:20">
      <c r="A62" s="13" t="s">
        <v>40</v>
      </c>
      <c r="B62" s="19"/>
      <c r="C62" s="19"/>
      <c r="D62" s="19"/>
      <c r="E62" s="19"/>
      <c r="F62" s="9"/>
      <c r="G62" s="68" t="s">
        <v>173</v>
      </c>
      <c r="H62" s="87">
        <v>12878834</v>
      </c>
      <c r="I62" s="87">
        <v>8786179</v>
      </c>
      <c r="J62" s="87">
        <v>6858067</v>
      </c>
      <c r="K62" s="88">
        <v>9297903</v>
      </c>
      <c r="N62" s="73">
        <f t="shared" ref="N62:N94" si="1">H62/$H$66</f>
        <v>0.42758114900261318</v>
      </c>
      <c r="O62" s="73">
        <f t="shared" ref="O62:Q94" si="2">I62/$H$66</f>
        <v>0.29170377630169247</v>
      </c>
      <c r="P62" s="73">
        <f t="shared" si="0"/>
        <v>0.22768987998423651</v>
      </c>
      <c r="Q62" s="73">
        <f t="shared" si="0"/>
        <v>0.30869316648190698</v>
      </c>
      <c r="R62" s="75">
        <f t="shared" ref="R62:R94" si="3">IFERROR(((H62/I62)-1),"0,00%")</f>
        <v>0.46580601191940207</v>
      </c>
      <c r="S62" s="76">
        <f t="shared" ref="S62:S94" si="4">IFERROR(((J62/I62)-1),"0,00%")</f>
        <v>-0.21944829487311834</v>
      </c>
      <c r="T62" s="77">
        <f t="shared" ref="T62:T94" si="5">IFERROR(((K62/J62)-1),"0,00%")</f>
        <v>0.35576147039683348</v>
      </c>
    </row>
    <row r="63" spans="1:20">
      <c r="A63" s="13" t="s">
        <v>45</v>
      </c>
      <c r="B63" s="14">
        <v>30120210</v>
      </c>
      <c r="C63" s="14">
        <v>20375826</v>
      </c>
      <c r="D63" s="14">
        <v>12527202</v>
      </c>
      <c r="E63" s="14">
        <v>13951724</v>
      </c>
      <c r="F63" s="9"/>
      <c r="G63" s="68" t="s">
        <v>174</v>
      </c>
      <c r="H63" s="87"/>
      <c r="I63" s="87"/>
      <c r="J63" s="10"/>
      <c r="K63" s="69"/>
      <c r="N63" s="73">
        <f t="shared" si="1"/>
        <v>0</v>
      </c>
      <c r="O63" s="73">
        <f t="shared" si="2"/>
        <v>0</v>
      </c>
      <c r="P63" s="73">
        <f t="shared" si="0"/>
        <v>0</v>
      </c>
      <c r="Q63" s="73">
        <f t="shared" si="0"/>
        <v>0</v>
      </c>
      <c r="R63" s="75" t="str">
        <f t="shared" si="3"/>
        <v>0,00%</v>
      </c>
      <c r="S63" s="76" t="str">
        <f t="shared" si="4"/>
        <v>0,00%</v>
      </c>
      <c r="T63" s="77" t="str">
        <f t="shared" si="5"/>
        <v>0,00%</v>
      </c>
    </row>
    <row r="64" spans="1:20">
      <c r="A64" s="13" t="s">
        <v>42</v>
      </c>
      <c r="B64" s="14"/>
      <c r="C64" s="14"/>
      <c r="D64" s="14">
        <v>21949</v>
      </c>
      <c r="E64" s="14">
        <v>334307</v>
      </c>
      <c r="F64" s="9"/>
      <c r="G64" s="68" t="s">
        <v>175</v>
      </c>
      <c r="H64" s="87"/>
      <c r="I64" s="87"/>
      <c r="J64" s="87">
        <f>D64</f>
        <v>21949</v>
      </c>
      <c r="K64" s="88">
        <f>E64</f>
        <v>334307</v>
      </c>
      <c r="N64" s="73">
        <f t="shared" si="1"/>
        <v>0</v>
      </c>
      <c r="O64" s="73">
        <f t="shared" si="2"/>
        <v>0</v>
      </c>
      <c r="P64" s="73">
        <f t="shared" si="0"/>
        <v>7.2871337882438405E-4</v>
      </c>
      <c r="Q64" s="73">
        <f t="shared" si="0"/>
        <v>1.1099092602608017E-2</v>
      </c>
      <c r="R64" s="75" t="str">
        <f t="shared" si="3"/>
        <v>0,00%</v>
      </c>
      <c r="S64" s="76" t="str">
        <f t="shared" si="4"/>
        <v>0,00%</v>
      </c>
      <c r="T64" s="77">
        <f t="shared" si="5"/>
        <v>14.231081142648868</v>
      </c>
    </row>
    <row r="65" spans="1:20">
      <c r="A65" s="13" t="s">
        <v>46</v>
      </c>
      <c r="B65" s="14">
        <v>15362721</v>
      </c>
      <c r="C65" s="14">
        <v>10141430</v>
      </c>
      <c r="D65" s="14">
        <v>4509152</v>
      </c>
      <c r="E65" s="14">
        <v>4176103</v>
      </c>
      <c r="F65" s="9"/>
      <c r="G65" s="68" t="s">
        <v>176</v>
      </c>
      <c r="H65" s="87"/>
      <c r="I65" s="87"/>
      <c r="J65" s="87"/>
      <c r="K65" s="88"/>
      <c r="N65" s="73">
        <f t="shared" si="1"/>
        <v>0</v>
      </c>
      <c r="O65" s="73">
        <f t="shared" si="2"/>
        <v>0</v>
      </c>
      <c r="P65" s="73">
        <f t="shared" si="0"/>
        <v>0</v>
      </c>
      <c r="Q65" s="73">
        <f t="shared" si="0"/>
        <v>0</v>
      </c>
      <c r="R65" s="75" t="str">
        <f t="shared" si="3"/>
        <v>0,00%</v>
      </c>
      <c r="S65" s="76" t="str">
        <f t="shared" si="4"/>
        <v>0,00%</v>
      </c>
      <c r="T65" s="77" t="str">
        <f t="shared" si="5"/>
        <v>0,00%</v>
      </c>
    </row>
    <row r="66" spans="1:20">
      <c r="A66" s="13" t="s">
        <v>43</v>
      </c>
      <c r="B66" s="14">
        <v>5483679</v>
      </c>
      <c r="C66" s="14">
        <v>3159985</v>
      </c>
      <c r="D66" s="14">
        <v>2921625</v>
      </c>
      <c r="E66" s="14">
        <v>5198521</v>
      </c>
      <c r="F66" s="9"/>
      <c r="G66" s="67" t="s">
        <v>177</v>
      </c>
      <c r="H66" s="87">
        <f>SUM(H61:H65)</f>
        <v>30120210</v>
      </c>
      <c r="I66" s="87">
        <f t="shared" ref="I66:K66" si="6">SUM(I61:I65)</f>
        <v>20375826</v>
      </c>
      <c r="J66" s="87">
        <f t="shared" si="6"/>
        <v>12549151</v>
      </c>
      <c r="K66" s="88">
        <f t="shared" si="6"/>
        <v>14286031</v>
      </c>
      <c r="N66" s="73">
        <f t="shared" si="1"/>
        <v>1</v>
      </c>
      <c r="O66" s="73">
        <f t="shared" si="2"/>
        <v>0.67648353049331333</v>
      </c>
      <c r="P66" s="73">
        <f t="shared" si="0"/>
        <v>0.41663557458596734</v>
      </c>
      <c r="Q66" s="73">
        <f t="shared" si="0"/>
        <v>0.47430051118501498</v>
      </c>
      <c r="R66" s="75">
        <f t="shared" si="3"/>
        <v>0.47823258796968515</v>
      </c>
      <c r="S66" s="76">
        <f t="shared" si="4"/>
        <v>-0.38411571633954866</v>
      </c>
      <c r="T66" s="77">
        <f t="shared" si="5"/>
        <v>0.13840617584408688</v>
      </c>
    </row>
    <row r="67" spans="1:20">
      <c r="A67" s="13" t="s">
        <v>47</v>
      </c>
      <c r="B67" s="14">
        <v>7458601</v>
      </c>
      <c r="C67" s="14">
        <v>5430227</v>
      </c>
      <c r="D67" s="14">
        <v>4716242</v>
      </c>
      <c r="E67" s="14">
        <v>5401192</v>
      </c>
      <c r="F67" s="9"/>
      <c r="G67" s="68" t="s">
        <v>178</v>
      </c>
      <c r="H67" s="89">
        <f>B65</f>
        <v>15362721</v>
      </c>
      <c r="I67" s="89">
        <f t="shared" ref="I67:K67" si="7">C65</f>
        <v>10141430</v>
      </c>
      <c r="J67" s="89">
        <f t="shared" si="7"/>
        <v>4509152</v>
      </c>
      <c r="K67" s="90">
        <f t="shared" si="7"/>
        <v>4176103</v>
      </c>
      <c r="N67" s="73">
        <f t="shared" si="1"/>
        <v>0.51004694190379152</v>
      </c>
      <c r="O67" s="73">
        <f t="shared" si="2"/>
        <v>0.33669851571419984</v>
      </c>
      <c r="P67" s="73">
        <f t="shared" si="0"/>
        <v>0.14970519793852699</v>
      </c>
      <c r="Q67" s="73">
        <f t="shared" si="0"/>
        <v>0.1386478713129822</v>
      </c>
      <c r="R67" s="75">
        <f t="shared" si="3"/>
        <v>0.51484761024825887</v>
      </c>
      <c r="S67" s="76">
        <f t="shared" si="4"/>
        <v>-0.55537315743440518</v>
      </c>
      <c r="T67" s="77">
        <f t="shared" si="5"/>
        <v>-7.3860672694111895E-2</v>
      </c>
    </row>
    <row r="68" spans="1:20">
      <c r="A68" s="13" t="s">
        <v>44</v>
      </c>
      <c r="B68" s="14"/>
      <c r="C68" s="14"/>
      <c r="D68" s="14"/>
      <c r="E68" s="14">
        <v>172522</v>
      </c>
      <c r="F68" s="9"/>
      <c r="G68" s="68" t="s">
        <v>179</v>
      </c>
      <c r="H68" s="87">
        <f>B66</f>
        <v>5483679</v>
      </c>
      <c r="I68" s="87">
        <f t="shared" ref="I68:K68" si="8">C66</f>
        <v>3159985</v>
      </c>
      <c r="J68" s="87">
        <f t="shared" si="8"/>
        <v>2921625</v>
      </c>
      <c r="K68" s="88">
        <f t="shared" si="8"/>
        <v>5198521</v>
      </c>
      <c r="N68" s="73">
        <f t="shared" si="1"/>
        <v>0.18205978643575194</v>
      </c>
      <c r="O68" s="73">
        <f t="shared" si="2"/>
        <v>0.10491244914959093</v>
      </c>
      <c r="P68" s="73">
        <f t="shared" si="0"/>
        <v>9.6998825705398473E-2</v>
      </c>
      <c r="Q68" s="73">
        <f t="shared" si="0"/>
        <v>0.17259245536468704</v>
      </c>
      <c r="R68" s="75">
        <f t="shared" si="3"/>
        <v>0.73534969311563181</v>
      </c>
      <c r="S68" s="76">
        <f t="shared" si="4"/>
        <v>-7.5430737804135117E-2</v>
      </c>
      <c r="T68" s="77">
        <f t="shared" si="5"/>
        <v>0.77932520429555474</v>
      </c>
    </row>
    <row r="69" spans="1:20" ht="15.75" customHeight="1">
      <c r="A69" s="13" t="s">
        <v>56</v>
      </c>
      <c r="B69" s="14">
        <v>114194</v>
      </c>
      <c r="C69" s="14">
        <v>1698</v>
      </c>
      <c r="D69" s="14">
        <v>929790</v>
      </c>
      <c r="E69" s="14">
        <v>730223</v>
      </c>
      <c r="F69" s="9"/>
      <c r="G69" s="68" t="s">
        <v>180</v>
      </c>
      <c r="H69" s="87"/>
      <c r="I69" s="87"/>
      <c r="J69" s="87"/>
      <c r="K69" s="88"/>
      <c r="N69" s="73">
        <f t="shared" si="1"/>
        <v>0</v>
      </c>
      <c r="O69" s="73">
        <f t="shared" si="2"/>
        <v>0</v>
      </c>
      <c r="P69" s="73">
        <f t="shared" si="0"/>
        <v>0</v>
      </c>
      <c r="Q69" s="73">
        <f t="shared" si="0"/>
        <v>0</v>
      </c>
      <c r="R69" s="75" t="str">
        <f t="shared" si="3"/>
        <v>0,00%</v>
      </c>
      <c r="S69" s="76" t="str">
        <f t="shared" si="4"/>
        <v>0,00%</v>
      </c>
      <c r="T69" s="77" t="str">
        <f t="shared" si="5"/>
        <v>0,00%</v>
      </c>
    </row>
    <row r="70" spans="1:20">
      <c r="A70" s="13" t="s">
        <v>57</v>
      </c>
      <c r="B70" s="14">
        <v>669614</v>
      </c>
      <c r="C70" s="14">
        <v>632266</v>
      </c>
      <c r="D70" s="14">
        <v>212946</v>
      </c>
      <c r="E70" s="14">
        <v>1478508</v>
      </c>
      <c r="F70" s="24"/>
      <c r="G70" s="68" t="s">
        <v>181</v>
      </c>
      <c r="H70" s="87"/>
      <c r="I70" s="87"/>
      <c r="J70" s="87"/>
      <c r="K70" s="88"/>
      <c r="N70" s="73">
        <f t="shared" si="1"/>
        <v>0</v>
      </c>
      <c r="O70" s="73">
        <f t="shared" si="2"/>
        <v>0</v>
      </c>
      <c r="P70" s="73">
        <f t="shared" si="0"/>
        <v>0</v>
      </c>
      <c r="Q70" s="73">
        <f t="shared" si="0"/>
        <v>0</v>
      </c>
      <c r="R70" s="75" t="str">
        <f t="shared" si="3"/>
        <v>0,00%</v>
      </c>
      <c r="S70" s="76" t="str">
        <f t="shared" si="4"/>
        <v>0,00%</v>
      </c>
      <c r="T70" s="77" t="str">
        <f t="shared" si="5"/>
        <v>0,00%</v>
      </c>
    </row>
    <row r="71" spans="1:20">
      <c r="A71" s="13" t="s">
        <v>58</v>
      </c>
      <c r="B71" s="14">
        <v>28048</v>
      </c>
      <c r="C71" s="14">
        <v>83189</v>
      </c>
      <c r="D71" s="14">
        <v>61807</v>
      </c>
      <c r="E71" s="14">
        <v>56006</v>
      </c>
      <c r="F71" s="24"/>
      <c r="G71" s="67" t="s">
        <v>182</v>
      </c>
      <c r="H71" s="87">
        <f>H66-H67-H68</f>
        <v>9273810</v>
      </c>
      <c r="I71" s="87">
        <f t="shared" ref="I71:K71" si="9">I66-I67-I68</f>
        <v>7074411</v>
      </c>
      <c r="J71" s="87">
        <f t="shared" si="9"/>
        <v>5118374</v>
      </c>
      <c r="K71" s="88">
        <f t="shared" si="9"/>
        <v>4911407</v>
      </c>
      <c r="N71" s="73">
        <f t="shared" si="1"/>
        <v>0.30789327166045655</v>
      </c>
      <c r="O71" s="73">
        <f t="shared" si="2"/>
        <v>0.2348725656295225</v>
      </c>
      <c r="P71" s="73">
        <f t="shared" si="0"/>
        <v>0.1699315509420419</v>
      </c>
      <c r="Q71" s="73">
        <f t="shared" si="0"/>
        <v>0.16306018450734575</v>
      </c>
      <c r="R71" s="75">
        <f t="shared" si="3"/>
        <v>0.31089499889107386</v>
      </c>
      <c r="S71" s="76">
        <f t="shared" si="4"/>
        <v>-0.27649467920368209</v>
      </c>
      <c r="T71" s="77">
        <f t="shared" si="5"/>
        <v>-4.0436083803176537E-2</v>
      </c>
    </row>
    <row r="72" spans="1:20">
      <c r="A72" s="13" t="s">
        <v>59</v>
      </c>
      <c r="B72" s="14">
        <v>683029</v>
      </c>
      <c r="C72" s="14">
        <v>428976</v>
      </c>
      <c r="D72" s="14">
        <v>518666</v>
      </c>
      <c r="E72" s="14">
        <v>2263012</v>
      </c>
      <c r="F72" s="9"/>
      <c r="G72" s="68" t="s">
        <v>183</v>
      </c>
      <c r="H72" s="87"/>
      <c r="I72" s="87"/>
      <c r="J72" s="87"/>
      <c r="K72" s="88"/>
      <c r="N72" s="73">
        <f t="shared" si="1"/>
        <v>0</v>
      </c>
      <c r="O72" s="73">
        <f t="shared" si="2"/>
        <v>0</v>
      </c>
      <c r="P72" s="73">
        <f t="shared" si="0"/>
        <v>0</v>
      </c>
      <c r="Q72" s="73">
        <f t="shared" si="0"/>
        <v>0</v>
      </c>
      <c r="R72" s="75" t="str">
        <f t="shared" si="3"/>
        <v>0,00%</v>
      </c>
      <c r="S72" s="76" t="str">
        <f t="shared" si="4"/>
        <v>0,00%</v>
      </c>
      <c r="T72" s="77" t="str">
        <f t="shared" si="5"/>
        <v>0,00%</v>
      </c>
    </row>
    <row r="73" spans="1:20">
      <c r="A73" s="13" t="s">
        <v>60</v>
      </c>
      <c r="B73" s="14">
        <v>282943</v>
      </c>
      <c r="C73" s="14">
        <v>162792</v>
      </c>
      <c r="D73" s="14">
        <v>109931</v>
      </c>
      <c r="E73" s="14">
        <v>181151</v>
      </c>
      <c r="F73" s="9"/>
      <c r="G73" s="68" t="s">
        <v>184</v>
      </c>
      <c r="H73" s="87">
        <f>B67</f>
        <v>7458601</v>
      </c>
      <c r="I73" s="87">
        <f t="shared" ref="I73:K73" si="10">C67</f>
        <v>5430227</v>
      </c>
      <c r="J73" s="87">
        <f t="shared" si="10"/>
        <v>4716242</v>
      </c>
      <c r="K73" s="88">
        <f t="shared" si="10"/>
        <v>5401192</v>
      </c>
      <c r="N73" s="73">
        <f t="shared" si="1"/>
        <v>0.24762778878367714</v>
      </c>
      <c r="O73" s="73">
        <f t="shared" si="2"/>
        <v>0.18028516401446074</v>
      </c>
      <c r="P73" s="73">
        <f t="shared" si="0"/>
        <v>0.15658064801009022</v>
      </c>
      <c r="Q73" s="73">
        <f t="shared" si="0"/>
        <v>0.17932119331173321</v>
      </c>
      <c r="R73" s="75">
        <f t="shared" si="3"/>
        <v>0.37353392408825625</v>
      </c>
      <c r="S73" s="76">
        <f t="shared" si="4"/>
        <v>-0.13148345363831015</v>
      </c>
      <c r="T73" s="77">
        <f t="shared" si="5"/>
        <v>0.14523215729811989</v>
      </c>
    </row>
    <row r="74" spans="1:20">
      <c r="A74" s="15" t="s">
        <v>48</v>
      </c>
      <c r="B74" s="14">
        <f>B63-B65-B66-B67-B69+B70+B71-B72-B73</f>
        <v>1432705</v>
      </c>
      <c r="C74" s="14">
        <f>C63-C65-C66-C67-C69+C70+C71-C72-C73</f>
        <v>1766173</v>
      </c>
      <c r="D74" s="14">
        <f>D63+D64-D65-D66-D67-D69+D70+D71-D72-D73</f>
        <v>-881502</v>
      </c>
      <c r="E74" s="14">
        <f>E63+E64-E65-E66-E67-E68-E69+E70+E71-E72-E73</f>
        <v>-2302179</v>
      </c>
      <c r="F74" s="9"/>
      <c r="G74" s="68" t="s">
        <v>185</v>
      </c>
      <c r="H74" s="87">
        <f>B72</f>
        <v>683029</v>
      </c>
      <c r="I74" s="87">
        <f t="shared" ref="I74:K74" si="11">C72</f>
        <v>428976</v>
      </c>
      <c r="J74" s="87">
        <f t="shared" si="11"/>
        <v>518666</v>
      </c>
      <c r="K74" s="88">
        <f t="shared" si="11"/>
        <v>2263012</v>
      </c>
      <c r="N74" s="73">
        <f t="shared" si="1"/>
        <v>2.2676767525857223E-2</v>
      </c>
      <c r="O74" s="73">
        <f t="shared" si="2"/>
        <v>1.4242131777965692E-2</v>
      </c>
      <c r="P74" s="73">
        <f t="shared" si="0"/>
        <v>1.7219866660956214E-2</v>
      </c>
      <c r="Q74" s="73">
        <f t="shared" si="0"/>
        <v>7.5132676697805226E-2</v>
      </c>
      <c r="R74" s="75">
        <f t="shared" si="3"/>
        <v>0.59223126701726914</v>
      </c>
      <c r="S74" s="76">
        <f t="shared" si="4"/>
        <v>0.20907929581142071</v>
      </c>
      <c r="T74" s="77">
        <f t="shared" si="5"/>
        <v>3.3631392842407255</v>
      </c>
    </row>
    <row r="75" spans="1:20">
      <c r="A75" s="13" t="s">
        <v>49</v>
      </c>
      <c r="B75" s="14">
        <v>578946</v>
      </c>
      <c r="C75" s="14">
        <v>787421</v>
      </c>
      <c r="D75" s="14">
        <v>891992</v>
      </c>
      <c r="E75" s="14">
        <v>1032707</v>
      </c>
      <c r="F75" s="9"/>
      <c r="G75" s="68" t="s">
        <v>186</v>
      </c>
      <c r="H75" s="87">
        <f>B70</f>
        <v>669614</v>
      </c>
      <c r="I75" s="87">
        <f t="shared" ref="I75:K75" si="12">C70</f>
        <v>632266</v>
      </c>
      <c r="J75" s="87">
        <f t="shared" si="12"/>
        <v>212946</v>
      </c>
      <c r="K75" s="88">
        <f t="shared" si="12"/>
        <v>1478508</v>
      </c>
      <c r="N75" s="73">
        <f t="shared" si="1"/>
        <v>2.2231385504948339E-2</v>
      </c>
      <c r="O75" s="73">
        <f t="shared" si="2"/>
        <v>2.0991420710546174E-2</v>
      </c>
      <c r="P75" s="73">
        <f t="shared" si="0"/>
        <v>7.0698710267956301E-3</v>
      </c>
      <c r="Q75" s="73">
        <f t="shared" si="0"/>
        <v>4.9086908756612257E-2</v>
      </c>
      <c r="R75" s="75">
        <f t="shared" si="3"/>
        <v>5.9070074936814487E-2</v>
      </c>
      <c r="S75" s="76">
        <f t="shared" si="4"/>
        <v>-0.66320188022129933</v>
      </c>
      <c r="T75" s="77">
        <f t="shared" si="5"/>
        <v>5.9431123383392972</v>
      </c>
    </row>
    <row r="76" spans="1:20">
      <c r="A76" s="13" t="s">
        <v>55</v>
      </c>
      <c r="B76" s="14"/>
      <c r="C76" s="14"/>
      <c r="D76" s="14">
        <v>3000000</v>
      </c>
      <c r="E76" s="14">
        <v>730223</v>
      </c>
      <c r="F76" s="9"/>
      <c r="G76" s="67" t="s">
        <v>187</v>
      </c>
      <c r="H76" s="87">
        <f>H71-H73-H74+H75</f>
        <v>1801794</v>
      </c>
      <c r="I76" s="87">
        <f t="shared" ref="I76:K76" si="13">I71-I73-I74+I75</f>
        <v>1847474</v>
      </c>
      <c r="J76" s="87">
        <f t="shared" si="13"/>
        <v>96412</v>
      </c>
      <c r="K76" s="88">
        <f t="shared" si="13"/>
        <v>-1274289</v>
      </c>
      <c r="N76" s="73">
        <f t="shared" si="1"/>
        <v>5.9820100855870528E-2</v>
      </c>
      <c r="O76" s="73">
        <f t="shared" si="2"/>
        <v>6.1336690547642264E-2</v>
      </c>
      <c r="P76" s="73">
        <f t="shared" si="0"/>
        <v>3.2009072977910846E-3</v>
      </c>
      <c r="Q76" s="73">
        <f t="shared" si="0"/>
        <v>-4.2306776745580456E-2</v>
      </c>
      <c r="R76" s="75">
        <f t="shared" si="3"/>
        <v>-2.4725652431373812E-2</v>
      </c>
      <c r="S76" s="76">
        <f t="shared" si="4"/>
        <v>-0.94781415056450047</v>
      </c>
      <c r="T76" s="77">
        <f t="shared" si="5"/>
        <v>-14.21712027548438</v>
      </c>
    </row>
    <row r="77" spans="1:20">
      <c r="A77" s="15" t="s">
        <v>50</v>
      </c>
      <c r="B77" s="14">
        <f>B74-B75</f>
        <v>853759</v>
      </c>
      <c r="C77" s="14">
        <f>C74-C75</f>
        <v>978752</v>
      </c>
      <c r="D77" s="14">
        <f>D74-D75+D76</f>
        <v>1226506</v>
      </c>
      <c r="E77" s="14">
        <f>E74-E75+E76</f>
        <v>-2604663</v>
      </c>
      <c r="F77" s="9"/>
      <c r="G77" s="68" t="s">
        <v>205</v>
      </c>
      <c r="H77" s="91">
        <f>B75</f>
        <v>578946</v>
      </c>
      <c r="I77" s="91">
        <f t="shared" ref="I77:K77" si="14">C75</f>
        <v>787421</v>
      </c>
      <c r="J77" s="91">
        <f t="shared" si="14"/>
        <v>891992</v>
      </c>
      <c r="K77" s="92">
        <f t="shared" si="14"/>
        <v>1032707</v>
      </c>
      <c r="N77" s="73">
        <f t="shared" si="1"/>
        <v>1.922118072881962E-2</v>
      </c>
      <c r="O77" s="73">
        <f t="shared" si="2"/>
        <v>2.614261321551211E-2</v>
      </c>
      <c r="P77" s="73">
        <f t="shared" si="2"/>
        <v>2.9614401758819079E-2</v>
      </c>
      <c r="Q77" s="73">
        <f t="shared" si="2"/>
        <v>3.4286181935650514E-2</v>
      </c>
      <c r="R77" s="75">
        <f t="shared" si="3"/>
        <v>-0.26475671845175575</v>
      </c>
      <c r="S77" s="76">
        <f t="shared" si="4"/>
        <v>0.13280189377728058</v>
      </c>
      <c r="T77" s="77">
        <f t="shared" si="5"/>
        <v>0.15775365698347077</v>
      </c>
    </row>
    <row r="78" spans="1:20">
      <c r="A78" s="15"/>
      <c r="B78" s="14"/>
      <c r="C78" s="14"/>
      <c r="D78" s="14"/>
      <c r="E78" s="14"/>
      <c r="F78" s="9"/>
      <c r="G78" s="68" t="s">
        <v>188</v>
      </c>
      <c r="H78" s="89"/>
      <c r="I78" s="89"/>
      <c r="J78" s="89">
        <f>D76</f>
        <v>3000000</v>
      </c>
      <c r="K78" s="90">
        <f>E76+E68</f>
        <v>902745</v>
      </c>
      <c r="N78" s="73">
        <f t="shared" si="1"/>
        <v>0</v>
      </c>
      <c r="O78" s="73">
        <f t="shared" si="2"/>
        <v>0</v>
      </c>
      <c r="P78" s="73">
        <f t="shared" si="2"/>
        <v>9.9600899196917947E-2</v>
      </c>
      <c r="Q78" s="73">
        <f t="shared" si="2"/>
        <v>2.9971404581840565E-2</v>
      </c>
      <c r="R78" s="75" t="str">
        <f t="shared" si="3"/>
        <v>0,00%</v>
      </c>
      <c r="S78" s="76" t="str">
        <f t="shared" si="4"/>
        <v>0,00%</v>
      </c>
      <c r="T78" s="77">
        <f t="shared" si="5"/>
        <v>-0.69908499999999996</v>
      </c>
    </row>
    <row r="79" spans="1:20">
      <c r="A79" s="13" t="s">
        <v>52</v>
      </c>
      <c r="B79" s="14">
        <v>5383</v>
      </c>
      <c r="C79" s="14">
        <v>10903</v>
      </c>
      <c r="D79" s="14">
        <v>7083</v>
      </c>
      <c r="E79" s="14">
        <v>12324</v>
      </c>
      <c r="F79" s="9"/>
      <c r="G79" s="68" t="s">
        <v>203</v>
      </c>
      <c r="H79" s="10"/>
      <c r="I79" s="10"/>
      <c r="J79" s="10"/>
      <c r="K79" s="69"/>
      <c r="N79" s="73">
        <f t="shared" si="1"/>
        <v>0</v>
      </c>
      <c r="O79" s="73">
        <f t="shared" si="2"/>
        <v>0</v>
      </c>
      <c r="P79" s="73">
        <f t="shared" si="2"/>
        <v>0</v>
      </c>
      <c r="Q79" s="73">
        <f t="shared" si="2"/>
        <v>0</v>
      </c>
      <c r="R79" s="75" t="str">
        <f t="shared" si="3"/>
        <v>0,00%</v>
      </c>
      <c r="S79" s="76" t="str">
        <f t="shared" si="4"/>
        <v>0,00%</v>
      </c>
      <c r="T79" s="77" t="str">
        <f t="shared" si="5"/>
        <v>0,00%</v>
      </c>
    </row>
    <row r="80" spans="1:20">
      <c r="A80" s="13" t="s">
        <v>53</v>
      </c>
      <c r="B80" s="14">
        <v>614297</v>
      </c>
      <c r="C80" s="14">
        <v>1415090</v>
      </c>
      <c r="D80" s="14">
        <v>1864979</v>
      </c>
      <c r="E80" s="14">
        <v>1530437</v>
      </c>
      <c r="F80" s="9"/>
      <c r="G80" s="67" t="s">
        <v>189</v>
      </c>
      <c r="H80" s="87">
        <f>H76-H77+H78</f>
        <v>1222848</v>
      </c>
      <c r="I80" s="87">
        <f>I76-I77+I78</f>
        <v>1060053</v>
      </c>
      <c r="J80" s="87">
        <f>J76-J77+J78</f>
        <v>2204420</v>
      </c>
      <c r="K80" s="88">
        <f>K76-K77+K78</f>
        <v>-1404251</v>
      </c>
      <c r="N80" s="73">
        <f t="shared" si="1"/>
        <v>4.0598920127050908E-2</v>
      </c>
      <c r="O80" s="73">
        <f t="shared" si="2"/>
        <v>3.5194077332130154E-2</v>
      </c>
      <c r="P80" s="73">
        <f t="shared" si="2"/>
        <v>7.3187404735889958E-2</v>
      </c>
      <c r="Q80" s="73">
        <f t="shared" si="2"/>
        <v>-4.6621554099390408E-2</v>
      </c>
      <c r="R80" s="75">
        <f t="shared" si="3"/>
        <v>0.15357251005374262</v>
      </c>
      <c r="S80" s="76">
        <f t="shared" si="4"/>
        <v>1.0795375325573344</v>
      </c>
      <c r="T80" s="77">
        <f t="shared" si="5"/>
        <v>-1.6370160858638554</v>
      </c>
    </row>
    <row r="81" spans="1:20">
      <c r="A81" s="15" t="s">
        <v>51</v>
      </c>
      <c r="B81" s="14">
        <f>B77+B79-B80</f>
        <v>244845</v>
      </c>
      <c r="C81" s="14">
        <f t="shared" ref="C81:E81" si="15">C77+C79-C80</f>
        <v>-425435</v>
      </c>
      <c r="D81" s="14">
        <f t="shared" si="15"/>
        <v>-631390</v>
      </c>
      <c r="E81" s="14">
        <f t="shared" si="15"/>
        <v>-4122776</v>
      </c>
      <c r="F81" s="9"/>
      <c r="G81" s="68" t="s">
        <v>190</v>
      </c>
      <c r="H81" s="87">
        <f>B80</f>
        <v>614297</v>
      </c>
      <c r="I81" s="87">
        <f t="shared" ref="I81:K81" si="16">C80</f>
        <v>1415090</v>
      </c>
      <c r="J81" s="87">
        <f t="shared" si="16"/>
        <v>1864979</v>
      </c>
      <c r="K81" s="88">
        <f t="shared" si="16"/>
        <v>1530437</v>
      </c>
      <c r="N81" s="73">
        <f t="shared" si="1"/>
        <v>2.0394844524656369E-2</v>
      </c>
      <c r="O81" s="73">
        <f t="shared" si="2"/>
        <v>4.6981412148188871E-2</v>
      </c>
      <c r="P81" s="73">
        <f t="shared" si="2"/>
        <v>6.1917861794456283E-2</v>
      </c>
      <c r="Q81" s="73">
        <f t="shared" si="2"/>
        <v>5.0810967121411171E-2</v>
      </c>
      <c r="R81" s="75">
        <f t="shared" si="3"/>
        <v>-0.56589545541273001</v>
      </c>
      <c r="S81" s="76">
        <f t="shared" si="4"/>
        <v>0.31792253496244061</v>
      </c>
      <c r="T81" s="77">
        <f t="shared" si="5"/>
        <v>-0.17938110831274778</v>
      </c>
    </row>
    <row r="82" spans="1:20">
      <c r="A82" s="13" t="s">
        <v>54</v>
      </c>
      <c r="B82" s="25">
        <v>469696</v>
      </c>
      <c r="C82" s="19">
        <v>125635</v>
      </c>
      <c r="D82" s="19">
        <v>-1464983</v>
      </c>
      <c r="E82" s="19">
        <v>-958186</v>
      </c>
      <c r="F82" s="9"/>
      <c r="G82" s="68" t="s">
        <v>204</v>
      </c>
      <c r="H82" s="89">
        <f>B73</f>
        <v>282943</v>
      </c>
      <c r="I82" s="89">
        <f t="shared" ref="I82:K82" si="17">C73</f>
        <v>162792</v>
      </c>
      <c r="J82" s="89">
        <f t="shared" si="17"/>
        <v>109931</v>
      </c>
      <c r="K82" s="90">
        <f t="shared" si="17"/>
        <v>181151</v>
      </c>
      <c r="N82" s="73">
        <f t="shared" si="1"/>
        <v>9.3937924071578523E-3</v>
      </c>
      <c r="O82" s="73">
        <f t="shared" si="2"/>
        <v>5.4047431940215558E-3</v>
      </c>
      <c r="P82" s="73">
        <f t="shared" si="2"/>
        <v>3.6497421498721291E-3</v>
      </c>
      <c r="Q82" s="73">
        <f t="shared" si="2"/>
        <v>6.0142674968069612E-3</v>
      </c>
      <c r="R82" s="75">
        <f t="shared" si="3"/>
        <v>0.73806452405523615</v>
      </c>
      <c r="S82" s="76">
        <f t="shared" si="4"/>
        <v>-0.32471497370878177</v>
      </c>
      <c r="T82" s="77">
        <f t="shared" si="5"/>
        <v>0.64786093094759445</v>
      </c>
    </row>
    <row r="83" spans="1:20" ht="15.75" thickBot="1">
      <c r="A83" s="16" t="s">
        <v>26</v>
      </c>
      <c r="B83" s="26">
        <f>B81-B82</f>
        <v>-224851</v>
      </c>
      <c r="C83" s="26">
        <f t="shared" ref="C83:E83" si="18">C81-C82</f>
        <v>-551070</v>
      </c>
      <c r="D83" s="26">
        <f t="shared" si="18"/>
        <v>833593</v>
      </c>
      <c r="E83" s="26">
        <f t="shared" si="18"/>
        <v>-3164590</v>
      </c>
      <c r="F83" s="9"/>
      <c r="G83" s="68" t="s">
        <v>191</v>
      </c>
      <c r="H83" s="87">
        <f>B79</f>
        <v>5383</v>
      </c>
      <c r="I83" s="87">
        <f t="shared" ref="I83:K83" si="19">C79</f>
        <v>10903</v>
      </c>
      <c r="J83" s="87">
        <f t="shared" si="19"/>
        <v>7083</v>
      </c>
      <c r="K83" s="88">
        <f t="shared" si="19"/>
        <v>12324</v>
      </c>
      <c r="N83" s="73">
        <f t="shared" si="1"/>
        <v>1.7871721345900311E-4</v>
      </c>
      <c r="O83" s="73">
        <f t="shared" si="2"/>
        <v>3.6198286798133216E-4</v>
      </c>
      <c r="P83" s="73">
        <f t="shared" si="2"/>
        <v>2.3515772300392328E-4</v>
      </c>
      <c r="Q83" s="73">
        <f t="shared" si="2"/>
        <v>4.0916049390093891E-4</v>
      </c>
      <c r="R83" s="75">
        <f t="shared" si="3"/>
        <v>-0.5062826744932587</v>
      </c>
      <c r="S83" s="76">
        <f t="shared" si="4"/>
        <v>-0.35036228560946525</v>
      </c>
      <c r="T83" s="77">
        <f t="shared" si="5"/>
        <v>0.73994070309191029</v>
      </c>
    </row>
    <row r="84" spans="1:20">
      <c r="A84" s="11"/>
      <c r="B84" s="12"/>
      <c r="C84" s="12"/>
      <c r="D84" s="12"/>
      <c r="E84" s="12"/>
      <c r="F84" s="27"/>
      <c r="G84" s="68" t="s">
        <v>192</v>
      </c>
      <c r="H84" s="87">
        <f>B71</f>
        <v>28048</v>
      </c>
      <c r="I84" s="87">
        <f>C71</f>
        <v>83189</v>
      </c>
      <c r="J84" s="87">
        <f>D71</f>
        <v>61807</v>
      </c>
      <c r="K84" s="88">
        <f>E71</f>
        <v>56006</v>
      </c>
      <c r="N84" s="73">
        <f t="shared" si="1"/>
        <v>9.3120200689171821E-4</v>
      </c>
      <c r="O84" s="73">
        <f t="shared" si="2"/>
        <v>2.7618997344308026E-3</v>
      </c>
      <c r="P84" s="73">
        <f t="shared" si="2"/>
        <v>2.0520109255546359E-3</v>
      </c>
      <c r="Q84" s="73">
        <f t="shared" si="2"/>
        <v>1.8594159868075288E-3</v>
      </c>
      <c r="R84" s="75">
        <f t="shared" si="3"/>
        <v>-0.66284003894745702</v>
      </c>
      <c r="S84" s="76">
        <f t="shared" si="4"/>
        <v>-0.25702917453028651</v>
      </c>
      <c r="T84" s="77">
        <f t="shared" si="5"/>
        <v>-9.3856682899995159E-2</v>
      </c>
    </row>
    <row r="85" spans="1:20" ht="26.25">
      <c r="A85" s="127" t="s">
        <v>64</v>
      </c>
      <c r="B85" s="128"/>
      <c r="C85" s="128"/>
      <c r="D85" s="128"/>
      <c r="E85" s="128"/>
      <c r="F85" s="9"/>
      <c r="G85" s="67" t="s">
        <v>193</v>
      </c>
      <c r="H85" s="87">
        <f>H80-H81-H82+H83+H84</f>
        <v>359039</v>
      </c>
      <c r="I85" s="87">
        <f t="shared" ref="I85:J85" si="20">I80-I81-I82+I83+I84</f>
        <v>-423737</v>
      </c>
      <c r="J85" s="87">
        <f t="shared" si="20"/>
        <v>298400</v>
      </c>
      <c r="K85" s="88">
        <f>K80-K81-K82+K83+K84</f>
        <v>-3047509</v>
      </c>
      <c r="N85" s="73">
        <f t="shared" si="1"/>
        <v>1.1920202415587408E-2</v>
      </c>
      <c r="O85" s="73">
        <f t="shared" si="2"/>
        <v>-1.4068195407668141E-2</v>
      </c>
      <c r="P85" s="73">
        <f t="shared" si="2"/>
        <v>9.9069694401201051E-3</v>
      </c>
      <c r="Q85" s="73">
        <f t="shared" si="2"/>
        <v>-0.10117821223690007</v>
      </c>
      <c r="R85" s="75">
        <f t="shared" si="3"/>
        <v>-1.8473156698612583</v>
      </c>
      <c r="S85" s="76">
        <f t="shared" si="4"/>
        <v>-1.7042103946551752</v>
      </c>
      <c r="T85" s="77">
        <f t="shared" si="5"/>
        <v>-11.212831769436997</v>
      </c>
    </row>
    <row r="86" spans="1:20" ht="15.75" thickBot="1">
      <c r="F86" s="9"/>
      <c r="G86" s="68" t="s">
        <v>194</v>
      </c>
      <c r="H86" s="87">
        <f>B69</f>
        <v>114194</v>
      </c>
      <c r="I86" s="87">
        <f t="shared" ref="I86:K86" si="21">C69</f>
        <v>1698</v>
      </c>
      <c r="J86" s="87">
        <f t="shared" si="21"/>
        <v>929790</v>
      </c>
      <c r="K86" s="88">
        <f t="shared" si="21"/>
        <v>730223</v>
      </c>
      <c r="N86" s="73">
        <f t="shared" si="1"/>
        <v>3.7912750276309494E-3</v>
      </c>
      <c r="O86" s="73">
        <f t="shared" si="2"/>
        <v>5.6374108945455562E-5</v>
      </c>
      <c r="P86" s="73">
        <f t="shared" si="2"/>
        <v>3.086930668810078E-2</v>
      </c>
      <c r="Q86" s="73">
        <f t="shared" si="2"/>
        <v>2.424362247142367E-2</v>
      </c>
      <c r="R86" s="75">
        <f t="shared" si="3"/>
        <v>66.252061248527681</v>
      </c>
      <c r="S86" s="76">
        <f t="shared" si="4"/>
        <v>546.57950530035339</v>
      </c>
      <c r="T86" s="77">
        <f t="shared" si="5"/>
        <v>-0.21463663838070968</v>
      </c>
    </row>
    <row r="87" spans="1:20">
      <c r="A87" s="46"/>
      <c r="B87" s="47">
        <v>2009</v>
      </c>
      <c r="C87" s="48">
        <v>2008</v>
      </c>
      <c r="D87" s="48">
        <v>2007</v>
      </c>
      <c r="E87" s="48">
        <v>2006</v>
      </c>
      <c r="F87" s="9"/>
      <c r="G87" s="68" t="s">
        <v>195</v>
      </c>
      <c r="H87" s="87"/>
      <c r="I87" s="87"/>
      <c r="J87" s="87"/>
      <c r="K87" s="88"/>
      <c r="N87" s="73">
        <f t="shared" si="1"/>
        <v>0</v>
      </c>
      <c r="O87" s="73">
        <f t="shared" si="2"/>
        <v>0</v>
      </c>
      <c r="P87" s="73">
        <f t="shared" si="2"/>
        <v>0</v>
      </c>
      <c r="Q87" s="73">
        <f t="shared" si="2"/>
        <v>0</v>
      </c>
      <c r="R87" s="75" t="str">
        <f t="shared" si="3"/>
        <v>0,00%</v>
      </c>
      <c r="S87" s="76" t="str">
        <f t="shared" si="4"/>
        <v>0,00%</v>
      </c>
      <c r="T87" s="77" t="str">
        <f t="shared" si="5"/>
        <v>0,00%</v>
      </c>
    </row>
    <row r="88" spans="1:20">
      <c r="A88" s="49" t="s">
        <v>86</v>
      </c>
      <c r="B88" s="14">
        <f>B39</f>
        <v>533428</v>
      </c>
      <c r="C88" s="14">
        <f t="shared" ref="C88:E88" si="22">C39</f>
        <v>-1108472</v>
      </c>
      <c r="D88" s="14">
        <f t="shared" si="22"/>
        <v>-11668030</v>
      </c>
      <c r="E88" s="14">
        <f t="shared" si="22"/>
        <v>-13978121</v>
      </c>
      <c r="F88" s="9"/>
      <c r="G88" s="68" t="s">
        <v>196</v>
      </c>
      <c r="H88" s="87">
        <f>B82</f>
        <v>469696</v>
      </c>
      <c r="I88" s="87">
        <f t="shared" ref="I88:K88" si="23">C82</f>
        <v>125635</v>
      </c>
      <c r="J88" s="87">
        <f t="shared" si="23"/>
        <v>-1464983</v>
      </c>
      <c r="K88" s="88">
        <f t="shared" si="23"/>
        <v>-958186</v>
      </c>
      <c r="N88" s="73">
        <f t="shared" si="1"/>
        <v>1.5594047983065192E-2</v>
      </c>
      <c r="O88" s="73">
        <f t="shared" si="2"/>
        <v>4.1711196568682621E-3</v>
      </c>
      <c r="P88" s="73">
        <f t="shared" si="2"/>
        <v>-4.8637874702732814E-2</v>
      </c>
      <c r="Q88" s="73">
        <f t="shared" si="2"/>
        <v>-3.1812062399299339E-2</v>
      </c>
      <c r="R88" s="75">
        <f t="shared" si="3"/>
        <v>2.7385760337485574</v>
      </c>
      <c r="S88" s="76">
        <f t="shared" si="4"/>
        <v>-12.66062800971067</v>
      </c>
      <c r="T88" s="77">
        <f t="shared" si="5"/>
        <v>-0.34594053309833628</v>
      </c>
    </row>
    <row r="89" spans="1:20">
      <c r="A89" s="15" t="s">
        <v>143</v>
      </c>
      <c r="B89" s="14">
        <v>267101</v>
      </c>
      <c r="C89" s="14">
        <v>231671</v>
      </c>
      <c r="D89" s="14">
        <v>13238252</v>
      </c>
      <c r="E89" s="14">
        <v>14219477</v>
      </c>
      <c r="F89" s="9"/>
      <c r="G89" s="67" t="s">
        <v>197</v>
      </c>
      <c r="H89" s="87">
        <f>H85-H86-H88</f>
        <v>-224851</v>
      </c>
      <c r="I89" s="87">
        <f t="shared" ref="I89:J89" si="24">I85-I86-I88</f>
        <v>-551070</v>
      </c>
      <c r="J89" s="87">
        <f t="shared" si="24"/>
        <v>833593</v>
      </c>
      <c r="K89" s="87">
        <f>K85-K86-K88</f>
        <v>-2819546</v>
      </c>
      <c r="N89" s="73">
        <f t="shared" si="1"/>
        <v>-7.4651205951087327E-3</v>
      </c>
      <c r="O89" s="73">
        <f t="shared" si="2"/>
        <v>-1.8295689173481858E-2</v>
      </c>
      <c r="P89" s="73">
        <f t="shared" si="2"/>
        <v>2.7675537454752142E-2</v>
      </c>
      <c r="Q89" s="73">
        <f t="shared" si="2"/>
        <v>-9.3609772309024411E-2</v>
      </c>
      <c r="R89" s="75">
        <f t="shared" si="3"/>
        <v>-0.59197379643239523</v>
      </c>
      <c r="S89" s="76">
        <f t="shared" si="4"/>
        <v>-2.512680784655307</v>
      </c>
      <c r="T89" s="77">
        <f t="shared" si="5"/>
        <v>-4.3824012437724402</v>
      </c>
    </row>
    <row r="90" spans="1:20">
      <c r="A90" s="15" t="s">
        <v>145</v>
      </c>
      <c r="B90" s="25">
        <f>SUM(B88:B89)</f>
        <v>800529</v>
      </c>
      <c r="C90" s="25">
        <f t="shared" ref="C90:E90" si="25">SUM(C88:C89)</f>
        <v>-876801</v>
      </c>
      <c r="D90" s="25">
        <f t="shared" si="25"/>
        <v>1570222</v>
      </c>
      <c r="E90" s="25">
        <f t="shared" si="25"/>
        <v>241356</v>
      </c>
      <c r="F90" s="9"/>
      <c r="G90" s="74"/>
      <c r="H90" s="87"/>
      <c r="I90" s="87"/>
      <c r="J90" s="87"/>
      <c r="K90" s="88"/>
      <c r="N90" s="73">
        <f t="shared" si="1"/>
        <v>0</v>
      </c>
      <c r="O90" s="73">
        <f t="shared" si="2"/>
        <v>0</v>
      </c>
      <c r="P90" s="73">
        <f t="shared" si="2"/>
        <v>0</v>
      </c>
      <c r="Q90" s="73">
        <f t="shared" si="2"/>
        <v>0</v>
      </c>
      <c r="R90" s="75" t="str">
        <f t="shared" si="3"/>
        <v>0,00%</v>
      </c>
      <c r="S90" s="76" t="str">
        <f t="shared" si="4"/>
        <v>0,00%</v>
      </c>
      <c r="T90" s="77" t="str">
        <f t="shared" si="5"/>
        <v>0,00%</v>
      </c>
    </row>
    <row r="91" spans="1:20">
      <c r="A91" s="49" t="s">
        <v>146</v>
      </c>
      <c r="B91" s="25">
        <f>B12</f>
        <v>12868293</v>
      </c>
      <c r="C91" s="25">
        <f t="shared" ref="C91:E91" si="26">C12</f>
        <v>13875452</v>
      </c>
      <c r="D91" s="25">
        <f t="shared" si="26"/>
        <v>15833922</v>
      </c>
      <c r="E91" s="25">
        <f t="shared" si="26"/>
        <v>17516199</v>
      </c>
      <c r="F91" s="9"/>
      <c r="G91" s="74" t="s">
        <v>198</v>
      </c>
      <c r="H91" s="87">
        <f>H89+H88+H82+H81+H78+H77</f>
        <v>1721031</v>
      </c>
      <c r="I91" s="87">
        <f t="shared" ref="I91:K91" si="27">I89+I88+I82+I81+I78+I77</f>
        <v>1939868</v>
      </c>
      <c r="J91" s="87">
        <f t="shared" si="27"/>
        <v>5235512</v>
      </c>
      <c r="K91" s="88">
        <f t="shared" si="27"/>
        <v>-130692</v>
      </c>
      <c r="N91" s="73">
        <f t="shared" si="1"/>
        <v>5.7138745048590296E-2</v>
      </c>
      <c r="O91" s="73">
        <f t="shared" si="2"/>
        <v>6.4404199041108945E-2</v>
      </c>
      <c r="P91" s="73">
        <f t="shared" si="2"/>
        <v>0.17382056765208476</v>
      </c>
      <c r="Q91" s="73">
        <f t="shared" si="2"/>
        <v>-4.339013572614534E-3</v>
      </c>
      <c r="R91" s="75">
        <f t="shared" si="3"/>
        <v>-0.11281025306876546</v>
      </c>
      <c r="S91" s="76">
        <f t="shared" si="4"/>
        <v>1.6989011623471288</v>
      </c>
      <c r="T91" s="77">
        <f t="shared" si="5"/>
        <v>-1.0249626015564477</v>
      </c>
    </row>
    <row r="92" spans="1:20">
      <c r="A92" s="15" t="s">
        <v>147</v>
      </c>
      <c r="B92" s="25">
        <f>B90-B91</f>
        <v>-12067764</v>
      </c>
      <c r="C92" s="25">
        <f t="shared" ref="C92:E92" si="28">C90-C91</f>
        <v>-14752253</v>
      </c>
      <c r="D92" s="25">
        <f t="shared" si="28"/>
        <v>-14263700</v>
      </c>
      <c r="E92" s="25">
        <f t="shared" si="28"/>
        <v>-17274843</v>
      </c>
      <c r="F92" s="9"/>
      <c r="G92" s="74" t="s">
        <v>199</v>
      </c>
      <c r="H92" s="87">
        <f>H91-0</f>
        <v>1721031</v>
      </c>
      <c r="I92" s="87">
        <f t="shared" ref="I92:K92" si="29">I91-0</f>
        <v>1939868</v>
      </c>
      <c r="J92" s="87">
        <f t="shared" si="29"/>
        <v>5235512</v>
      </c>
      <c r="K92" s="88">
        <f t="shared" si="29"/>
        <v>-130692</v>
      </c>
      <c r="N92" s="73">
        <f t="shared" si="1"/>
        <v>5.7138745048590296E-2</v>
      </c>
      <c r="O92" s="73">
        <f t="shared" si="2"/>
        <v>6.4404199041108945E-2</v>
      </c>
      <c r="P92" s="73">
        <f t="shared" si="2"/>
        <v>0.17382056765208476</v>
      </c>
      <c r="Q92" s="73">
        <f t="shared" si="2"/>
        <v>-4.339013572614534E-3</v>
      </c>
      <c r="R92" s="75">
        <f t="shared" si="3"/>
        <v>-0.11281025306876546</v>
      </c>
      <c r="S92" s="76">
        <f t="shared" si="4"/>
        <v>1.6989011623471288</v>
      </c>
      <c r="T92" s="77">
        <f t="shared" si="5"/>
        <v>-1.0249626015564477</v>
      </c>
    </row>
    <row r="93" spans="1:20">
      <c r="A93" s="15" t="s">
        <v>148</v>
      </c>
      <c r="B93" s="25"/>
      <c r="C93" s="25"/>
      <c r="D93" s="25"/>
      <c r="E93" s="25"/>
      <c r="F93" s="9"/>
      <c r="G93" s="74" t="s">
        <v>200</v>
      </c>
      <c r="H93" s="87">
        <f>H76+H72-H69</f>
        <v>1801794</v>
      </c>
      <c r="I93" s="87">
        <f t="shared" ref="I93:K93" si="30">I76+I72-I69</f>
        <v>1847474</v>
      </c>
      <c r="J93" s="87">
        <f t="shared" si="30"/>
        <v>96412</v>
      </c>
      <c r="K93" s="88">
        <f t="shared" si="30"/>
        <v>-1274289</v>
      </c>
      <c r="N93" s="73">
        <f t="shared" si="1"/>
        <v>5.9820100855870528E-2</v>
      </c>
      <c r="O93" s="73">
        <f t="shared" si="2"/>
        <v>6.1336690547642264E-2</v>
      </c>
      <c r="P93" s="73">
        <f t="shared" si="2"/>
        <v>3.2009072977910846E-3</v>
      </c>
      <c r="Q93" s="73">
        <f t="shared" si="2"/>
        <v>-4.2306776745580456E-2</v>
      </c>
      <c r="R93" s="75">
        <f t="shared" si="3"/>
        <v>-2.4725652431373812E-2</v>
      </c>
      <c r="S93" s="76">
        <f t="shared" si="4"/>
        <v>-0.94781415056450047</v>
      </c>
      <c r="T93" s="77">
        <f t="shared" si="5"/>
        <v>-14.21712027548438</v>
      </c>
    </row>
    <row r="94" spans="1:20">
      <c r="A94" s="13" t="s">
        <v>149</v>
      </c>
      <c r="B94" s="25">
        <f>B15</f>
        <v>6931527</v>
      </c>
      <c r="C94" s="25">
        <f t="shared" ref="C94:E94" si="31">C15</f>
        <v>2898404</v>
      </c>
      <c r="D94" s="25">
        <f t="shared" si="31"/>
        <v>2528120</v>
      </c>
      <c r="E94" s="25">
        <f t="shared" si="31"/>
        <v>3876671</v>
      </c>
      <c r="F94" s="9"/>
      <c r="G94" s="93" t="s">
        <v>201</v>
      </c>
      <c r="H94" s="94">
        <f>H89+H88+((H82+H81)-(H83+H84))</f>
        <v>1108654</v>
      </c>
      <c r="I94" s="94">
        <f t="shared" ref="I94:K94" si="32">I89+I88+((I82+I81)-(I83+I84))</f>
        <v>1058355</v>
      </c>
      <c r="J94" s="94">
        <f t="shared" si="32"/>
        <v>1274630</v>
      </c>
      <c r="K94" s="95">
        <f t="shared" si="32"/>
        <v>-2134474</v>
      </c>
      <c r="N94" s="81">
        <f t="shared" si="1"/>
        <v>3.6807645099419958E-2</v>
      </c>
      <c r="O94" s="81">
        <f t="shared" si="2"/>
        <v>3.5137703223184699E-2</v>
      </c>
      <c r="P94" s="81">
        <f t="shared" si="2"/>
        <v>4.2318098047789174E-2</v>
      </c>
      <c r="Q94" s="82">
        <f t="shared" si="2"/>
        <v>-7.0865176570814079E-2</v>
      </c>
      <c r="R94" s="78">
        <f t="shared" si="3"/>
        <v>4.7525641207345259E-2</v>
      </c>
      <c r="S94" s="79">
        <f t="shared" si="4"/>
        <v>0.20435014716234146</v>
      </c>
      <c r="T94" s="80">
        <f t="shared" si="5"/>
        <v>-2.6745832123832014</v>
      </c>
    </row>
    <row r="95" spans="1:20">
      <c r="A95" s="49" t="s">
        <v>161</v>
      </c>
      <c r="B95" s="25">
        <f>B18</f>
        <v>196789</v>
      </c>
      <c r="C95" s="25"/>
      <c r="D95" s="25"/>
      <c r="E95" s="25"/>
      <c r="F95" s="9"/>
      <c r="G95" s="9"/>
    </row>
    <row r="96" spans="1:20">
      <c r="A96" s="49" t="s">
        <v>10</v>
      </c>
      <c r="B96" s="25">
        <f>B14</f>
        <v>365382</v>
      </c>
      <c r="C96" s="25">
        <f t="shared" ref="C96:E96" si="33">C14</f>
        <v>337566</v>
      </c>
      <c r="D96" s="25">
        <f t="shared" si="33"/>
        <v>220579</v>
      </c>
      <c r="E96" s="25">
        <f t="shared" si="33"/>
        <v>361564</v>
      </c>
      <c r="F96" s="9"/>
      <c r="G96" s="9"/>
    </row>
    <row r="97" spans="1:7">
      <c r="A97" s="49"/>
      <c r="B97" s="25">
        <f>SUM(B94:B96)</f>
        <v>7493698</v>
      </c>
      <c r="C97" s="25">
        <f>SUM(C94:C96)</f>
        <v>3235970</v>
      </c>
      <c r="D97" s="25">
        <f>SUM(D94:D96)</f>
        <v>2748699</v>
      </c>
      <c r="E97" s="25">
        <f>SUM(E94:E96)</f>
        <v>4238235</v>
      </c>
      <c r="F97" s="9"/>
      <c r="G97" s="9"/>
    </row>
    <row r="98" spans="1:7">
      <c r="A98" s="15" t="s">
        <v>150</v>
      </c>
      <c r="B98" s="25"/>
      <c r="C98" s="25"/>
      <c r="D98" s="25"/>
      <c r="E98" s="25"/>
      <c r="F98" s="9"/>
      <c r="G98" s="9"/>
    </row>
    <row r="99" spans="1:7">
      <c r="A99" s="49" t="s">
        <v>151</v>
      </c>
      <c r="B99" s="25">
        <f>B49</f>
        <v>5122213</v>
      </c>
      <c r="C99" s="25">
        <f t="shared" ref="C99:E99" si="34">C49</f>
        <v>2068180</v>
      </c>
      <c r="D99" s="25">
        <f t="shared" si="34"/>
        <v>5353793</v>
      </c>
      <c r="E99" s="25">
        <f t="shared" si="34"/>
        <v>3654886</v>
      </c>
      <c r="F99" s="9"/>
      <c r="G99" s="9"/>
    </row>
    <row r="100" spans="1:7">
      <c r="A100" s="49" t="s">
        <v>165</v>
      </c>
      <c r="B100" s="25">
        <f>B53</f>
        <v>262979</v>
      </c>
      <c r="C100" s="25"/>
      <c r="D100" s="25"/>
      <c r="E100" s="25"/>
      <c r="F100" s="9"/>
      <c r="G100" s="9"/>
    </row>
    <row r="101" spans="1:7">
      <c r="A101" s="49"/>
      <c r="B101" s="25">
        <f>B99+B100</f>
        <v>5385192</v>
      </c>
      <c r="C101" s="25">
        <f>C99+C100</f>
        <v>2068180</v>
      </c>
      <c r="D101" s="25">
        <f t="shared" ref="D101:E101" si="35">D99+D100</f>
        <v>5353793</v>
      </c>
      <c r="E101" s="25">
        <f t="shared" si="35"/>
        <v>3654886</v>
      </c>
      <c r="F101" s="9"/>
      <c r="G101" s="9"/>
    </row>
    <row r="102" spans="1:7">
      <c r="A102" s="15" t="s">
        <v>152</v>
      </c>
      <c r="B102" s="25">
        <f>B97-B101</f>
        <v>2108506</v>
      </c>
      <c r="C102" s="25">
        <f t="shared" ref="C102:E102" si="36">C97-C101</f>
        <v>1167790</v>
      </c>
      <c r="D102" s="25">
        <f t="shared" si="36"/>
        <v>-2605094</v>
      </c>
      <c r="E102" s="25">
        <f t="shared" si="36"/>
        <v>583349</v>
      </c>
      <c r="F102" s="9"/>
      <c r="G102" s="9"/>
    </row>
    <row r="103" spans="1:7">
      <c r="A103" s="15" t="s">
        <v>159</v>
      </c>
      <c r="B103" s="25">
        <f>B92-B102</f>
        <v>-14176270</v>
      </c>
      <c r="C103" s="25">
        <f>C92-C102</f>
        <v>-15920043</v>
      </c>
      <c r="D103" s="25">
        <f>D92-D102</f>
        <v>-11658606</v>
      </c>
      <c r="E103" s="25">
        <f>E92-E102</f>
        <v>-17858192</v>
      </c>
      <c r="F103" s="9"/>
      <c r="G103" s="9"/>
    </row>
    <row r="104" spans="1:7" s="9" customFormat="1">
      <c r="A104" s="15" t="s">
        <v>160</v>
      </c>
      <c r="B104" s="25"/>
      <c r="C104" s="13"/>
      <c r="D104" s="13"/>
      <c r="E104" s="13"/>
    </row>
    <row r="105" spans="1:7" s="9" customFormat="1">
      <c r="A105" s="49" t="s">
        <v>12</v>
      </c>
      <c r="B105" s="25">
        <f>B17</f>
        <v>4774728</v>
      </c>
      <c r="C105" s="25">
        <f>C17</f>
        <v>7283898</v>
      </c>
      <c r="D105" s="25">
        <f>D17</f>
        <v>7151604</v>
      </c>
      <c r="E105" s="25">
        <f>E17</f>
        <v>1473308</v>
      </c>
    </row>
    <row r="106" spans="1:7">
      <c r="A106" s="49" t="s">
        <v>141</v>
      </c>
      <c r="B106" s="25">
        <f>B16</f>
        <v>0</v>
      </c>
      <c r="C106" s="25">
        <f>C16</f>
        <v>396650</v>
      </c>
      <c r="D106" s="25">
        <f t="shared" ref="D106:E106" si="37">D16</f>
        <v>1029</v>
      </c>
      <c r="E106" s="25">
        <f t="shared" si="37"/>
        <v>0</v>
      </c>
      <c r="F106" s="9"/>
      <c r="G106" s="9"/>
    </row>
    <row r="107" spans="1:7">
      <c r="A107" s="49" t="s">
        <v>142</v>
      </c>
      <c r="B107" s="25">
        <v>44767</v>
      </c>
      <c r="C107" s="25">
        <v>22696</v>
      </c>
      <c r="D107" s="25">
        <v>11792</v>
      </c>
      <c r="E107" s="25">
        <v>15189</v>
      </c>
      <c r="F107" s="9"/>
      <c r="G107" s="9"/>
    </row>
    <row r="108" spans="1:7">
      <c r="A108" s="49" t="s">
        <v>168</v>
      </c>
      <c r="B108" s="25">
        <v>1106184</v>
      </c>
      <c r="C108" s="25">
        <v>335568</v>
      </c>
      <c r="D108" s="25">
        <v>421645</v>
      </c>
      <c r="E108" s="25">
        <v>514247</v>
      </c>
      <c r="F108" s="9"/>
      <c r="G108" s="9"/>
    </row>
    <row r="109" spans="1:7">
      <c r="A109" s="49"/>
      <c r="B109" s="25">
        <f>SUM(B105:B108)</f>
        <v>5925679</v>
      </c>
      <c r="C109" s="25">
        <f t="shared" ref="C109:E109" si="38">SUM(C105:C108)</f>
        <v>8038812</v>
      </c>
      <c r="D109" s="25">
        <f t="shared" si="38"/>
        <v>7586070</v>
      </c>
      <c r="E109" s="25">
        <f t="shared" si="38"/>
        <v>2002744</v>
      </c>
      <c r="F109" s="9"/>
      <c r="G109" s="9"/>
    </row>
    <row r="110" spans="1:7">
      <c r="A110" s="15" t="s">
        <v>162</v>
      </c>
      <c r="B110" s="25"/>
      <c r="C110" s="25"/>
      <c r="D110" s="25"/>
      <c r="E110" s="25"/>
      <c r="F110" s="9"/>
      <c r="G110" s="9"/>
    </row>
    <row r="111" spans="1:7">
      <c r="A111" s="49" t="s">
        <v>61</v>
      </c>
      <c r="B111" s="25">
        <f>B50</f>
        <v>1500000</v>
      </c>
      <c r="C111" s="25">
        <f t="shared" ref="C111:E111" si="39">C50</f>
        <v>847513</v>
      </c>
      <c r="D111" s="25">
        <f t="shared" si="39"/>
        <v>0</v>
      </c>
      <c r="E111" s="25">
        <f t="shared" si="39"/>
        <v>12177</v>
      </c>
      <c r="F111" s="9"/>
      <c r="G111" s="9"/>
    </row>
    <row r="112" spans="1:7">
      <c r="A112" s="49" t="s">
        <v>163</v>
      </c>
      <c r="B112" s="25">
        <f>B51+B43</f>
        <v>12707420</v>
      </c>
      <c r="C112" s="25">
        <f>C51+C43</f>
        <v>13908599</v>
      </c>
      <c r="D112" s="25">
        <f>D51+D43</f>
        <v>21119783</v>
      </c>
      <c r="E112" s="25">
        <f>E51+E43</f>
        <v>20670955</v>
      </c>
      <c r="F112" s="9"/>
      <c r="G112" s="9"/>
    </row>
    <row r="113" spans="1:8">
      <c r="A113" s="49" t="s">
        <v>144</v>
      </c>
      <c r="B113" s="25">
        <f>B52</f>
        <v>5884251</v>
      </c>
      <c r="C113" s="25">
        <f t="shared" ref="C113:E113" si="40">C52</f>
        <v>6186920</v>
      </c>
      <c r="D113" s="25">
        <f t="shared" si="40"/>
        <v>5845694</v>
      </c>
      <c r="E113" s="25">
        <f t="shared" si="40"/>
        <v>6496665</v>
      </c>
      <c r="F113" s="9"/>
      <c r="G113" s="9"/>
    </row>
    <row r="114" spans="1:8">
      <c r="A114" s="49" t="s">
        <v>164</v>
      </c>
      <c r="B114" s="25">
        <f>B54</f>
        <v>41528</v>
      </c>
      <c r="C114" s="25">
        <f t="shared" ref="C114:E114" si="41">C54</f>
        <v>3052536</v>
      </c>
      <c r="D114" s="25">
        <f t="shared" si="41"/>
        <v>476189</v>
      </c>
      <c r="E114" s="25">
        <f t="shared" si="41"/>
        <v>465581</v>
      </c>
      <c r="F114" s="9"/>
      <c r="G114" s="9"/>
    </row>
    <row r="115" spans="1:8">
      <c r="A115" s="49"/>
      <c r="B115" s="25">
        <f>SUM(B111:B114)</f>
        <v>20133199</v>
      </c>
      <c r="C115" s="25">
        <f t="shared" ref="C115" si="42">SUM(C111:C114)</f>
        <v>23995568</v>
      </c>
      <c r="D115" s="25">
        <f t="shared" ref="D115" si="43">SUM(D111:D114)</f>
        <v>27441666</v>
      </c>
      <c r="E115" s="25">
        <f t="shared" ref="E115" si="44">SUM(E111:E114)</f>
        <v>27645378</v>
      </c>
      <c r="F115" s="9"/>
      <c r="G115" s="9"/>
    </row>
    <row r="116" spans="1:8" ht="15.75" thickBot="1">
      <c r="A116" s="50" t="s">
        <v>153</v>
      </c>
      <c r="B116" s="26">
        <f>B109-B115</f>
        <v>-14207520</v>
      </c>
      <c r="C116" s="26">
        <f>C109-C115</f>
        <v>-15956756</v>
      </c>
      <c r="D116" s="26">
        <f>D109-D115</f>
        <v>-19855596</v>
      </c>
      <c r="E116" s="26">
        <f>E109-E115</f>
        <v>-25642634</v>
      </c>
      <c r="F116" s="9"/>
      <c r="G116" s="9"/>
    </row>
    <row r="117" spans="1:8" ht="15.75" thickBot="1">
      <c r="F117" s="9"/>
      <c r="G117" s="9"/>
    </row>
    <row r="118" spans="1:8" ht="27" thickBot="1">
      <c r="A118" s="135" t="s">
        <v>94</v>
      </c>
      <c r="B118" s="136"/>
      <c r="C118" s="136"/>
      <c r="D118" s="136"/>
      <c r="E118" s="137"/>
      <c r="F118" s="9"/>
      <c r="G118" s="9"/>
    </row>
    <row r="119" spans="1:8">
      <c r="A119" s="9"/>
      <c r="B119" s="9"/>
      <c r="C119" s="9"/>
      <c r="D119" s="9"/>
      <c r="E119" s="9"/>
      <c r="F119" s="9"/>
      <c r="G119" s="9"/>
    </row>
    <row r="120" spans="1:8" ht="18.75">
      <c r="A120" s="44" t="s">
        <v>66</v>
      </c>
      <c r="B120" s="28"/>
      <c r="C120" s="28"/>
      <c r="D120" s="28"/>
      <c r="E120" s="28"/>
      <c r="F120" s="28"/>
      <c r="G120" s="28"/>
      <c r="H120" s="20"/>
    </row>
    <row r="121" spans="1:8" ht="15.75">
      <c r="A121" s="28"/>
      <c r="B121" s="28"/>
      <c r="C121" s="28">
        <v>2009</v>
      </c>
      <c r="D121" s="28">
        <v>2008</v>
      </c>
      <c r="E121" s="28">
        <v>2007</v>
      </c>
      <c r="F121" s="28">
        <v>2006</v>
      </c>
      <c r="G121" s="28"/>
      <c r="H121" s="20"/>
    </row>
    <row r="122" spans="1:8" ht="15.75">
      <c r="A122" s="29" t="s">
        <v>67</v>
      </c>
      <c r="B122" s="30" t="s">
        <v>68</v>
      </c>
      <c r="C122" s="145">
        <f>H89/B22</f>
        <v>-8.5534777330969237E-3</v>
      </c>
      <c r="D122" s="145">
        <f>I89/C22</f>
        <v>-2.1778685524902405E-2</v>
      </c>
      <c r="E122" s="145">
        <f>J89/D22</f>
        <v>3.1683239440795249E-2</v>
      </c>
      <c r="F122" s="145">
        <f>K89/E22</f>
        <v>-0.1178368376560853</v>
      </c>
      <c r="G122" s="28"/>
      <c r="H122" s="20"/>
    </row>
    <row r="123" spans="1:8" ht="15.75">
      <c r="A123" s="29"/>
      <c r="B123" s="31" t="s">
        <v>69</v>
      </c>
      <c r="C123" s="146"/>
      <c r="D123" s="146"/>
      <c r="E123" s="146"/>
      <c r="F123" s="146"/>
      <c r="G123" s="28"/>
      <c r="H123" s="20"/>
    </row>
    <row r="124" spans="1:8" ht="15.75">
      <c r="A124" s="32"/>
      <c r="B124" s="28"/>
      <c r="C124" s="28"/>
      <c r="D124" s="28"/>
      <c r="E124" s="28"/>
      <c r="F124" s="28"/>
      <c r="G124" s="28"/>
      <c r="H124" s="20"/>
    </row>
    <row r="125" spans="1:8" ht="15.75">
      <c r="A125" s="32"/>
      <c r="B125" s="28"/>
      <c r="C125" s="28"/>
      <c r="D125" s="28"/>
      <c r="E125" s="28"/>
      <c r="F125" s="28"/>
      <c r="G125" s="28"/>
      <c r="H125" s="20"/>
    </row>
    <row r="126" spans="1:8" ht="15.75">
      <c r="A126" s="32"/>
      <c r="B126" s="28"/>
      <c r="C126" s="28"/>
      <c r="D126" s="28"/>
      <c r="E126" s="28"/>
      <c r="F126" s="28"/>
      <c r="G126" s="28"/>
      <c r="H126" s="20"/>
    </row>
    <row r="127" spans="1:8" ht="15.75">
      <c r="A127" s="32" t="s">
        <v>70</v>
      </c>
      <c r="B127" s="30" t="s">
        <v>72</v>
      </c>
      <c r="C127" s="143">
        <f>B63/B22</f>
        <v>1.145792304909488</v>
      </c>
      <c r="D127" s="143">
        <f>C63/C22</f>
        <v>0.80526740117250084</v>
      </c>
      <c r="E127" s="143">
        <f>D63/D22</f>
        <v>0.47613444509395969</v>
      </c>
      <c r="F127" s="143">
        <f>E63/E22</f>
        <v>0.58308218273811063</v>
      </c>
      <c r="G127" s="28"/>
      <c r="H127" s="20"/>
    </row>
    <row r="128" spans="1:8" ht="15.75">
      <c r="A128" s="32"/>
      <c r="B128" s="31" t="s">
        <v>69</v>
      </c>
      <c r="C128" s="144"/>
      <c r="D128" s="144"/>
      <c r="E128" s="144"/>
      <c r="F128" s="144"/>
      <c r="G128" s="28"/>
      <c r="H128" s="20"/>
    </row>
    <row r="129" spans="1:8" ht="15.75">
      <c r="A129" s="32"/>
      <c r="B129" s="28"/>
      <c r="C129" s="28"/>
      <c r="D129" s="28"/>
      <c r="E129" s="28"/>
      <c r="F129" s="28"/>
      <c r="G129" s="28"/>
      <c r="H129" s="20"/>
    </row>
    <row r="130" spans="1:8" ht="15.75">
      <c r="A130" s="32"/>
      <c r="B130" s="28"/>
      <c r="C130" s="28"/>
      <c r="D130" s="28"/>
      <c r="E130" s="28"/>
      <c r="F130" s="28"/>
      <c r="G130" s="28"/>
      <c r="H130" s="20"/>
    </row>
    <row r="131" spans="1:8" ht="15.75">
      <c r="A131" s="32" t="s">
        <v>71</v>
      </c>
      <c r="B131" s="30" t="s">
        <v>72</v>
      </c>
      <c r="C131" s="143">
        <f>B63/(B6+B7)</f>
        <v>2.8994886558297268</v>
      </c>
      <c r="D131" s="143">
        <f>C63/(C6+C7)</f>
        <v>2.0027452469778693</v>
      </c>
      <c r="E131" s="143">
        <f>D63/(D6+D7)</f>
        <v>1.1573342182650761</v>
      </c>
      <c r="F131" s="143">
        <f>E63/(E6+E7)</f>
        <v>1.156756163380448</v>
      </c>
      <c r="G131" s="28"/>
      <c r="H131" s="20"/>
    </row>
    <row r="132" spans="1:8" ht="15.75">
      <c r="A132" s="32"/>
      <c r="B132" s="31" t="s">
        <v>73</v>
      </c>
      <c r="C132" s="144"/>
      <c r="D132" s="144"/>
      <c r="E132" s="144"/>
      <c r="F132" s="144"/>
      <c r="G132" s="28"/>
      <c r="H132" s="20"/>
    </row>
    <row r="133" spans="1:8" ht="15.75">
      <c r="A133" s="32"/>
      <c r="B133" s="28"/>
      <c r="C133" s="28"/>
      <c r="D133" s="28"/>
      <c r="E133" s="28"/>
      <c r="F133" s="28"/>
      <c r="G133" s="28"/>
      <c r="H133" s="20"/>
    </row>
    <row r="134" spans="1:8" ht="15.75">
      <c r="A134" s="32"/>
      <c r="B134" s="28"/>
      <c r="C134" s="28"/>
      <c r="D134" s="28"/>
      <c r="E134" s="28"/>
      <c r="F134" s="28"/>
      <c r="G134" s="28"/>
      <c r="H134" s="20"/>
    </row>
    <row r="135" spans="1:8" ht="15.75">
      <c r="A135" s="32" t="s">
        <v>158</v>
      </c>
      <c r="B135" s="30" t="s">
        <v>72</v>
      </c>
      <c r="C135" s="143">
        <f>B63/B21</f>
        <v>2.2445311730939523</v>
      </c>
      <c r="D135" s="143">
        <f>C63/C21</f>
        <v>1.7830163616074866</v>
      </c>
      <c r="E135" s="143">
        <f>(D63+D64)/D21</f>
        <v>1.1978612101335797</v>
      </c>
      <c r="F135" s="143">
        <f>(E63+E64)/E21</f>
        <v>2.2282427834163943</v>
      </c>
      <c r="G135" s="28"/>
      <c r="H135" s="20"/>
    </row>
    <row r="136" spans="1:8" ht="15.75">
      <c r="A136" s="28"/>
      <c r="B136" s="33" t="s">
        <v>157</v>
      </c>
      <c r="C136" s="144"/>
      <c r="D136" s="144"/>
      <c r="E136" s="144"/>
      <c r="F136" s="144"/>
      <c r="G136" s="28"/>
      <c r="H136" s="20"/>
    </row>
    <row r="137" spans="1:8" ht="15.75">
      <c r="A137" s="28"/>
      <c r="B137" s="28"/>
      <c r="C137" s="28"/>
      <c r="D137" s="28"/>
      <c r="E137" s="28"/>
      <c r="F137" s="28"/>
      <c r="G137" s="28"/>
      <c r="H137" s="20"/>
    </row>
    <row r="138" spans="1:8" ht="15.75">
      <c r="A138" s="129" t="s">
        <v>74</v>
      </c>
      <c r="B138" s="34" t="s">
        <v>68</v>
      </c>
      <c r="C138" s="145">
        <f>H89/B39</f>
        <v>-0.42152080505710238</v>
      </c>
      <c r="D138" s="145">
        <f>I89/C39</f>
        <v>0.49714381599174357</v>
      </c>
      <c r="E138" s="145">
        <f>J89/D39</f>
        <v>-7.1442480007336287E-2</v>
      </c>
      <c r="F138" s="145">
        <f>K89/E39</f>
        <v>0.20171137451163859</v>
      </c>
      <c r="G138" s="28"/>
      <c r="H138" s="20"/>
    </row>
    <row r="139" spans="1:8" ht="15.75">
      <c r="A139" s="129"/>
      <c r="B139" s="33" t="s">
        <v>75</v>
      </c>
      <c r="C139" s="146"/>
      <c r="D139" s="146"/>
      <c r="E139" s="146"/>
      <c r="F139" s="146"/>
      <c r="G139" s="28"/>
      <c r="H139" s="20"/>
    </row>
    <row r="140" spans="1:8" ht="15.75">
      <c r="A140" s="28"/>
      <c r="B140" s="28"/>
      <c r="C140" s="28"/>
      <c r="D140" s="28"/>
      <c r="E140" s="28"/>
      <c r="F140" s="28"/>
      <c r="G140" s="28"/>
      <c r="H140" s="20"/>
    </row>
    <row r="141" spans="1:8" ht="15.75">
      <c r="A141" s="28"/>
      <c r="B141" s="28"/>
      <c r="C141" s="28"/>
      <c r="D141" s="28"/>
      <c r="E141" s="28"/>
      <c r="F141" s="28"/>
      <c r="G141" s="28"/>
      <c r="H141" s="20"/>
    </row>
    <row r="142" spans="1:8" ht="18.75">
      <c r="A142" s="44" t="s">
        <v>76</v>
      </c>
      <c r="B142" s="31"/>
      <c r="C142" s="35"/>
      <c r="D142" s="35"/>
      <c r="E142" s="35"/>
      <c r="F142" s="28"/>
      <c r="G142" s="28"/>
      <c r="H142" s="20"/>
    </row>
    <row r="143" spans="1:8" ht="15.75">
      <c r="A143" s="35"/>
      <c r="B143" s="31"/>
      <c r="C143" s="35"/>
      <c r="D143" s="35"/>
      <c r="E143" s="35"/>
      <c r="F143" s="35"/>
      <c r="G143" s="28"/>
      <c r="H143" s="20"/>
    </row>
    <row r="144" spans="1:8" ht="15.75">
      <c r="A144" s="129" t="s">
        <v>77</v>
      </c>
      <c r="B144" s="30" t="s">
        <v>9</v>
      </c>
      <c r="C144" s="138">
        <f>B21/B47</f>
        <v>50.240833991636123</v>
      </c>
      <c r="D144" s="138">
        <f t="shared" ref="D144:E144" si="45">C21/C47</f>
        <v>49.327399631373801</v>
      </c>
      <c r="E144" s="138">
        <f t="shared" si="45"/>
        <v>0.79136565764120514</v>
      </c>
      <c r="F144" s="138">
        <f>E21/E47</f>
        <v>0.45088465630627622</v>
      </c>
      <c r="G144" s="28"/>
      <c r="H144" s="20"/>
    </row>
    <row r="145" spans="1:8" ht="15.75">
      <c r="A145" s="129"/>
      <c r="B145" s="51" t="s">
        <v>33</v>
      </c>
      <c r="C145" s="139"/>
      <c r="D145" s="139"/>
      <c r="E145" s="139"/>
      <c r="F145" s="139"/>
      <c r="G145" s="28"/>
      <c r="H145" s="20"/>
    </row>
    <row r="146" spans="1:8" ht="15.75">
      <c r="A146" s="35"/>
      <c r="B146" s="31"/>
      <c r="C146" s="58"/>
      <c r="D146" s="58"/>
      <c r="E146" s="58"/>
      <c r="F146" s="58"/>
      <c r="G146" s="28"/>
      <c r="H146" s="20"/>
    </row>
    <row r="147" spans="1:8" ht="15.75">
      <c r="A147" s="129" t="s">
        <v>79</v>
      </c>
      <c r="B147" s="30" t="s">
        <v>154</v>
      </c>
      <c r="C147" s="138">
        <f>(B21-B14)/B55</f>
        <v>0.51217965169180801</v>
      </c>
      <c r="D147" s="138">
        <f>(C21-C14)/C55</f>
        <v>0.42361230132290778</v>
      </c>
      <c r="E147" s="138">
        <f>(D21-D14)/D55</f>
        <v>0.41454000925949952</v>
      </c>
      <c r="F147" s="138">
        <f>(E21-E14)/E55</f>
        <v>0.25541384098673203</v>
      </c>
      <c r="G147" s="28"/>
      <c r="H147" s="20"/>
    </row>
    <row r="148" spans="1:8" ht="15.75">
      <c r="A148" s="129"/>
      <c r="B148" s="51" t="s">
        <v>155</v>
      </c>
      <c r="C148" s="139"/>
      <c r="D148" s="139"/>
      <c r="E148" s="139"/>
      <c r="F148" s="139"/>
      <c r="G148" s="28"/>
      <c r="H148" s="20"/>
    </row>
    <row r="149" spans="1:8" ht="15.75">
      <c r="A149" s="35"/>
      <c r="B149" s="35"/>
      <c r="C149" s="58"/>
      <c r="D149" s="58"/>
      <c r="E149" s="58"/>
      <c r="F149" s="58"/>
      <c r="G149" s="28"/>
      <c r="H149" s="20"/>
    </row>
    <row r="150" spans="1:8" ht="15.75">
      <c r="A150" s="129" t="s">
        <v>80</v>
      </c>
      <c r="B150" s="30" t="s">
        <v>81</v>
      </c>
      <c r="C150" s="138">
        <f>(B20+B19)/B55</f>
        <v>4.5158105414805055E-2</v>
      </c>
      <c r="D150" s="138">
        <f>(C20+C19)/C55</f>
        <v>1.368465469856529E-2</v>
      </c>
      <c r="E150" s="138">
        <f>(D20+D19)/D55</f>
        <v>1.7519645717028756E-2</v>
      </c>
      <c r="F150" s="138">
        <f>(E20+E19)/E55</f>
        <v>2.2352056918236777E-2</v>
      </c>
      <c r="G150" s="28"/>
      <c r="H150" s="20"/>
    </row>
    <row r="151" spans="1:8" ht="15.75">
      <c r="A151" s="129"/>
      <c r="B151" s="31" t="s">
        <v>78</v>
      </c>
      <c r="C151" s="139"/>
      <c r="D151" s="139"/>
      <c r="E151" s="139"/>
      <c r="F151" s="139"/>
      <c r="G151" s="28"/>
      <c r="H151" s="20"/>
    </row>
    <row r="152" spans="1:8" ht="15.75">
      <c r="A152" s="35"/>
      <c r="B152" s="35"/>
      <c r="C152" s="58"/>
      <c r="D152" s="58"/>
      <c r="E152" s="58"/>
      <c r="F152" s="58"/>
      <c r="G152" s="28"/>
      <c r="H152" s="20"/>
    </row>
    <row r="153" spans="1:8" ht="15.75">
      <c r="A153" s="133" t="s">
        <v>156</v>
      </c>
      <c r="B153" s="134"/>
      <c r="C153" s="52">
        <f>B22-B55</f>
        <v>800529</v>
      </c>
      <c r="D153" s="52">
        <f>C22-C55</f>
        <v>-876801</v>
      </c>
      <c r="E153" s="52">
        <f>D22-D55</f>
        <v>1570222</v>
      </c>
      <c r="F153" s="52">
        <f>E22-E55</f>
        <v>241356</v>
      </c>
      <c r="G153" s="28"/>
      <c r="H153" s="20"/>
    </row>
    <row r="154" spans="1:8" ht="15.75">
      <c r="A154" s="28"/>
      <c r="B154" s="28"/>
      <c r="C154" s="28"/>
      <c r="D154" s="28"/>
      <c r="E154" s="28"/>
      <c r="F154" s="28"/>
      <c r="G154" s="28"/>
      <c r="H154" s="20"/>
    </row>
    <row r="155" spans="1:8" ht="15.75">
      <c r="A155" s="28"/>
      <c r="B155" s="28"/>
      <c r="C155" s="28"/>
      <c r="D155" s="28"/>
      <c r="E155" s="28"/>
      <c r="F155" s="28"/>
      <c r="G155" s="28"/>
      <c r="H155" s="20"/>
    </row>
    <row r="156" spans="1:8" ht="18.75">
      <c r="A156" s="44" t="s">
        <v>82</v>
      </c>
      <c r="B156" s="35"/>
      <c r="C156" s="35"/>
      <c r="D156" s="35"/>
      <c r="E156" s="35"/>
      <c r="F156" s="28"/>
      <c r="G156" s="28"/>
      <c r="H156" s="20"/>
    </row>
    <row r="157" spans="1:8" ht="15.75">
      <c r="A157" s="35"/>
      <c r="B157" s="35"/>
      <c r="C157" s="35"/>
      <c r="D157" s="35"/>
      <c r="E157" s="35"/>
      <c r="F157" s="35"/>
      <c r="G157" s="28"/>
      <c r="H157" s="20"/>
    </row>
    <row r="158" spans="1:8" ht="15.75">
      <c r="A158" s="129" t="s">
        <v>83</v>
      </c>
      <c r="B158" s="30" t="s">
        <v>15</v>
      </c>
      <c r="C158" s="141">
        <f>B39/B22</f>
        <v>2.0291946756787499E-2</v>
      </c>
      <c r="D158" s="141">
        <f t="shared" ref="D158:E158" si="46">C39/C22</f>
        <v>-4.3807616275898915E-2</v>
      </c>
      <c r="E158" s="141">
        <f t="shared" si="46"/>
        <v>-0.44347899789511452</v>
      </c>
      <c r="F158" s="141">
        <f>E39/E22</f>
        <v>-0.58418538836185563</v>
      </c>
      <c r="G158" s="28"/>
      <c r="H158" s="20"/>
    </row>
    <row r="159" spans="1:8" ht="15.75">
      <c r="A159" s="129"/>
      <c r="B159" s="31" t="s">
        <v>84</v>
      </c>
      <c r="C159" s="142"/>
      <c r="D159" s="142"/>
      <c r="E159" s="142"/>
      <c r="F159" s="142"/>
      <c r="G159" s="28"/>
      <c r="H159" s="20"/>
    </row>
    <row r="160" spans="1:8" ht="15.75">
      <c r="A160" s="35"/>
      <c r="B160" s="35"/>
      <c r="C160" s="36"/>
      <c r="D160" s="36"/>
      <c r="E160" s="36"/>
      <c r="F160" s="36"/>
      <c r="G160" s="28"/>
      <c r="H160" s="20"/>
    </row>
    <row r="161" spans="1:8" ht="15.75">
      <c r="A161" s="129" t="s">
        <v>85</v>
      </c>
      <c r="B161" s="30" t="s">
        <v>86</v>
      </c>
      <c r="C161" s="130">
        <f>B39/B56</f>
        <v>2.0712238395523348E-2</v>
      </c>
      <c r="D161" s="130">
        <f>C39/C56</f>
        <v>-4.1969052144106699E-2</v>
      </c>
      <c r="E161" s="130">
        <f>D39/D56</f>
        <v>-0.30722926938445033</v>
      </c>
      <c r="F161" s="130">
        <f>E39/E56</f>
        <v>-0.36876074773416445</v>
      </c>
      <c r="G161" s="28"/>
      <c r="H161" s="20"/>
    </row>
    <row r="162" spans="1:8" ht="15.75">
      <c r="A162" s="129"/>
      <c r="B162" s="31" t="s">
        <v>14</v>
      </c>
      <c r="C162" s="131"/>
      <c r="D162" s="131"/>
      <c r="E162" s="131"/>
      <c r="F162" s="131"/>
      <c r="G162" s="28"/>
      <c r="H162" s="20"/>
    </row>
    <row r="163" spans="1:8" ht="15.75">
      <c r="A163" s="35"/>
      <c r="B163" s="35"/>
      <c r="C163" s="36"/>
      <c r="D163" s="36"/>
      <c r="E163" s="36"/>
      <c r="F163" s="36"/>
      <c r="G163" s="28"/>
      <c r="H163" s="20"/>
    </row>
    <row r="164" spans="1:8" ht="15.75">
      <c r="A164" s="129" t="s">
        <v>87</v>
      </c>
      <c r="B164" s="30" t="s">
        <v>14</v>
      </c>
      <c r="C164" s="141">
        <f>B56/B22</f>
        <v>0.97970805324321253</v>
      </c>
      <c r="D164" s="141">
        <f>C56/C22</f>
        <v>1.0438076162758989</v>
      </c>
      <c r="E164" s="141">
        <f>D56/D22</f>
        <v>1.4434789978951146</v>
      </c>
      <c r="F164" s="141">
        <f>E56/E22</f>
        <v>1.5841853883618555</v>
      </c>
      <c r="G164" s="28"/>
      <c r="H164" s="20"/>
    </row>
    <row r="165" spans="1:8" ht="15.75">
      <c r="A165" s="129"/>
      <c r="B165" s="31" t="s">
        <v>0</v>
      </c>
      <c r="C165" s="142"/>
      <c r="D165" s="142"/>
      <c r="E165" s="142"/>
      <c r="F165" s="142"/>
      <c r="G165" s="28"/>
      <c r="H165" s="20"/>
    </row>
    <row r="166" spans="1:8" ht="15.75">
      <c r="A166" s="35"/>
      <c r="B166" s="35"/>
      <c r="C166" s="36"/>
      <c r="D166" s="36"/>
      <c r="E166" s="36"/>
      <c r="F166" s="36"/>
      <c r="G166" s="28"/>
      <c r="H166" s="20"/>
    </row>
    <row r="167" spans="1:8" ht="15.75">
      <c r="A167" s="129" t="s">
        <v>88</v>
      </c>
      <c r="B167" s="30" t="s">
        <v>14</v>
      </c>
      <c r="C167" s="130">
        <f>B56/B39</f>
        <v>48.280633937476097</v>
      </c>
      <c r="D167" s="130">
        <f>C56/C39</f>
        <v>-23.827080882512142</v>
      </c>
      <c r="E167" s="130">
        <f>D56/D39</f>
        <v>-3.2548982133230715</v>
      </c>
      <c r="F167" s="130">
        <f>E56/E39</f>
        <v>-2.7117853680047554</v>
      </c>
      <c r="G167" s="28"/>
      <c r="H167" s="20"/>
    </row>
    <row r="168" spans="1:8" ht="15.75">
      <c r="A168" s="129"/>
      <c r="B168" s="31" t="s">
        <v>15</v>
      </c>
      <c r="C168" s="131"/>
      <c r="D168" s="131"/>
      <c r="E168" s="131"/>
      <c r="F168" s="131"/>
      <c r="G168" s="28"/>
      <c r="H168" s="20"/>
    </row>
    <row r="169" spans="1:8" ht="15.75">
      <c r="A169" s="35"/>
      <c r="B169" s="35"/>
      <c r="C169" s="36"/>
      <c r="D169" s="36"/>
      <c r="E169" s="36"/>
      <c r="F169" s="28"/>
      <c r="G169" s="28"/>
      <c r="H169" s="20"/>
    </row>
    <row r="170" spans="1:8" ht="15.75">
      <c r="A170" s="129" t="s">
        <v>89</v>
      </c>
      <c r="B170" s="30" t="s">
        <v>15</v>
      </c>
      <c r="C170" s="130">
        <f>B39/B47</f>
        <v>1.9971022197595667</v>
      </c>
      <c r="D170" s="130">
        <f t="shared" ref="D170:E170" si="47">C39/C47</f>
        <v>-4.7846817253777987</v>
      </c>
      <c r="E170" s="130">
        <f t="shared" si="47"/>
        <v>-0.88138751249031977</v>
      </c>
      <c r="F170" s="130">
        <f>E39/E47</f>
        <v>-0.98302637994350983</v>
      </c>
      <c r="G170" s="28"/>
      <c r="H170" s="20"/>
    </row>
    <row r="171" spans="1:8" ht="15.75">
      <c r="A171" s="129"/>
      <c r="B171" s="51" t="s">
        <v>143</v>
      </c>
      <c r="C171" s="131"/>
      <c r="D171" s="131"/>
      <c r="E171" s="131"/>
      <c r="F171" s="131"/>
      <c r="G171" s="28"/>
      <c r="H171" s="20"/>
    </row>
    <row r="172" spans="1:8" ht="15.75">
      <c r="A172" s="35"/>
      <c r="B172" s="35"/>
      <c r="C172" s="36"/>
      <c r="D172" s="36"/>
      <c r="E172" s="36"/>
      <c r="F172" s="36"/>
      <c r="G172" s="28"/>
      <c r="H172" s="20"/>
    </row>
    <row r="173" spans="1:8" ht="15.75">
      <c r="A173" s="129" t="s">
        <v>90</v>
      </c>
      <c r="B173" s="30" t="s">
        <v>155</v>
      </c>
      <c r="C173" s="141">
        <f>B55/B56</f>
        <v>0.98962885415148305</v>
      </c>
      <c r="D173" s="141">
        <f t="shared" ref="D173:E173" si="48">C55/C56</f>
        <v>0.99122845477443067</v>
      </c>
      <c r="E173" s="141">
        <f t="shared" si="48"/>
        <v>0.65142543429462918</v>
      </c>
      <c r="F173" s="141">
        <f>E55/E56</f>
        <v>0.62487197163991115</v>
      </c>
      <c r="G173" s="28"/>
      <c r="H173" s="20"/>
    </row>
    <row r="174" spans="1:8" ht="15.75">
      <c r="A174" s="129"/>
      <c r="B174" s="31" t="s">
        <v>91</v>
      </c>
      <c r="C174" s="142"/>
      <c r="D174" s="142"/>
      <c r="E174" s="142"/>
      <c r="F174" s="142"/>
      <c r="G174" s="28"/>
      <c r="H174" s="20"/>
    </row>
    <row r="175" spans="1:8" ht="15.75">
      <c r="A175" s="28"/>
      <c r="B175" s="28"/>
      <c r="C175" s="28"/>
      <c r="D175" s="28"/>
      <c r="E175" s="28"/>
      <c r="F175" s="28"/>
      <c r="G175" s="28"/>
      <c r="H175" s="20"/>
    </row>
    <row r="176" spans="1:8" ht="15.75">
      <c r="A176" s="28"/>
      <c r="B176" s="28"/>
      <c r="C176" s="28"/>
      <c r="D176" s="28"/>
      <c r="E176" s="28"/>
      <c r="F176" s="28"/>
      <c r="G176" s="28"/>
      <c r="H176" s="20"/>
    </row>
    <row r="177" spans="1:8" ht="18.75">
      <c r="A177" s="44" t="s">
        <v>92</v>
      </c>
      <c r="B177" s="35"/>
      <c r="C177" s="36"/>
      <c r="D177" s="36"/>
      <c r="E177" s="36"/>
      <c r="F177" s="28"/>
      <c r="G177" s="28"/>
      <c r="H177" s="20"/>
    </row>
    <row r="178" spans="1:8" ht="15.75">
      <c r="A178" s="35"/>
      <c r="B178" s="35"/>
      <c r="C178" s="36">
        <v>2009</v>
      </c>
      <c r="D178" s="36">
        <v>2008</v>
      </c>
      <c r="E178" s="36">
        <v>2007</v>
      </c>
      <c r="F178" s="28">
        <v>2006</v>
      </c>
      <c r="G178" s="28"/>
      <c r="H178" s="20"/>
    </row>
    <row r="179" spans="1:8" ht="15.75">
      <c r="A179" s="133" t="s">
        <v>93</v>
      </c>
      <c r="B179" s="134"/>
      <c r="C179" s="55">
        <f>B83+B75+B68</f>
        <v>354095</v>
      </c>
      <c r="D179" s="55">
        <f t="shared" ref="D179:E179" si="49">C83+C75+C68</f>
        <v>236351</v>
      </c>
      <c r="E179" s="55">
        <f t="shared" si="49"/>
        <v>1725585</v>
      </c>
      <c r="F179" s="55">
        <f>E83+E75+E68</f>
        <v>-1959361</v>
      </c>
      <c r="G179" s="28"/>
      <c r="H179" s="20"/>
    </row>
    <row r="180" spans="1:8" ht="15.75">
      <c r="A180" s="28"/>
      <c r="B180" s="28"/>
      <c r="C180" s="28"/>
      <c r="D180" s="28"/>
      <c r="E180" s="28"/>
      <c r="F180" s="28"/>
      <c r="G180" s="28"/>
      <c r="H180" s="20"/>
    </row>
    <row r="181" spans="1:8" ht="16.5" thickBot="1">
      <c r="A181" s="28"/>
      <c r="B181" s="28"/>
      <c r="C181" s="28"/>
      <c r="D181" s="28"/>
      <c r="E181" s="28"/>
      <c r="F181" s="28"/>
      <c r="G181" s="28"/>
      <c r="H181" s="20"/>
    </row>
    <row r="182" spans="1:8" ht="27" thickBot="1">
      <c r="A182" s="135" t="s">
        <v>95</v>
      </c>
      <c r="B182" s="136"/>
      <c r="C182" s="136"/>
      <c r="D182" s="136"/>
      <c r="E182" s="136"/>
      <c r="F182" s="137"/>
      <c r="G182" s="28"/>
      <c r="H182" s="20"/>
    </row>
    <row r="183" spans="1:8" ht="15.75">
      <c r="A183" s="28"/>
      <c r="B183" s="28"/>
      <c r="C183" s="28"/>
      <c r="D183" s="28"/>
      <c r="E183" s="28"/>
      <c r="F183" s="28"/>
      <c r="G183" s="28"/>
      <c r="H183" s="20"/>
    </row>
    <row r="184" spans="1:8" ht="18.75">
      <c r="A184" s="44" t="s">
        <v>66</v>
      </c>
      <c r="B184" s="35"/>
      <c r="C184" s="35"/>
      <c r="D184" s="35"/>
      <c r="E184" s="35"/>
      <c r="F184" s="35"/>
      <c r="G184" s="28"/>
      <c r="H184" s="20"/>
    </row>
    <row r="185" spans="1:8" ht="15.75">
      <c r="A185" s="35"/>
      <c r="B185" s="35"/>
      <c r="C185" s="35">
        <v>2009</v>
      </c>
      <c r="D185" s="35">
        <v>2008</v>
      </c>
      <c r="E185" s="35">
        <v>2007</v>
      </c>
      <c r="F185" s="35">
        <v>2006</v>
      </c>
      <c r="G185" s="28"/>
      <c r="H185" s="20"/>
    </row>
    <row r="186" spans="1:8" ht="15.75">
      <c r="A186" s="129" t="s">
        <v>96</v>
      </c>
      <c r="B186" s="30" t="s">
        <v>97</v>
      </c>
      <c r="C186" s="141">
        <f>H80/B63</f>
        <v>4.0598920127050908E-2</v>
      </c>
      <c r="D186" s="141">
        <f>I80/C63</f>
        <v>5.2025032015879998E-2</v>
      </c>
      <c r="E186" s="141">
        <f>J80/D63</f>
        <v>0.17597065968921072</v>
      </c>
      <c r="F186" s="141">
        <f>K80/E63</f>
        <v>-0.10065071528077821</v>
      </c>
      <c r="G186" s="28"/>
      <c r="H186" s="20"/>
    </row>
    <row r="187" spans="1:8" ht="15.75">
      <c r="A187" s="129"/>
      <c r="B187" s="31" t="s">
        <v>98</v>
      </c>
      <c r="C187" s="142"/>
      <c r="D187" s="142"/>
      <c r="E187" s="142"/>
      <c r="F187" s="142"/>
      <c r="G187" s="28"/>
      <c r="H187" s="20"/>
    </row>
    <row r="188" spans="1:8" ht="15.75">
      <c r="A188" s="37"/>
      <c r="B188" s="35"/>
      <c r="C188" s="35"/>
      <c r="D188" s="35"/>
      <c r="E188" s="35"/>
      <c r="F188" s="35"/>
      <c r="G188" s="28"/>
      <c r="H188" s="20"/>
    </row>
    <row r="189" spans="1:8" ht="15.75">
      <c r="A189" s="129" t="s">
        <v>99</v>
      </c>
      <c r="B189" s="30" t="s">
        <v>100</v>
      </c>
      <c r="C189" s="141">
        <f>H89/B63</f>
        <v>-7.4651205951087327E-3</v>
      </c>
      <c r="D189" s="141">
        <f>I89/C63</f>
        <v>-2.7045283955605039E-2</v>
      </c>
      <c r="E189" s="141">
        <f>J89/D63</f>
        <v>6.6542632584674535E-2</v>
      </c>
      <c r="F189" s="141">
        <f>K89/E63</f>
        <v>-0.20209301732173027</v>
      </c>
      <c r="G189" s="28"/>
      <c r="H189" s="20"/>
    </row>
    <row r="190" spans="1:8" ht="15.75">
      <c r="A190" s="129"/>
      <c r="B190" s="31" t="s">
        <v>98</v>
      </c>
      <c r="C190" s="142"/>
      <c r="D190" s="142"/>
      <c r="E190" s="142"/>
      <c r="F190" s="142"/>
      <c r="G190" s="28"/>
      <c r="H190" s="20"/>
    </row>
    <row r="191" spans="1:8" ht="15.75">
      <c r="A191" s="37"/>
      <c r="B191" s="35"/>
      <c r="C191" s="35"/>
      <c r="D191" s="38"/>
      <c r="E191" s="38"/>
      <c r="F191" s="38"/>
      <c r="G191" s="28"/>
      <c r="H191" s="20"/>
    </row>
    <row r="192" spans="1:8" ht="15.75">
      <c r="A192" s="129" t="s">
        <v>101</v>
      </c>
      <c r="B192" s="30" t="s">
        <v>72</v>
      </c>
      <c r="C192" s="141">
        <f>B63/B39</f>
        <v>56.465371146621472</v>
      </c>
      <c r="D192" s="141">
        <f>C63/C39</f>
        <v>-18.381904098615031</v>
      </c>
      <c r="E192" s="141">
        <f>D63/D39</f>
        <v>-1.0736347095439418</v>
      </c>
      <c r="F192" s="141">
        <f>E63/E39</f>
        <v>-0.99811154875537278</v>
      </c>
      <c r="G192" s="28"/>
      <c r="H192" s="20"/>
    </row>
    <row r="193" spans="1:11" ht="15.75">
      <c r="A193" s="129"/>
      <c r="B193" s="31" t="s">
        <v>86</v>
      </c>
      <c r="C193" s="142"/>
      <c r="D193" s="142"/>
      <c r="E193" s="142"/>
      <c r="F193" s="142"/>
      <c r="G193" s="28"/>
      <c r="H193" s="20"/>
    </row>
    <row r="194" spans="1:11" ht="15.75">
      <c r="A194" s="28"/>
      <c r="B194" s="28"/>
      <c r="C194" s="28"/>
      <c r="D194" s="28"/>
      <c r="E194" s="28"/>
      <c r="F194" s="28"/>
      <c r="G194" s="28"/>
      <c r="H194" s="20"/>
    </row>
    <row r="195" spans="1:11" ht="18.75">
      <c r="A195" s="44" t="s">
        <v>102</v>
      </c>
      <c r="B195" s="35"/>
      <c r="C195" s="35"/>
      <c r="D195" s="38"/>
      <c r="E195" s="38"/>
      <c r="F195" s="38"/>
      <c r="G195" s="28"/>
      <c r="H195" s="20"/>
    </row>
    <row r="196" spans="1:11" ht="15.75">
      <c r="A196" s="35"/>
      <c r="B196" s="35"/>
      <c r="C196" s="35"/>
      <c r="D196" s="39">
        <v>2009</v>
      </c>
      <c r="E196" s="39">
        <v>2008</v>
      </c>
      <c r="F196" s="39">
        <v>2007</v>
      </c>
      <c r="G196" s="40">
        <v>2006</v>
      </c>
      <c r="H196" s="20"/>
    </row>
    <row r="197" spans="1:11" ht="15.75">
      <c r="A197" s="129" t="s">
        <v>103</v>
      </c>
      <c r="B197" s="30" t="s">
        <v>104</v>
      </c>
      <c r="C197" s="140" t="s">
        <v>105</v>
      </c>
      <c r="D197" s="138">
        <f>(B15/B63*(1+0.21))*360</f>
        <v>100.24409395552023</v>
      </c>
      <c r="E197" s="138">
        <f>(C15/C63*(1+0.21))*360</f>
        <v>61.962876125856205</v>
      </c>
      <c r="F197" s="138">
        <f>(D15/D63*(1+0.21))*360</f>
        <v>87.908622531990787</v>
      </c>
      <c r="G197" s="138">
        <f>(E15/E63*(1+0.21))*360</f>
        <v>121.03722003101552</v>
      </c>
      <c r="H197" s="20"/>
    </row>
    <row r="198" spans="1:11" ht="15.75">
      <c r="A198" s="129"/>
      <c r="B198" s="31" t="s">
        <v>106</v>
      </c>
      <c r="C198" s="140"/>
      <c r="D198" s="139"/>
      <c r="E198" s="139"/>
      <c r="F198" s="139"/>
      <c r="G198" s="139"/>
      <c r="H198" s="20"/>
    </row>
    <row r="199" spans="1:11" ht="15.75">
      <c r="A199" s="35"/>
      <c r="B199" s="35"/>
      <c r="C199" s="35"/>
      <c r="D199" s="38"/>
      <c r="E199" s="38"/>
      <c r="F199" s="38"/>
      <c r="G199" s="28"/>
      <c r="H199" s="20"/>
      <c r="K199" s="57"/>
    </row>
    <row r="200" spans="1:11" ht="15.75">
      <c r="A200" s="129" t="s">
        <v>107</v>
      </c>
      <c r="B200" s="30" t="s">
        <v>98</v>
      </c>
      <c r="C200" s="35"/>
      <c r="D200" s="138">
        <f>B63/B15</f>
        <v>4.3453931579578349</v>
      </c>
      <c r="E200" s="138">
        <f>C63/C15</f>
        <v>7.0300158294012842</v>
      </c>
      <c r="F200" s="138">
        <f>D63/D15</f>
        <v>4.9551453253801245</v>
      </c>
      <c r="G200" s="138">
        <f>E63/E15</f>
        <v>3.5988929677034753</v>
      </c>
      <c r="H200" s="20"/>
      <c r="K200" s="57"/>
    </row>
    <row r="201" spans="1:11" ht="15.75">
      <c r="A201" s="129"/>
      <c r="B201" s="31" t="s">
        <v>104</v>
      </c>
      <c r="C201" s="35"/>
      <c r="D201" s="139"/>
      <c r="E201" s="139"/>
      <c r="F201" s="139"/>
      <c r="G201" s="139"/>
      <c r="H201" s="20"/>
    </row>
    <row r="202" spans="1:11" ht="15.75">
      <c r="A202" s="35"/>
      <c r="B202" s="35"/>
      <c r="C202" s="35"/>
      <c r="D202" s="39"/>
      <c r="E202" s="39"/>
      <c r="F202" s="39"/>
      <c r="G202" s="39"/>
      <c r="H202" s="20"/>
    </row>
    <row r="203" spans="1:11" ht="15.75">
      <c r="A203" s="129" t="s">
        <v>108</v>
      </c>
      <c r="B203" s="30" t="s">
        <v>34</v>
      </c>
      <c r="C203" s="140" t="s">
        <v>169</v>
      </c>
      <c r="D203" s="138">
        <f>(B49/(B14+B66)*(1.21))*365</f>
        <v>386.76727280669496</v>
      </c>
      <c r="E203" s="138">
        <f>(C49/(C14+C66)*(1.21))*365</f>
        <v>261.15750620934472</v>
      </c>
      <c r="F203" s="138">
        <f>(D49/(D14+D66)*(1.21))*365</f>
        <v>752.4981441211329</v>
      </c>
      <c r="G203" s="138">
        <f>(E49/(E14+E66)*(1.21))*365</f>
        <v>290.3157778882877</v>
      </c>
      <c r="H203" s="20"/>
    </row>
    <row r="204" spans="1:11" ht="15.75">
      <c r="A204" s="129"/>
      <c r="B204" s="31" t="s">
        <v>109</v>
      </c>
      <c r="C204" s="140"/>
      <c r="D204" s="139"/>
      <c r="E204" s="139"/>
      <c r="F204" s="139"/>
      <c r="G204" s="139"/>
      <c r="H204" s="20"/>
    </row>
    <row r="205" spans="1:11" ht="15.75">
      <c r="A205" s="35"/>
      <c r="B205" s="35"/>
      <c r="C205" s="35"/>
      <c r="D205" s="38"/>
      <c r="E205" s="38"/>
      <c r="F205" s="38"/>
      <c r="G205" s="28"/>
      <c r="H205" s="20"/>
    </row>
    <row r="206" spans="1:11" ht="15.75">
      <c r="A206" s="129" t="s">
        <v>110</v>
      </c>
      <c r="B206" s="30" t="s">
        <v>170</v>
      </c>
      <c r="C206" s="35"/>
      <c r="D206" s="138">
        <f>(B14+B66)/B49</f>
        <v>1.1419011665465688</v>
      </c>
      <c r="E206" s="138">
        <f>(C14+C66)/C49</f>
        <v>1.6911250471428987</v>
      </c>
      <c r="F206" s="138">
        <f>(D14+D66)/D49</f>
        <v>0.58691174649449462</v>
      </c>
      <c r="G206" s="138">
        <f>(E14+E66)/E49</f>
        <v>1.5212745349649757</v>
      </c>
      <c r="H206" s="20"/>
    </row>
    <row r="207" spans="1:11" ht="15.75">
      <c r="A207" s="129"/>
      <c r="B207" s="31" t="s">
        <v>34</v>
      </c>
      <c r="C207" s="35"/>
      <c r="D207" s="139"/>
      <c r="E207" s="139"/>
      <c r="F207" s="139"/>
      <c r="G207" s="139"/>
      <c r="H207" s="20"/>
    </row>
    <row r="208" spans="1:11" ht="15.75">
      <c r="A208" s="35"/>
      <c r="B208" s="35"/>
      <c r="C208" s="35"/>
      <c r="D208" s="38"/>
      <c r="E208" s="38"/>
      <c r="F208" s="38"/>
      <c r="G208" s="28"/>
      <c r="H208" s="20"/>
    </row>
    <row r="209" spans="1:8" ht="18.75">
      <c r="A209" s="44" t="s">
        <v>111</v>
      </c>
      <c r="B209" s="35"/>
      <c r="C209" s="35"/>
      <c r="D209" s="38"/>
      <c r="E209" s="38"/>
      <c r="F209" s="38"/>
      <c r="G209" s="28"/>
      <c r="H209" s="20"/>
    </row>
    <row r="210" spans="1:8" ht="15.75">
      <c r="A210" s="35"/>
      <c r="B210" s="35"/>
      <c r="C210" s="58"/>
      <c r="D210" s="39"/>
      <c r="E210" s="39"/>
      <c r="F210" s="39"/>
      <c r="G210" s="28"/>
      <c r="H210" s="20"/>
    </row>
    <row r="211" spans="1:8" ht="15.75">
      <c r="A211" s="129" t="s">
        <v>112</v>
      </c>
      <c r="B211" s="30" t="s">
        <v>113</v>
      </c>
      <c r="C211" s="130">
        <f>H71/233</f>
        <v>39801.759656652357</v>
      </c>
      <c r="D211" s="130">
        <f>I71/233</f>
        <v>30362.278969957082</v>
      </c>
      <c r="E211" s="130">
        <f>J71/233</f>
        <v>21967.270386266093</v>
      </c>
      <c r="F211" s="130">
        <f t="shared" ref="F211" si="50">K71/233</f>
        <v>21079</v>
      </c>
      <c r="G211" s="28"/>
      <c r="H211" s="20"/>
    </row>
    <row r="212" spans="1:8" ht="15.75">
      <c r="A212" s="129"/>
      <c r="B212" s="31" t="s">
        <v>114</v>
      </c>
      <c r="C212" s="131"/>
      <c r="D212" s="131"/>
      <c r="E212" s="131"/>
      <c r="F212" s="131"/>
      <c r="G212" s="28"/>
      <c r="H212" s="20"/>
    </row>
    <row r="213" spans="1:8" ht="15.75">
      <c r="A213" s="35"/>
      <c r="B213" s="31"/>
      <c r="C213" s="39"/>
      <c r="D213" s="39"/>
      <c r="E213" s="59"/>
      <c r="F213" s="40"/>
      <c r="G213" s="28"/>
      <c r="H213" s="20"/>
    </row>
    <row r="214" spans="1:8" ht="15.75">
      <c r="A214" s="129" t="s">
        <v>115</v>
      </c>
      <c r="B214" s="30" t="s">
        <v>113</v>
      </c>
      <c r="C214" s="130">
        <f>H71/B6</f>
        <v>0.93861680634199751</v>
      </c>
      <c r="D214" s="130">
        <f>I71/C6</f>
        <v>0.69534570060708001</v>
      </c>
      <c r="E214" s="130">
        <f>J71/D6</f>
        <v>0.49086264292284948</v>
      </c>
      <c r="F214" s="130">
        <f>K71/E6</f>
        <v>0.43860064144158434</v>
      </c>
      <c r="G214" s="28"/>
      <c r="H214" s="20"/>
    </row>
    <row r="215" spans="1:8" ht="15.75">
      <c r="A215" s="129"/>
      <c r="B215" s="31" t="s">
        <v>116</v>
      </c>
      <c r="C215" s="131"/>
      <c r="D215" s="131"/>
      <c r="E215" s="131"/>
      <c r="F215" s="131"/>
      <c r="G215" s="28"/>
      <c r="H215" s="20"/>
    </row>
    <row r="216" spans="1:8" ht="15.75">
      <c r="A216" s="35"/>
      <c r="B216" s="35"/>
      <c r="C216" s="39"/>
      <c r="D216" s="39"/>
      <c r="E216" s="39"/>
      <c r="F216" s="40"/>
      <c r="G216" s="28"/>
      <c r="H216" s="20"/>
    </row>
    <row r="217" spans="1:8" ht="15.75">
      <c r="A217" s="129" t="s">
        <v>117</v>
      </c>
      <c r="B217" s="30" t="s">
        <v>118</v>
      </c>
      <c r="C217" s="138">
        <f>B6/233</f>
        <v>42404.695278969957</v>
      </c>
      <c r="D217" s="138">
        <f t="shared" ref="D217:E217" si="51">C6/233</f>
        <v>43665.012875536479</v>
      </c>
      <c r="E217" s="138">
        <f t="shared" si="51"/>
        <v>44752.377682403436</v>
      </c>
      <c r="F217" s="138">
        <f>E6/233</f>
        <v>48059.6652360515</v>
      </c>
      <c r="G217" s="28"/>
      <c r="H217" s="20"/>
    </row>
    <row r="218" spans="1:8" ht="15.75">
      <c r="A218" s="129"/>
      <c r="B218" s="31" t="s">
        <v>114</v>
      </c>
      <c r="C218" s="139"/>
      <c r="D218" s="139"/>
      <c r="E218" s="139"/>
      <c r="F218" s="139"/>
      <c r="G218" s="28"/>
      <c r="H218" s="20"/>
    </row>
    <row r="219" spans="1:8" ht="15.75">
      <c r="A219" s="28"/>
      <c r="B219" s="28"/>
      <c r="C219" s="28"/>
      <c r="D219" s="28"/>
      <c r="E219" s="28"/>
      <c r="F219" s="28"/>
      <c r="G219" s="28"/>
      <c r="H219" s="20"/>
    </row>
    <row r="220" spans="1:8" ht="16.5" thickBot="1">
      <c r="A220" s="28"/>
      <c r="B220" s="28"/>
      <c r="C220" s="28"/>
      <c r="D220" s="28"/>
      <c r="E220" s="28"/>
      <c r="F220" s="28"/>
      <c r="G220" s="28"/>
      <c r="H220" s="20"/>
    </row>
    <row r="221" spans="1:8" ht="27" thickBot="1">
      <c r="A221" s="135" t="s">
        <v>119</v>
      </c>
      <c r="B221" s="136"/>
      <c r="C221" s="136"/>
      <c r="D221" s="136"/>
      <c r="E221" s="137"/>
      <c r="F221" s="28"/>
      <c r="G221" s="28"/>
      <c r="H221" s="20"/>
    </row>
    <row r="222" spans="1:8" ht="15.75">
      <c r="A222" s="28"/>
      <c r="B222" s="28"/>
      <c r="C222" s="28"/>
      <c r="D222" s="28"/>
      <c r="E222" s="28"/>
      <c r="F222" s="28"/>
      <c r="G222" s="28"/>
      <c r="H222" s="20"/>
    </row>
    <row r="223" spans="1:8" ht="18.75">
      <c r="A223" s="44" t="s">
        <v>120</v>
      </c>
      <c r="B223" s="35"/>
      <c r="C223" s="35"/>
      <c r="D223" s="35"/>
      <c r="E223" s="35"/>
      <c r="F223" s="35"/>
      <c r="G223" s="28"/>
      <c r="H223" s="20"/>
    </row>
    <row r="224" spans="1:8" ht="15.75">
      <c r="A224" s="35"/>
      <c r="B224" s="35"/>
      <c r="C224" s="28"/>
      <c r="D224" s="28"/>
      <c r="E224" s="28"/>
      <c r="F224" s="28"/>
      <c r="G224" s="28"/>
      <c r="H224" s="20"/>
    </row>
    <row r="225" spans="1:8" ht="15.75">
      <c r="A225" s="133" t="s">
        <v>121</v>
      </c>
      <c r="B225" s="134"/>
      <c r="C225" s="53">
        <f>B70-B72</f>
        <v>-13415</v>
      </c>
      <c r="D225" s="53">
        <f t="shared" ref="D225:E225" si="52">C70-C72</f>
        <v>203290</v>
      </c>
      <c r="E225" s="53">
        <f t="shared" si="52"/>
        <v>-305720</v>
      </c>
      <c r="F225" s="53">
        <f>E70-E72</f>
        <v>-784504</v>
      </c>
      <c r="G225" s="28"/>
      <c r="H225" s="20"/>
    </row>
    <row r="226" spans="1:8" ht="15.75">
      <c r="A226" s="35"/>
      <c r="B226" s="35"/>
      <c r="C226" s="35"/>
      <c r="D226" s="35"/>
      <c r="E226" s="35"/>
      <c r="F226" s="35"/>
      <c r="G226" s="28"/>
      <c r="H226" s="20"/>
    </row>
    <row r="227" spans="1:8" ht="15.75">
      <c r="A227" s="129" t="s">
        <v>122</v>
      </c>
      <c r="B227" s="30" t="s">
        <v>123</v>
      </c>
      <c r="C227" s="130">
        <f>C225/H80</f>
        <v>-1.097029230125085E-2</v>
      </c>
      <c r="D227" s="130">
        <f>D225/I80</f>
        <v>0.19177343019641471</v>
      </c>
      <c r="E227" s="130">
        <f>E225/J80</f>
        <v>-0.13868500557969896</v>
      </c>
      <c r="F227" s="130">
        <f t="shared" ref="F227" si="53">F225/K80</f>
        <v>0.55866365770791693</v>
      </c>
      <c r="G227" s="28"/>
      <c r="H227" s="20"/>
    </row>
    <row r="228" spans="1:8" ht="15.75">
      <c r="A228" s="129"/>
      <c r="B228" s="31" t="s">
        <v>124</v>
      </c>
      <c r="C228" s="131"/>
      <c r="D228" s="131"/>
      <c r="E228" s="131"/>
      <c r="F228" s="131"/>
      <c r="G228" s="28"/>
      <c r="H228" s="20"/>
    </row>
    <row r="229" spans="1:8" ht="15.75">
      <c r="A229" s="35"/>
      <c r="B229" s="31"/>
      <c r="C229" s="36"/>
      <c r="D229" s="36"/>
      <c r="E229" s="36"/>
      <c r="F229" s="35"/>
      <c r="G229" s="28"/>
      <c r="H229" s="20"/>
    </row>
    <row r="230" spans="1:8" ht="18.75">
      <c r="A230" s="44" t="s">
        <v>125</v>
      </c>
      <c r="B230" s="31"/>
      <c r="C230" s="36"/>
      <c r="D230" s="36"/>
      <c r="E230" s="36"/>
      <c r="F230" s="35"/>
      <c r="G230" s="28"/>
      <c r="H230" s="20"/>
    </row>
    <row r="231" spans="1:8" ht="15.75">
      <c r="A231" s="35"/>
      <c r="B231" s="31"/>
      <c r="C231" s="36"/>
      <c r="D231" s="36"/>
      <c r="E231" s="36"/>
      <c r="F231" s="36"/>
      <c r="G231" s="28"/>
      <c r="H231" s="20"/>
    </row>
    <row r="232" spans="1:8" ht="15.75">
      <c r="A232" s="129" t="s">
        <v>126</v>
      </c>
      <c r="B232" s="30" t="s">
        <v>124</v>
      </c>
      <c r="C232" s="130">
        <f>H80/B81</f>
        <v>4.9943760338173133</v>
      </c>
      <c r="D232" s="130">
        <f>I80/C81</f>
        <v>-2.4916920328604841</v>
      </c>
      <c r="E232" s="130">
        <f>J80/D81</f>
        <v>-3.4913761700375363</v>
      </c>
      <c r="F232" s="130">
        <f>K80/E81</f>
        <v>0.34060812423473891</v>
      </c>
      <c r="G232" s="28"/>
      <c r="H232" s="20"/>
    </row>
    <row r="233" spans="1:8" ht="15.75">
      <c r="A233" s="129"/>
      <c r="B233" s="31" t="s">
        <v>127</v>
      </c>
      <c r="C233" s="131"/>
      <c r="D233" s="131"/>
      <c r="E233" s="131"/>
      <c r="F233" s="131"/>
      <c r="G233" s="28"/>
      <c r="H233" s="20"/>
    </row>
    <row r="234" spans="1:8" ht="15.75">
      <c r="A234" s="35"/>
      <c r="B234" s="31"/>
      <c r="C234" s="36"/>
      <c r="D234" s="36"/>
      <c r="E234" s="36"/>
      <c r="F234" s="35"/>
      <c r="G234" s="28"/>
      <c r="H234" s="20"/>
    </row>
    <row r="235" spans="1:8" ht="18.75">
      <c r="A235" s="44" t="s">
        <v>128</v>
      </c>
      <c r="B235" s="31"/>
      <c r="C235" s="36"/>
      <c r="D235" s="36"/>
      <c r="E235" s="36"/>
      <c r="F235" s="35"/>
      <c r="G235" s="28"/>
      <c r="H235" s="20"/>
    </row>
    <row r="236" spans="1:8" ht="15.75">
      <c r="A236" s="35"/>
      <c r="B236" s="31"/>
      <c r="C236" s="36"/>
      <c r="D236" s="36"/>
      <c r="E236" s="36"/>
      <c r="F236" s="36"/>
      <c r="G236" s="28"/>
      <c r="H236" s="20"/>
    </row>
    <row r="237" spans="1:8" ht="15.75">
      <c r="A237" s="133" t="s">
        <v>129</v>
      </c>
      <c r="B237" s="134"/>
      <c r="C237" s="54">
        <f>C227*C232</f>
        <v>-5.478976495333783E-2</v>
      </c>
      <c r="D237" s="54">
        <f t="shared" ref="D237:E237" si="54">D227*D232</f>
        <v>-0.47784032813473271</v>
      </c>
      <c r="E237" s="54">
        <f t="shared" si="54"/>
        <v>0.4842015236224837</v>
      </c>
      <c r="F237" s="54">
        <f>F227*F232</f>
        <v>0.19028538053001182</v>
      </c>
      <c r="G237" s="28"/>
      <c r="H237" s="20"/>
    </row>
    <row r="238" spans="1:8" ht="15.75">
      <c r="A238" s="35"/>
      <c r="B238" s="31"/>
      <c r="C238" s="35"/>
      <c r="D238" s="35"/>
      <c r="E238" s="35"/>
      <c r="F238" s="35"/>
      <c r="G238" s="28"/>
      <c r="H238" s="20"/>
    </row>
    <row r="239" spans="1:8" ht="15.75">
      <c r="A239" s="35"/>
      <c r="B239" s="35"/>
      <c r="C239" s="35"/>
      <c r="D239" s="35"/>
      <c r="E239" s="28"/>
      <c r="F239" s="35"/>
      <c r="G239" s="28"/>
      <c r="H239" s="20"/>
    </row>
    <row r="240" spans="1:8" ht="19.5" thickBot="1">
      <c r="A240" s="45" t="s">
        <v>130</v>
      </c>
      <c r="B240" s="35"/>
      <c r="C240" s="35"/>
      <c r="D240" s="28">
        <v>2009</v>
      </c>
      <c r="E240" s="35">
        <v>2008</v>
      </c>
      <c r="F240" s="35">
        <v>2007</v>
      </c>
      <c r="G240" s="35">
        <v>2006</v>
      </c>
      <c r="H240" s="20"/>
    </row>
    <row r="241" spans="1:8" ht="16.5" thickBot="1">
      <c r="A241" s="129" t="s">
        <v>131</v>
      </c>
      <c r="B241" s="41" t="s">
        <v>132</v>
      </c>
      <c r="C241" s="132">
        <v>-1</v>
      </c>
      <c r="D241" s="122">
        <f>(B22/C22)-1</f>
        <v>3.890775783913325E-2</v>
      </c>
      <c r="E241" s="122">
        <f t="shared" ref="E241" si="55">(C22/D22)-1</f>
        <v>-3.8275620652354903E-2</v>
      </c>
      <c r="F241" s="122">
        <f>(D22/E22)-1</f>
        <v>9.9578841003441054E-2</v>
      </c>
      <c r="G241" s="122">
        <v>0</v>
      </c>
      <c r="H241" s="20"/>
    </row>
    <row r="242" spans="1:8" ht="16.5" thickBot="1">
      <c r="A242" s="129"/>
      <c r="B242" s="31" t="s">
        <v>133</v>
      </c>
      <c r="C242" s="132"/>
      <c r="D242" s="123"/>
      <c r="E242" s="123"/>
      <c r="F242" s="123"/>
      <c r="G242" s="123"/>
      <c r="H242" s="20"/>
    </row>
    <row r="243" spans="1:8" ht="16.5" thickBot="1">
      <c r="A243" s="35"/>
      <c r="B243" s="35"/>
      <c r="C243" s="35"/>
      <c r="D243" s="36"/>
      <c r="E243" s="36"/>
      <c r="F243" s="36"/>
      <c r="G243" s="28"/>
      <c r="H243" s="20"/>
    </row>
    <row r="244" spans="1:8" ht="16.5" thickBot="1">
      <c r="A244" s="129" t="s">
        <v>134</v>
      </c>
      <c r="B244" s="41" t="s">
        <v>135</v>
      </c>
      <c r="C244" s="132" t="s">
        <v>136</v>
      </c>
      <c r="D244" s="124">
        <f>(B83/B39)*(1-0)</f>
        <v>-0.42152080505710238</v>
      </c>
      <c r="E244" s="124">
        <f>(C83/C39)*(1-0)</f>
        <v>0.49714381599174357</v>
      </c>
      <c r="F244" s="124">
        <f>(D83/D39)*(1-0)</f>
        <v>-7.1442480007336287E-2</v>
      </c>
      <c r="G244" s="124">
        <f>(E83/E39)*(1-0)</f>
        <v>0.22639595121547454</v>
      </c>
      <c r="H244" s="20"/>
    </row>
    <row r="245" spans="1:8" ht="16.5" thickBot="1">
      <c r="A245" s="129"/>
      <c r="B245" s="31" t="s">
        <v>137</v>
      </c>
      <c r="C245" s="132"/>
      <c r="D245" s="125"/>
      <c r="E245" s="125"/>
      <c r="F245" s="125"/>
      <c r="G245" s="125"/>
      <c r="H245" s="20"/>
    </row>
    <row r="246" spans="1:8" ht="16.5" thickBot="1">
      <c r="A246" s="35"/>
      <c r="B246" s="35"/>
      <c r="C246" s="35"/>
      <c r="D246" s="36"/>
      <c r="E246" s="36"/>
      <c r="F246" s="36"/>
      <c r="G246" s="28"/>
      <c r="H246" s="20"/>
    </row>
    <row r="247" spans="1:8" ht="16.5" thickBot="1">
      <c r="A247" s="129" t="s">
        <v>138</v>
      </c>
      <c r="B247" s="41" t="s">
        <v>139</v>
      </c>
      <c r="C247" s="35"/>
      <c r="D247" s="122">
        <v>0</v>
      </c>
      <c r="E247" s="122">
        <v>0</v>
      </c>
      <c r="F247" s="122">
        <v>0</v>
      </c>
      <c r="G247" s="122">
        <v>0</v>
      </c>
      <c r="H247" s="20"/>
    </row>
    <row r="248" spans="1:8" ht="16.5" thickBot="1">
      <c r="A248" s="129"/>
      <c r="B248" s="31" t="s">
        <v>140</v>
      </c>
      <c r="C248" s="35"/>
      <c r="D248" s="123"/>
      <c r="E248" s="123"/>
      <c r="F248" s="123"/>
      <c r="G248" s="123"/>
      <c r="H248" s="20"/>
    </row>
    <row r="249" spans="1:8" ht="15.75">
      <c r="A249" s="28"/>
      <c r="B249" s="28"/>
      <c r="C249" s="28"/>
      <c r="D249" s="28"/>
      <c r="E249" s="28"/>
      <c r="F249" s="28"/>
      <c r="G249" s="28"/>
      <c r="H249" s="20"/>
    </row>
    <row r="250" spans="1:8" ht="15.75">
      <c r="A250" s="28"/>
      <c r="B250" s="28"/>
      <c r="C250" s="28"/>
      <c r="D250" s="28"/>
      <c r="E250" s="28"/>
      <c r="F250" s="28"/>
      <c r="G250" s="28"/>
      <c r="H250" s="20"/>
    </row>
    <row r="251" spans="1:8" ht="15.75">
      <c r="A251" s="28"/>
      <c r="B251" s="28"/>
      <c r="C251" s="28"/>
      <c r="D251" s="28"/>
      <c r="E251" s="28"/>
      <c r="F251" s="28"/>
      <c r="G251" s="28"/>
      <c r="H251" s="20"/>
    </row>
    <row r="252" spans="1:8" ht="15.75">
      <c r="A252" s="28"/>
      <c r="B252" s="28"/>
      <c r="C252" s="28"/>
      <c r="D252" s="28"/>
      <c r="E252" s="28"/>
      <c r="F252" s="28"/>
      <c r="G252" s="28"/>
      <c r="H252" s="20"/>
    </row>
    <row r="253" spans="1:8" ht="15.75">
      <c r="A253" s="28"/>
      <c r="B253" s="28"/>
      <c r="C253" s="28"/>
      <c r="D253" s="28"/>
      <c r="E253" s="28"/>
      <c r="F253" s="28"/>
      <c r="G253" s="28"/>
      <c r="H253" s="20"/>
    </row>
    <row r="254" spans="1:8" ht="15.75">
      <c r="A254" s="20"/>
      <c r="B254" s="20"/>
      <c r="C254" s="20"/>
      <c r="D254" s="20"/>
      <c r="E254" s="20"/>
      <c r="F254" s="20"/>
      <c r="G254" s="20"/>
      <c r="H254" s="20"/>
    </row>
  </sheetData>
  <mergeCells count="158">
    <mergeCell ref="A182:F182"/>
    <mergeCell ref="G1:K1"/>
    <mergeCell ref="C122:C123"/>
    <mergeCell ref="D122:D123"/>
    <mergeCell ref="E122:E123"/>
    <mergeCell ref="C127:C128"/>
    <mergeCell ref="D127:D128"/>
    <mergeCell ref="E127:E128"/>
    <mergeCell ref="A138:A139"/>
    <mergeCell ref="C138:C139"/>
    <mergeCell ref="D138:D139"/>
    <mergeCell ref="E138:E139"/>
    <mergeCell ref="F138:F139"/>
    <mergeCell ref="F144:F145"/>
    <mergeCell ref="E147:E148"/>
    <mergeCell ref="A150:A151"/>
    <mergeCell ref="C150:C151"/>
    <mergeCell ref="D150:D151"/>
    <mergeCell ref="E150:E151"/>
    <mergeCell ref="A158:A159"/>
    <mergeCell ref="C158:C159"/>
    <mergeCell ref="D158:D159"/>
    <mergeCell ref="E158:E159"/>
    <mergeCell ref="F158:F159"/>
    <mergeCell ref="F147:F148"/>
    <mergeCell ref="A147:A148"/>
    <mergeCell ref="C147:C148"/>
    <mergeCell ref="D147:D148"/>
    <mergeCell ref="A153:B153"/>
    <mergeCell ref="A118:E118"/>
    <mergeCell ref="A144:A145"/>
    <mergeCell ref="C144:C145"/>
    <mergeCell ref="D144:D145"/>
    <mergeCell ref="E144:E145"/>
    <mergeCell ref="E161:E162"/>
    <mergeCell ref="A164:A165"/>
    <mergeCell ref="C164:C165"/>
    <mergeCell ref="D164:D165"/>
    <mergeCell ref="E164:E165"/>
    <mergeCell ref="C135:C136"/>
    <mergeCell ref="D135:D136"/>
    <mergeCell ref="E135:E136"/>
    <mergeCell ref="F135:F136"/>
    <mergeCell ref="A167:A168"/>
    <mergeCell ref="C167:C168"/>
    <mergeCell ref="F122:F123"/>
    <mergeCell ref="F150:F151"/>
    <mergeCell ref="F127:F128"/>
    <mergeCell ref="C131:C132"/>
    <mergeCell ref="D131:D132"/>
    <mergeCell ref="E131:E132"/>
    <mergeCell ref="F131:F132"/>
    <mergeCell ref="A186:A187"/>
    <mergeCell ref="D186:D187"/>
    <mergeCell ref="E186:E187"/>
    <mergeCell ref="F186:F187"/>
    <mergeCell ref="C186:C187"/>
    <mergeCell ref="F173:F174"/>
    <mergeCell ref="F167:F168"/>
    <mergeCell ref="F170:F171"/>
    <mergeCell ref="F161:F162"/>
    <mergeCell ref="F164:F165"/>
    <mergeCell ref="A173:A174"/>
    <mergeCell ref="C173:C174"/>
    <mergeCell ref="D173:D174"/>
    <mergeCell ref="E173:E174"/>
    <mergeCell ref="D167:D168"/>
    <mergeCell ref="E167:E168"/>
    <mergeCell ref="A170:A171"/>
    <mergeCell ref="C170:C171"/>
    <mergeCell ref="D170:D171"/>
    <mergeCell ref="E170:E171"/>
    <mergeCell ref="D161:D162"/>
    <mergeCell ref="A161:A162"/>
    <mergeCell ref="C161:C162"/>
    <mergeCell ref="A179:B179"/>
    <mergeCell ref="A189:A190"/>
    <mergeCell ref="D189:D190"/>
    <mergeCell ref="E189:E190"/>
    <mergeCell ref="F189:F190"/>
    <mergeCell ref="A192:A193"/>
    <mergeCell ref="D192:D193"/>
    <mergeCell ref="E192:E193"/>
    <mergeCell ref="F192:F193"/>
    <mergeCell ref="C189:C190"/>
    <mergeCell ref="C192:C193"/>
    <mergeCell ref="G197:G198"/>
    <mergeCell ref="G200:G201"/>
    <mergeCell ref="G203:G204"/>
    <mergeCell ref="G206:G207"/>
    <mergeCell ref="A203:A204"/>
    <mergeCell ref="C203:C204"/>
    <mergeCell ref="D203:D204"/>
    <mergeCell ref="E203:E204"/>
    <mergeCell ref="F203:F204"/>
    <mergeCell ref="A206:A207"/>
    <mergeCell ref="D206:D207"/>
    <mergeCell ref="E206:E207"/>
    <mergeCell ref="F206:F207"/>
    <mergeCell ref="A197:A198"/>
    <mergeCell ref="C197:C198"/>
    <mergeCell ref="D197:D198"/>
    <mergeCell ref="E197:E198"/>
    <mergeCell ref="F197:F198"/>
    <mergeCell ref="A200:A201"/>
    <mergeCell ref="D200:D201"/>
    <mergeCell ref="E200:E201"/>
    <mergeCell ref="F200:F201"/>
    <mergeCell ref="A217:A218"/>
    <mergeCell ref="E217:E218"/>
    <mergeCell ref="F211:F212"/>
    <mergeCell ref="F214:F215"/>
    <mergeCell ref="F217:F218"/>
    <mergeCell ref="A211:A212"/>
    <mergeCell ref="C211:C212"/>
    <mergeCell ref="A214:A215"/>
    <mergeCell ref="C214:C215"/>
    <mergeCell ref="D211:D212"/>
    <mergeCell ref="E211:E212"/>
    <mergeCell ref="D214:D215"/>
    <mergeCell ref="E214:E215"/>
    <mergeCell ref="C217:C218"/>
    <mergeCell ref="D217:D218"/>
    <mergeCell ref="A237:B237"/>
    <mergeCell ref="A241:A242"/>
    <mergeCell ref="C241:C242"/>
    <mergeCell ref="D241:D242"/>
    <mergeCell ref="E241:E242"/>
    <mergeCell ref="A221:E221"/>
    <mergeCell ref="A225:B225"/>
    <mergeCell ref="A227:A228"/>
    <mergeCell ref="C227:C228"/>
    <mergeCell ref="D227:D228"/>
    <mergeCell ref="E227:E228"/>
    <mergeCell ref="R59:T59"/>
    <mergeCell ref="N59:Q59"/>
    <mergeCell ref="G241:G242"/>
    <mergeCell ref="G244:G245"/>
    <mergeCell ref="G247:G248"/>
    <mergeCell ref="A1:E1"/>
    <mergeCell ref="A59:E59"/>
    <mergeCell ref="A85:E85"/>
    <mergeCell ref="A247:A248"/>
    <mergeCell ref="D247:D248"/>
    <mergeCell ref="E247:E248"/>
    <mergeCell ref="F247:F248"/>
    <mergeCell ref="F227:F228"/>
    <mergeCell ref="F232:F233"/>
    <mergeCell ref="F241:F242"/>
    <mergeCell ref="A244:A245"/>
    <mergeCell ref="C244:C245"/>
    <mergeCell ref="D244:D245"/>
    <mergeCell ref="E244:E245"/>
    <mergeCell ref="F244:F245"/>
    <mergeCell ref="A232:A233"/>
    <mergeCell ref="C232:C233"/>
    <mergeCell ref="D232:D233"/>
    <mergeCell ref="E232:E23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K60"/>
  <sheetViews>
    <sheetView topLeftCell="A39" workbookViewId="0">
      <selection activeCell="A55" sqref="A55"/>
    </sheetView>
  </sheetViews>
  <sheetFormatPr defaultRowHeight="15"/>
  <cols>
    <col min="1" max="1" width="44.28515625" bestFit="1" customWidth="1"/>
    <col min="2" max="2" width="29.140625" bestFit="1" customWidth="1"/>
    <col min="3" max="3" width="24.85546875" bestFit="1" customWidth="1"/>
    <col min="4" max="5" width="16.28515625" bestFit="1" customWidth="1"/>
    <col min="7" max="7" width="40.5703125" bestFit="1" customWidth="1"/>
  </cols>
  <sheetData>
    <row r="2" spans="1:11" ht="26.25">
      <c r="A2" s="149" t="s">
        <v>211</v>
      </c>
      <c r="B2" s="149"/>
      <c r="C2" s="149"/>
      <c r="D2" s="149"/>
      <c r="E2" s="149"/>
    </row>
    <row r="3" spans="1:11">
      <c r="A3" s="62"/>
      <c r="B3" s="62"/>
      <c r="C3" s="62"/>
      <c r="D3" s="62"/>
      <c r="E3" s="62"/>
      <c r="G3" s="150" t="s">
        <v>230</v>
      </c>
      <c r="H3" s="151"/>
      <c r="I3" s="151"/>
      <c r="J3" s="151"/>
      <c r="K3" s="152"/>
    </row>
    <row r="4" spans="1:11">
      <c r="A4" s="63" t="s">
        <v>212</v>
      </c>
      <c r="B4" s="63">
        <v>2009</v>
      </c>
      <c r="C4" s="63">
        <v>2008</v>
      </c>
      <c r="D4" s="63">
        <v>2007</v>
      </c>
      <c r="E4" s="63">
        <v>2006</v>
      </c>
      <c r="F4" s="43"/>
      <c r="G4" s="63" t="s">
        <v>223</v>
      </c>
      <c r="H4" s="112">
        <v>2009</v>
      </c>
      <c r="I4" s="112">
        <v>2008</v>
      </c>
      <c r="J4" s="112">
        <v>2007</v>
      </c>
      <c r="K4" s="112">
        <v>2006</v>
      </c>
    </row>
    <row r="5" spans="1:11">
      <c r="A5" s="62" t="s">
        <v>172</v>
      </c>
      <c r="B5" s="99">
        <f>Balanço!H61</f>
        <v>17241376</v>
      </c>
      <c r="C5" s="99">
        <f>Balanço!I61</f>
        <v>11589647</v>
      </c>
      <c r="D5" s="99">
        <f>Balanço!J61</f>
        <v>5669135</v>
      </c>
      <c r="E5" s="99">
        <f>Balanço!K61</f>
        <v>4653821</v>
      </c>
      <c r="F5" s="43"/>
      <c r="G5" s="62" t="s">
        <v>224</v>
      </c>
      <c r="H5" s="113">
        <f>Balanço!N61</f>
        <v>0.57241885099738676</v>
      </c>
      <c r="I5" s="113">
        <f>Balanço!O61</f>
        <v>0.38477975419162086</v>
      </c>
      <c r="J5" s="113">
        <f>Balanço!P61</f>
        <v>0.18821698122290648</v>
      </c>
      <c r="K5" s="113">
        <f>Balanço!Q61</f>
        <v>0.15450825210049995</v>
      </c>
    </row>
    <row r="6" spans="1:11">
      <c r="A6" s="62" t="s">
        <v>173</v>
      </c>
      <c r="B6" s="99">
        <f>Balanço!H62</f>
        <v>12878834</v>
      </c>
      <c r="C6" s="99">
        <f>Balanço!I62</f>
        <v>8786179</v>
      </c>
      <c r="D6" s="99">
        <f>Balanço!J62</f>
        <v>6858067</v>
      </c>
      <c r="E6" s="99">
        <f>Balanço!K62</f>
        <v>9297903</v>
      </c>
      <c r="F6" s="10"/>
      <c r="G6" s="62" t="s">
        <v>225</v>
      </c>
      <c r="H6" s="113">
        <f>Balanço!N62</f>
        <v>0.42758114900261318</v>
      </c>
      <c r="I6" s="113">
        <f>Balanço!O62</f>
        <v>0.29170377630169247</v>
      </c>
      <c r="J6" s="113">
        <f>Balanço!P62</f>
        <v>0.22768987998423651</v>
      </c>
      <c r="K6" s="113">
        <f>Balanço!Q62</f>
        <v>0.30869316648190698</v>
      </c>
    </row>
    <row r="7" spans="1:11">
      <c r="A7" s="62" t="s">
        <v>180</v>
      </c>
      <c r="B7" s="99">
        <f>Balanço!H69</f>
        <v>0</v>
      </c>
      <c r="C7" s="99">
        <f>Balanço!I69</f>
        <v>0</v>
      </c>
      <c r="D7" s="99">
        <f>Balanço!J69</f>
        <v>0</v>
      </c>
      <c r="E7" s="99">
        <f>Balanço!K69</f>
        <v>0</v>
      </c>
      <c r="G7" s="62" t="s">
        <v>226</v>
      </c>
      <c r="H7" s="113">
        <f>Balanço!N69</f>
        <v>0</v>
      </c>
      <c r="I7" s="113">
        <f>Balanço!O69</f>
        <v>0</v>
      </c>
      <c r="J7" s="113">
        <f>Balanço!P69</f>
        <v>0</v>
      </c>
      <c r="K7" s="113">
        <f>Balanço!Q69</f>
        <v>0</v>
      </c>
    </row>
    <row r="8" spans="1:11">
      <c r="A8" s="62" t="s">
        <v>186</v>
      </c>
      <c r="B8" s="99">
        <f>Balanço!H75</f>
        <v>669614</v>
      </c>
      <c r="C8" s="99">
        <f>Balanço!I75</f>
        <v>632266</v>
      </c>
      <c r="D8" s="99">
        <f>Balanço!J75</f>
        <v>212946</v>
      </c>
      <c r="E8" s="99">
        <f>Balanço!K75</f>
        <v>1478508</v>
      </c>
      <c r="F8" s="10"/>
      <c r="G8" s="62" t="s">
        <v>227</v>
      </c>
      <c r="H8" s="113">
        <f>Balanço!N75</f>
        <v>2.2231385504948339E-2</v>
      </c>
      <c r="I8" s="113">
        <f>Balanço!O75</f>
        <v>2.0991420710546174E-2</v>
      </c>
      <c r="J8" s="113">
        <f>Balanço!P75</f>
        <v>7.0698710267956301E-3</v>
      </c>
      <c r="K8" s="113">
        <f>Balanço!Q75</f>
        <v>4.9086908756612257E-2</v>
      </c>
    </row>
    <row r="9" spans="1:11">
      <c r="A9" s="62" t="s">
        <v>203</v>
      </c>
      <c r="B9" s="62">
        <f>Balanço!H79</f>
        <v>0</v>
      </c>
      <c r="C9" s="62">
        <f>Balanço!I79</f>
        <v>0</v>
      </c>
      <c r="D9" s="62">
        <f>Balanço!J79</f>
        <v>0</v>
      </c>
      <c r="E9" s="62">
        <f>Balanço!K79</f>
        <v>0</v>
      </c>
      <c r="F9" s="154"/>
      <c r="G9" s="62" t="s">
        <v>202</v>
      </c>
      <c r="H9" s="113">
        <f>Balanço!N79</f>
        <v>0</v>
      </c>
      <c r="I9" s="113">
        <f>Balanço!O79</f>
        <v>0</v>
      </c>
      <c r="J9" s="113">
        <f>Balanço!P79</f>
        <v>0</v>
      </c>
      <c r="K9" s="113">
        <f>Balanço!Q79</f>
        <v>0</v>
      </c>
    </row>
    <row r="10" spans="1:11">
      <c r="A10" s="62" t="s">
        <v>213</v>
      </c>
      <c r="B10" s="99">
        <f>Balanço!H84</f>
        <v>28048</v>
      </c>
      <c r="C10" s="99">
        <f>Balanço!I84</f>
        <v>83189</v>
      </c>
      <c r="D10" s="99">
        <f>Balanço!J84</f>
        <v>61807</v>
      </c>
      <c r="E10" s="99">
        <f>Balanço!K84</f>
        <v>56006</v>
      </c>
      <c r="F10" s="154"/>
      <c r="G10" s="62" t="s">
        <v>228</v>
      </c>
      <c r="H10" s="113">
        <f>Balanço!N84</f>
        <v>9.3120200689171821E-4</v>
      </c>
      <c r="I10" s="113">
        <f>Balanço!O84</f>
        <v>2.7618997344308026E-3</v>
      </c>
      <c r="J10" s="113">
        <f>Balanço!P84</f>
        <v>2.0520109255546359E-3</v>
      </c>
      <c r="K10" s="113">
        <f>Balanço!Q84</f>
        <v>1.8594159868075288E-3</v>
      </c>
    </row>
    <row r="11" spans="1:11">
      <c r="A11" s="62" t="s">
        <v>195</v>
      </c>
      <c r="B11" s="99">
        <f>Balanço!H87</f>
        <v>0</v>
      </c>
      <c r="C11" s="99">
        <f>Balanço!I87</f>
        <v>0</v>
      </c>
      <c r="D11" s="99">
        <f>Balanço!J87</f>
        <v>0</v>
      </c>
      <c r="E11" s="99">
        <f>Balanço!K87</f>
        <v>0</v>
      </c>
      <c r="F11" s="10"/>
      <c r="G11" s="62" t="s">
        <v>229</v>
      </c>
      <c r="H11" s="113">
        <f>Balanço!N87</f>
        <v>0</v>
      </c>
      <c r="I11" s="113">
        <f>Balanço!O87</f>
        <v>0</v>
      </c>
      <c r="J11" s="113">
        <f>Balanço!P87</f>
        <v>0</v>
      </c>
      <c r="K11" s="113">
        <f>Balanço!Q87</f>
        <v>0</v>
      </c>
    </row>
    <row r="12" spans="1:11">
      <c r="A12" s="100" t="s">
        <v>214</v>
      </c>
      <c r="B12" s="99">
        <f>SUM(B5:B11)</f>
        <v>30817872</v>
      </c>
      <c r="C12" s="99">
        <f>SUM(C5:C11)</f>
        <v>21091281</v>
      </c>
      <c r="D12" s="99">
        <f>SUM(D5:D11)</f>
        <v>12801955</v>
      </c>
      <c r="E12" s="99">
        <f>SUM(E5:E11)</f>
        <v>15486238</v>
      </c>
    </row>
    <row r="13" spans="1:11">
      <c r="B13" s="42"/>
      <c r="F13" s="154"/>
      <c r="G13" s="153" t="s">
        <v>231</v>
      </c>
      <c r="H13" s="153"/>
      <c r="I13" s="153"/>
      <c r="J13" s="153"/>
      <c r="K13" s="153"/>
    </row>
    <row r="14" spans="1:11" ht="15.75">
      <c r="A14" s="101" t="s">
        <v>215</v>
      </c>
      <c r="B14" s="108">
        <v>2009</v>
      </c>
      <c r="C14" s="109">
        <v>2008</v>
      </c>
      <c r="D14" s="109">
        <v>2007</v>
      </c>
      <c r="E14" s="109">
        <v>2006</v>
      </c>
      <c r="F14" s="154"/>
      <c r="G14" s="63" t="s">
        <v>223</v>
      </c>
      <c r="H14" s="114">
        <v>2009</v>
      </c>
      <c r="I14" s="114">
        <v>2008</v>
      </c>
      <c r="J14" s="114">
        <v>2007</v>
      </c>
      <c r="K14" s="114">
        <v>2006</v>
      </c>
    </row>
    <row r="15" spans="1:11" ht="15.75">
      <c r="A15" s="102" t="s">
        <v>178</v>
      </c>
      <c r="B15" s="103">
        <f>Balanço!H67</f>
        <v>15362721</v>
      </c>
      <c r="C15" s="103">
        <f>Balanço!I67</f>
        <v>10141430</v>
      </c>
      <c r="D15" s="103">
        <f>Balanço!J67</f>
        <v>4509152</v>
      </c>
      <c r="E15" s="103">
        <f>Balanço!K67</f>
        <v>4176103</v>
      </c>
      <c r="G15" s="62" t="s">
        <v>232</v>
      </c>
      <c r="H15" s="113">
        <f>Balanço!N67</f>
        <v>0.51004694190379152</v>
      </c>
      <c r="I15" s="113">
        <f>Balanço!O67</f>
        <v>0.33669851571419984</v>
      </c>
      <c r="J15" s="113">
        <f>Balanço!P67</f>
        <v>0.14970519793852699</v>
      </c>
      <c r="K15" s="113">
        <f>Balanço!Q67</f>
        <v>0.1386478713129822</v>
      </c>
    </row>
    <row r="16" spans="1:11" ht="15.75">
      <c r="A16" s="102" t="s">
        <v>216</v>
      </c>
      <c r="B16" s="103">
        <f>Balanço!H68</f>
        <v>5483679</v>
      </c>
      <c r="C16" s="103">
        <f>Balanço!I68</f>
        <v>3159985</v>
      </c>
      <c r="D16" s="103">
        <f>Balanço!J68</f>
        <v>2921625</v>
      </c>
      <c r="E16" s="103">
        <f>Balanço!K68</f>
        <v>5198521</v>
      </c>
      <c r="G16" s="62" t="s">
        <v>233</v>
      </c>
      <c r="H16" s="113">
        <f>Balanço!N68</f>
        <v>0.18205978643575194</v>
      </c>
      <c r="I16" s="113">
        <f>Balanço!O68</f>
        <v>0.10491244914959093</v>
      </c>
      <c r="J16" s="113">
        <f>Balanço!P68</f>
        <v>9.6998825705398473E-2</v>
      </c>
      <c r="K16" s="113">
        <f>Balanço!Q68</f>
        <v>0.17259245536468704</v>
      </c>
    </row>
    <row r="17" spans="1:11" ht="15.75">
      <c r="A17" s="102" t="s">
        <v>217</v>
      </c>
      <c r="B17" s="104"/>
      <c r="C17" s="105"/>
      <c r="D17" s="105"/>
      <c r="E17" s="105"/>
      <c r="G17" s="62" t="s">
        <v>234</v>
      </c>
      <c r="H17" s="62"/>
      <c r="I17" s="62"/>
      <c r="J17" s="62"/>
      <c r="K17" s="62"/>
    </row>
    <row r="18" spans="1:11" ht="15.75">
      <c r="A18" s="102" t="s">
        <v>218</v>
      </c>
      <c r="B18" s="106">
        <f>Balanço!H73</f>
        <v>7458601</v>
      </c>
      <c r="C18" s="106">
        <f>Balanço!I73</f>
        <v>5430227</v>
      </c>
      <c r="D18" s="106">
        <f>Balanço!J73</f>
        <v>4716242</v>
      </c>
      <c r="E18" s="106">
        <f>Balanço!K73</f>
        <v>5401192</v>
      </c>
      <c r="G18" s="62" t="s">
        <v>235</v>
      </c>
      <c r="H18" s="113">
        <f>Balanço!N73</f>
        <v>0.24762778878367714</v>
      </c>
      <c r="I18" s="113">
        <f>Balanço!O73</f>
        <v>0.18028516401446074</v>
      </c>
      <c r="J18" s="113">
        <f>Balanço!P73</f>
        <v>0.15658064801009022</v>
      </c>
      <c r="K18" s="113">
        <f>Balanço!Q73</f>
        <v>0.17932119331173321</v>
      </c>
    </row>
    <row r="19" spans="1:11" ht="15.75">
      <c r="A19" s="102" t="s">
        <v>185</v>
      </c>
      <c r="B19" s="103">
        <f>Balanço!H74</f>
        <v>683029</v>
      </c>
      <c r="C19" s="103">
        <f>Balanço!I74</f>
        <v>428976</v>
      </c>
      <c r="D19" s="103">
        <f>Balanço!J74</f>
        <v>518666</v>
      </c>
      <c r="E19" s="103">
        <f>Balanço!K74</f>
        <v>2263012</v>
      </c>
      <c r="G19" s="62" t="s">
        <v>236</v>
      </c>
      <c r="H19" s="113">
        <f>Balanço!N74</f>
        <v>2.2676767525857223E-2</v>
      </c>
      <c r="I19" s="113">
        <f>Balanço!O74</f>
        <v>1.4242131777965692E-2</v>
      </c>
      <c r="J19" s="113">
        <f>Balanço!P74</f>
        <v>1.7219866660956214E-2</v>
      </c>
      <c r="K19" s="113">
        <f>Balanço!Q74</f>
        <v>7.5132676697805226E-2</v>
      </c>
    </row>
    <row r="20" spans="1:11" ht="15.75">
      <c r="A20" s="102" t="s">
        <v>219</v>
      </c>
      <c r="B20" s="107">
        <f>Balanço!H77</f>
        <v>578946</v>
      </c>
      <c r="C20" s="107">
        <f>Balanço!I77</f>
        <v>787421</v>
      </c>
      <c r="D20" s="107">
        <f>Balanço!J77</f>
        <v>891992</v>
      </c>
      <c r="E20" s="107">
        <f>Balanço!K77</f>
        <v>1032707</v>
      </c>
      <c r="G20" s="62" t="s">
        <v>239</v>
      </c>
      <c r="H20" s="113">
        <f>Balanço!N77</f>
        <v>1.922118072881962E-2</v>
      </c>
      <c r="I20" s="113">
        <f>Balanço!O77</f>
        <v>2.614261321551211E-2</v>
      </c>
      <c r="J20" s="113">
        <f>Balanço!P77</f>
        <v>2.9614401758819079E-2</v>
      </c>
      <c r="K20" s="113">
        <f>Balanço!Q77</f>
        <v>3.4286181935650514E-2</v>
      </c>
    </row>
    <row r="21" spans="1:11" ht="15.75">
      <c r="A21" s="102" t="s">
        <v>220</v>
      </c>
      <c r="B21" s="103">
        <f>Balanço!H82</f>
        <v>282943</v>
      </c>
      <c r="C21" s="103">
        <f>Balanço!I82</f>
        <v>162792</v>
      </c>
      <c r="D21" s="103">
        <f>Balanço!J82</f>
        <v>109931</v>
      </c>
      <c r="E21" s="103">
        <f>Balanço!K82</f>
        <v>181151</v>
      </c>
      <c r="G21" s="62" t="s">
        <v>237</v>
      </c>
      <c r="H21" s="113">
        <f>Balanço!N82</f>
        <v>9.3937924071578523E-3</v>
      </c>
      <c r="I21" s="113">
        <f>Balanço!O82</f>
        <v>5.4047431940215558E-3</v>
      </c>
      <c r="J21" s="113">
        <f>Balanço!P82</f>
        <v>3.6497421498721291E-3</v>
      </c>
      <c r="K21" s="113">
        <f>Balanço!Q82</f>
        <v>6.0142674968069612E-3</v>
      </c>
    </row>
    <row r="22" spans="1:11" ht="15.75">
      <c r="A22" s="102" t="s">
        <v>221</v>
      </c>
      <c r="B22" s="103">
        <f>Balanço!H86</f>
        <v>114194</v>
      </c>
      <c r="C22" s="103">
        <f>Balanço!I86</f>
        <v>1698</v>
      </c>
      <c r="D22" s="103">
        <f>Balanço!J86</f>
        <v>929790</v>
      </c>
      <c r="E22" s="103">
        <f>Balanço!K86</f>
        <v>730223</v>
      </c>
      <c r="G22" s="62" t="s">
        <v>238</v>
      </c>
      <c r="H22" s="113">
        <f>Balanço!N86</f>
        <v>3.7912750276309494E-3</v>
      </c>
      <c r="I22" s="113">
        <f>Balanço!O86</f>
        <v>5.6374108945455562E-5</v>
      </c>
      <c r="J22" s="113">
        <f>Balanço!P86</f>
        <v>3.086930668810078E-2</v>
      </c>
      <c r="K22" s="113">
        <f>Balanço!Q86</f>
        <v>2.424362247142367E-2</v>
      </c>
    </row>
    <row r="23" spans="1:11" ht="15.75">
      <c r="A23" s="110" t="s">
        <v>222</v>
      </c>
      <c r="B23" s="111">
        <f>SUM(B15:B22)</f>
        <v>29964113</v>
      </c>
      <c r="C23" s="111">
        <f t="shared" ref="C23:E23" si="0">SUM(C15:C22)</f>
        <v>20112529</v>
      </c>
      <c r="D23" s="111">
        <f t="shared" si="0"/>
        <v>14597398</v>
      </c>
      <c r="E23" s="111">
        <f t="shared" si="0"/>
        <v>18982909</v>
      </c>
    </row>
    <row r="24" spans="1:11" ht="15.75">
      <c r="A24" s="115"/>
      <c r="B24" s="89"/>
      <c r="C24" s="89"/>
      <c r="D24" s="89"/>
      <c r="E24" s="89"/>
    </row>
    <row r="25" spans="1:11">
      <c r="A25" s="147" t="s">
        <v>243</v>
      </c>
      <c r="B25" s="147"/>
      <c r="C25" s="147"/>
      <c r="D25" s="89"/>
      <c r="E25" s="89"/>
    </row>
    <row r="26" spans="1:11">
      <c r="A26" s="10" t="s">
        <v>240</v>
      </c>
      <c r="B26" s="10" t="s">
        <v>244</v>
      </c>
      <c r="C26" s="10" t="s">
        <v>245</v>
      </c>
      <c r="D26" s="89"/>
      <c r="E26" s="89"/>
    </row>
    <row r="27" spans="1:11">
      <c r="A27" s="10">
        <v>2009</v>
      </c>
      <c r="B27" s="10">
        <v>100.24</v>
      </c>
      <c r="C27" s="10">
        <v>386.77</v>
      </c>
      <c r="D27" s="89"/>
      <c r="E27" s="89"/>
    </row>
    <row r="28" spans="1:11">
      <c r="A28" s="10">
        <v>2008</v>
      </c>
      <c r="B28" s="10">
        <v>61.96</v>
      </c>
      <c r="C28" s="10">
        <v>261.16000000000003</v>
      </c>
      <c r="D28" s="89"/>
      <c r="E28" s="89"/>
    </row>
    <row r="29" spans="1:11">
      <c r="A29" s="10">
        <v>2007</v>
      </c>
      <c r="B29" s="10">
        <v>87.91</v>
      </c>
      <c r="C29" s="10">
        <v>752.5</v>
      </c>
      <c r="D29" s="89"/>
      <c r="E29" s="89"/>
    </row>
    <row r="30" spans="1:11">
      <c r="A30" s="10">
        <v>2006</v>
      </c>
      <c r="B30" s="10">
        <v>121.04</v>
      </c>
      <c r="C30" s="10">
        <v>290.32</v>
      </c>
    </row>
    <row r="31" spans="1:11">
      <c r="A31" s="10"/>
      <c r="B31" s="10"/>
      <c r="C31" s="10"/>
    </row>
    <row r="32" spans="1:11">
      <c r="A32" s="147" t="s">
        <v>249</v>
      </c>
      <c r="B32" s="147"/>
      <c r="C32" s="147"/>
    </row>
    <row r="34" spans="1:4">
      <c r="A34" s="10" t="s">
        <v>240</v>
      </c>
      <c r="B34" s="10" t="s">
        <v>241</v>
      </c>
      <c r="C34" s="10" t="s">
        <v>242</v>
      </c>
    </row>
    <row r="35" spans="1:4">
      <c r="A35" s="10">
        <v>2009</v>
      </c>
      <c r="B35" s="10">
        <v>0.94</v>
      </c>
      <c r="C35" s="10">
        <v>39801.760000000002</v>
      </c>
    </row>
    <row r="36" spans="1:4">
      <c r="A36" s="10">
        <v>2008</v>
      </c>
      <c r="B36" s="10">
        <v>0.7</v>
      </c>
      <c r="C36" s="10">
        <v>30362.28</v>
      </c>
    </row>
    <row r="37" spans="1:4">
      <c r="A37" s="10">
        <v>2007</v>
      </c>
      <c r="B37" s="10">
        <v>0.49</v>
      </c>
      <c r="C37" s="10">
        <v>21967.27</v>
      </c>
    </row>
    <row r="38" spans="1:4">
      <c r="A38" s="10">
        <v>2006</v>
      </c>
      <c r="B38" s="10">
        <v>0.44</v>
      </c>
      <c r="C38" s="10">
        <v>21079</v>
      </c>
    </row>
    <row r="40" spans="1:4">
      <c r="A40" s="148" t="s">
        <v>250</v>
      </c>
      <c r="B40" s="148"/>
      <c r="C40" s="148"/>
    </row>
    <row r="41" spans="1:4">
      <c r="A41" s="64" t="s">
        <v>240</v>
      </c>
      <c r="B41" s="65" t="s">
        <v>246</v>
      </c>
      <c r="C41" s="65" t="s">
        <v>247</v>
      </c>
      <c r="D41" s="66" t="s">
        <v>248</v>
      </c>
    </row>
    <row r="42" spans="1:4">
      <c r="A42" s="68">
        <v>2009</v>
      </c>
      <c r="B42" s="10">
        <v>50.24</v>
      </c>
      <c r="C42" s="10">
        <v>0.51</v>
      </c>
      <c r="D42" s="69">
        <v>0.05</v>
      </c>
    </row>
    <row r="43" spans="1:4">
      <c r="A43" s="68">
        <v>2008</v>
      </c>
      <c r="B43" s="10">
        <v>49.33</v>
      </c>
      <c r="C43" s="10">
        <v>0.42</v>
      </c>
      <c r="D43" s="69">
        <v>0.01</v>
      </c>
    </row>
    <row r="44" spans="1:4">
      <c r="A44" s="68">
        <v>2007</v>
      </c>
      <c r="B44" s="10">
        <v>0.79</v>
      </c>
      <c r="C44" s="10">
        <v>0.41</v>
      </c>
      <c r="D44" s="69">
        <v>0.02</v>
      </c>
    </row>
    <row r="45" spans="1:4">
      <c r="A45" s="70">
        <v>2006</v>
      </c>
      <c r="B45" s="71">
        <v>0.45</v>
      </c>
      <c r="C45" s="71">
        <v>0.26</v>
      </c>
      <c r="D45" s="72">
        <v>0.02</v>
      </c>
    </row>
    <row r="47" spans="1:4">
      <c r="A47" s="147" t="s">
        <v>253</v>
      </c>
      <c r="B47" s="147"/>
      <c r="C47" s="147"/>
    </row>
    <row r="48" spans="1:4">
      <c r="A48" s="64" t="s">
        <v>240</v>
      </c>
      <c r="B48" s="65" t="s">
        <v>251</v>
      </c>
      <c r="C48" s="66" t="s">
        <v>252</v>
      </c>
    </row>
    <row r="49" spans="1:4">
      <c r="A49" s="68">
        <v>2009</v>
      </c>
      <c r="B49" s="10">
        <v>2.0299999999999998</v>
      </c>
      <c r="C49" s="69">
        <v>97.97</v>
      </c>
    </row>
    <row r="50" spans="1:4">
      <c r="A50" s="68">
        <v>2008</v>
      </c>
      <c r="B50" s="10">
        <v>-4.38</v>
      </c>
      <c r="C50" s="69">
        <v>104.38</v>
      </c>
    </row>
    <row r="51" spans="1:4">
      <c r="A51" s="68">
        <v>2007</v>
      </c>
      <c r="B51" s="10">
        <v>-44.35</v>
      </c>
      <c r="C51" s="69">
        <v>144.35</v>
      </c>
    </row>
    <row r="52" spans="1:4">
      <c r="A52" s="68">
        <v>2006</v>
      </c>
      <c r="B52" s="10">
        <v>-58.42</v>
      </c>
      <c r="C52" s="69">
        <v>158.41999999999999</v>
      </c>
    </row>
    <row r="53" spans="1:4">
      <c r="A53" s="70"/>
      <c r="B53" s="71"/>
      <c r="C53" s="72"/>
    </row>
    <row r="56" spans="1:4">
      <c r="A56" s="10" t="s">
        <v>240</v>
      </c>
      <c r="B56" s="10" t="s">
        <v>254</v>
      </c>
      <c r="C56" s="10" t="s">
        <v>255</v>
      </c>
      <c r="D56" s="10" t="s">
        <v>256</v>
      </c>
    </row>
    <row r="57" spans="1:4">
      <c r="A57" s="10">
        <v>2009</v>
      </c>
      <c r="B57" s="10">
        <v>-0.06</v>
      </c>
      <c r="C57" s="10">
        <v>5.22</v>
      </c>
      <c r="D57" s="10">
        <v>-0.01</v>
      </c>
    </row>
    <row r="58" spans="1:4">
      <c r="A58" s="10">
        <v>2008</v>
      </c>
      <c r="B58" s="10">
        <v>-0.45</v>
      </c>
      <c r="C58" s="10">
        <v>-2.37</v>
      </c>
      <c r="D58" s="10">
        <v>0.19</v>
      </c>
    </row>
    <row r="59" spans="1:4">
      <c r="A59" s="10">
        <v>2007</v>
      </c>
      <c r="B59" s="10">
        <v>0.47</v>
      </c>
      <c r="C59" s="10">
        <v>-3.41</v>
      </c>
      <c r="D59" s="10">
        <v>0.14000000000000001</v>
      </c>
    </row>
    <row r="60" spans="1:4">
      <c r="A60" s="10">
        <v>2006</v>
      </c>
      <c r="B60" s="10">
        <v>0.19</v>
      </c>
      <c r="C60" s="10">
        <v>0.34</v>
      </c>
      <c r="D60" s="10">
        <v>0.34</v>
      </c>
    </row>
  </sheetData>
  <mergeCells count="9">
    <mergeCell ref="A32:C32"/>
    <mergeCell ref="A40:C40"/>
    <mergeCell ref="A47:C47"/>
    <mergeCell ref="A2:E2"/>
    <mergeCell ref="G3:K3"/>
    <mergeCell ref="G13:K13"/>
    <mergeCell ref="A25:C25"/>
    <mergeCell ref="F9:F10"/>
    <mergeCell ref="F13:F14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2010-10-18T15:20:36Z</outs:dateTime>
      <outs:isPinned>true</outs:isPinned>
    </outs:relatedDate>
    <outs:relatedDate>
      <outs:type>2</outs:type>
      <outs:displayName>Created</outs:displayName>
      <outs:dateTime>2010-10-05T14:41:16Z</outs:dateTime>
      <outs:isPinned>true</outs:isPinned>
    </outs:relatedDate>
    <outs:relatedDate>
      <outs:type>4</outs:type>
      <outs:displayName>Last Printed</outs:displayName>
      <outs:dateTime/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Tania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Tania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6AD17722-AE4E-4592-84FD-482A90772903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Balanço</vt:lpstr>
      <vt:lpstr>Estrutura de Prov. e de Cus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</dc:creator>
  <cp:lastModifiedBy>rakel</cp:lastModifiedBy>
  <cp:lastPrinted>2010-12-10T01:00:59Z</cp:lastPrinted>
  <dcterms:created xsi:type="dcterms:W3CDTF">2010-10-05T14:41:16Z</dcterms:created>
  <dcterms:modified xsi:type="dcterms:W3CDTF">2010-12-16T17:26:17Z</dcterms:modified>
</cp:coreProperties>
</file>