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60" windowWidth="11340" windowHeight="6030" tabRatio="750" activeTab="5"/>
  </bookViews>
  <sheets>
    <sheet name="Tabela Final" sheetId="1" r:id="rId1"/>
    <sheet name=" Pessoal" sheetId="3" r:id="rId2"/>
    <sheet name="Recibo" sheetId="11" r:id="rId3"/>
    <sheet name="Recibo Férias-Natal" sheetId="13" r:id="rId4"/>
    <sheet name="Declaração IRS" sheetId="14" r:id="rId5"/>
    <sheet name="Segurança Social" sheetId="15" r:id="rId6"/>
  </sheets>
  <definedNames>
    <definedName name="_xlnm.Print_Area" localSheetId="4">'Declaração IRS'!$B$1:$L$111</definedName>
    <definedName name="_xlnm.Print_Area" localSheetId="2">Recibo!$B$1:$L$85</definedName>
    <definedName name="_xlnm.Print_Area" localSheetId="3">'Recibo Férias-Natal'!$B$1:$L$81</definedName>
    <definedName name="_xlnm.Print_Area" localSheetId="5">'Segurança Social'!$B$1:$G$9</definedName>
    <definedName name="_xlnm.Print_Area" localSheetId="0">'Tabela Final'!$A$3:$E$46</definedName>
    <definedName name="tab">#REF!</definedName>
  </definedNames>
  <calcPr calcId="114210" iterateCount="1"/>
</workbook>
</file>

<file path=xl/calcChain.xml><?xml version="1.0" encoding="utf-8"?>
<calcChain xmlns="http://schemas.openxmlformats.org/spreadsheetml/2006/main">
  <c r="J63" i="14"/>
  <c r="G13" i="1"/>
  <c r="G14"/>
  <c r="F8"/>
  <c r="D65"/>
  <c r="E65"/>
  <c r="F65"/>
  <c r="H65"/>
  <c r="I65"/>
  <c r="S65"/>
  <c r="T65"/>
  <c r="U65"/>
  <c r="Y65"/>
  <c r="Z65"/>
  <c r="D66"/>
  <c r="E66"/>
  <c r="F66"/>
  <c r="H66"/>
  <c r="I66"/>
  <c r="J66"/>
  <c r="S66"/>
  <c r="T66"/>
  <c r="U66"/>
  <c r="Y66"/>
  <c r="Z66"/>
  <c r="D67"/>
  <c r="E67"/>
  <c r="F67"/>
  <c r="H67"/>
  <c r="I67"/>
  <c r="S67"/>
  <c r="T67"/>
  <c r="U67"/>
  <c r="Y67"/>
  <c r="Z67"/>
  <c r="B21"/>
  <c r="B6"/>
  <c r="B7"/>
  <c r="B8"/>
  <c r="B9"/>
  <c r="B11"/>
  <c r="B12"/>
  <c r="B13"/>
  <c r="B14"/>
  <c r="I36"/>
  <c r="I37"/>
  <c r="H38"/>
  <c r="I38"/>
  <c r="H39"/>
  <c r="I39"/>
  <c r="F70"/>
  <c r="E70"/>
  <c r="D70"/>
  <c r="F69"/>
  <c r="E69"/>
  <c r="D69"/>
  <c r="F68"/>
  <c r="E68"/>
  <c r="D68"/>
  <c r="H32"/>
  <c r="I32"/>
  <c r="H33"/>
  <c r="I33"/>
  <c r="H34"/>
  <c r="I34"/>
  <c r="D61"/>
  <c r="E61"/>
  <c r="F61"/>
  <c r="D62"/>
  <c r="E62"/>
  <c r="F62"/>
  <c r="D63"/>
  <c r="E63"/>
  <c r="F63"/>
  <c r="D64"/>
  <c r="E64"/>
  <c r="F64"/>
  <c r="D56"/>
  <c r="E56"/>
  <c r="F56"/>
  <c r="D57"/>
  <c r="E57"/>
  <c r="F57"/>
  <c r="D58"/>
  <c r="E58"/>
  <c r="F58"/>
  <c r="D59"/>
  <c r="E59"/>
  <c r="F59"/>
  <c r="D51"/>
  <c r="E51"/>
  <c r="F51"/>
  <c r="D52"/>
  <c r="E52"/>
  <c r="F52"/>
  <c r="D53"/>
  <c r="E53"/>
  <c r="F53"/>
  <c r="D54"/>
  <c r="E54"/>
  <c r="F54"/>
  <c r="D46"/>
  <c r="E46"/>
  <c r="F46"/>
  <c r="D47"/>
  <c r="E47"/>
  <c r="F47"/>
  <c r="D48"/>
  <c r="E48"/>
  <c r="F48"/>
  <c r="D49"/>
  <c r="E49"/>
  <c r="F49"/>
  <c r="D41"/>
  <c r="E41"/>
  <c r="F41"/>
  <c r="D42"/>
  <c r="E42"/>
  <c r="F42"/>
  <c r="D43"/>
  <c r="E43"/>
  <c r="F43"/>
  <c r="D44"/>
  <c r="E44"/>
  <c r="F44"/>
  <c r="D36"/>
  <c r="E36"/>
  <c r="F36"/>
  <c r="J36"/>
  <c r="D37"/>
  <c r="E37"/>
  <c r="F37"/>
  <c r="J37"/>
  <c r="D38"/>
  <c r="E38"/>
  <c r="F38"/>
  <c r="J38"/>
  <c r="D39"/>
  <c r="E39"/>
  <c r="F39"/>
  <c r="J39"/>
  <c r="D32"/>
  <c r="E32"/>
  <c r="F32"/>
  <c r="D33"/>
  <c r="E33"/>
  <c r="F33"/>
  <c r="J33"/>
  <c r="D34"/>
  <c r="E34"/>
  <c r="F34"/>
  <c r="E27"/>
  <c r="F27"/>
  <c r="H27"/>
  <c r="I27"/>
  <c r="E28"/>
  <c r="F28"/>
  <c r="H28"/>
  <c r="I28"/>
  <c r="E29"/>
  <c r="F29"/>
  <c r="H29"/>
  <c r="I29"/>
  <c r="D27"/>
  <c r="D28"/>
  <c r="D29"/>
  <c r="D21"/>
  <c r="E21"/>
  <c r="H21"/>
  <c r="I21"/>
  <c r="J21"/>
  <c r="S21"/>
  <c r="T21"/>
  <c r="U21"/>
  <c r="Y21"/>
  <c r="D22"/>
  <c r="E22"/>
  <c r="H22"/>
  <c r="I22"/>
  <c r="S22"/>
  <c r="T22"/>
  <c r="U22"/>
  <c r="Y22"/>
  <c r="D23"/>
  <c r="E23"/>
  <c r="F23"/>
  <c r="H23"/>
  <c r="I23"/>
  <c r="S23"/>
  <c r="T23"/>
  <c r="U23"/>
  <c r="Y23"/>
  <c r="Z23"/>
  <c r="D24"/>
  <c r="E24"/>
  <c r="F24"/>
  <c r="H24"/>
  <c r="I24"/>
  <c r="S24"/>
  <c r="T24"/>
  <c r="U24"/>
  <c r="Y24"/>
  <c r="Z24"/>
  <c r="D16"/>
  <c r="E16"/>
  <c r="H16"/>
  <c r="I16"/>
  <c r="S16"/>
  <c r="T16"/>
  <c r="U16"/>
  <c r="Y16"/>
  <c r="D17"/>
  <c r="E17"/>
  <c r="H17"/>
  <c r="I17"/>
  <c r="S17"/>
  <c r="T17"/>
  <c r="U17"/>
  <c r="Y17"/>
  <c r="D18"/>
  <c r="E18"/>
  <c r="F18"/>
  <c r="H18"/>
  <c r="I18"/>
  <c r="S18"/>
  <c r="T18"/>
  <c r="U18"/>
  <c r="Y18"/>
  <c r="D19"/>
  <c r="E19"/>
  <c r="F19"/>
  <c r="H19"/>
  <c r="I19"/>
  <c r="S19"/>
  <c r="T19"/>
  <c r="U19"/>
  <c r="Y19"/>
  <c r="V22"/>
  <c r="X22"/>
  <c r="AA22"/>
  <c r="D11"/>
  <c r="E11"/>
  <c r="H11"/>
  <c r="I11"/>
  <c r="J11"/>
  <c r="S11"/>
  <c r="T11"/>
  <c r="U11"/>
  <c r="Y11"/>
  <c r="D12"/>
  <c r="E12"/>
  <c r="H12"/>
  <c r="I12"/>
  <c r="S12"/>
  <c r="T12"/>
  <c r="U12"/>
  <c r="Y12"/>
  <c r="D13"/>
  <c r="E13"/>
  <c r="F13"/>
  <c r="H13"/>
  <c r="I13"/>
  <c r="S13"/>
  <c r="T13"/>
  <c r="U13"/>
  <c r="Y13"/>
  <c r="Z13"/>
  <c r="D14"/>
  <c r="E14"/>
  <c r="F14"/>
  <c r="H14"/>
  <c r="I14"/>
  <c r="S14"/>
  <c r="T14"/>
  <c r="U14"/>
  <c r="Y14"/>
  <c r="Z14"/>
  <c r="D6"/>
  <c r="E6"/>
  <c r="I6"/>
  <c r="J6"/>
  <c r="S6"/>
  <c r="T6"/>
  <c r="U6"/>
  <c r="Z6"/>
  <c r="D7"/>
  <c r="E7"/>
  <c r="I7"/>
  <c r="J7"/>
  <c r="S7"/>
  <c r="T7"/>
  <c r="U7"/>
  <c r="Z7"/>
  <c r="D8"/>
  <c r="E8"/>
  <c r="I8"/>
  <c r="J8"/>
  <c r="S8"/>
  <c r="T8"/>
  <c r="U8"/>
  <c r="Y8"/>
  <c r="Z8"/>
  <c r="D9"/>
  <c r="E9"/>
  <c r="F9"/>
  <c r="I9"/>
  <c r="S9"/>
  <c r="T9"/>
  <c r="U9"/>
  <c r="Y9"/>
  <c r="Z9"/>
  <c r="D18" i="14"/>
  <c r="D19"/>
  <c r="E18"/>
  <c r="H61" i="1"/>
  <c r="I61"/>
  <c r="J61"/>
  <c r="C60" i="13"/>
  <c r="H56" i="1"/>
  <c r="I56"/>
  <c r="C1" i="15"/>
  <c r="Y5" i="1"/>
  <c r="Z5"/>
  <c r="F5"/>
  <c r="S5"/>
  <c r="T5"/>
  <c r="U5"/>
  <c r="I5"/>
  <c r="H8" i="13"/>
  <c r="E25"/>
  <c r="E68"/>
  <c r="H8" i="11"/>
  <c r="D10"/>
  <c r="D57"/>
  <c r="Y61" i="1"/>
  <c r="S61"/>
  <c r="T61"/>
  <c r="U61"/>
  <c r="Y56"/>
  <c r="S56"/>
  <c r="T56"/>
  <c r="U56"/>
  <c r="Y51"/>
  <c r="S51"/>
  <c r="T51"/>
  <c r="U51"/>
  <c r="Y46"/>
  <c r="S46"/>
  <c r="T46"/>
  <c r="U46"/>
  <c r="Y41"/>
  <c r="S41"/>
  <c r="T41"/>
  <c r="U41"/>
  <c r="Y36"/>
  <c r="S36"/>
  <c r="T36"/>
  <c r="U36"/>
  <c r="Y31"/>
  <c r="F31"/>
  <c r="S31"/>
  <c r="T31"/>
  <c r="U31"/>
  <c r="H31"/>
  <c r="I31"/>
  <c r="Y26"/>
  <c r="Z26"/>
  <c r="F26"/>
  <c r="S26"/>
  <c r="T26"/>
  <c r="U26"/>
  <c r="H26"/>
  <c r="I26"/>
  <c r="Y62"/>
  <c r="S62"/>
  <c r="T62"/>
  <c r="U62"/>
  <c r="H62"/>
  <c r="I62"/>
  <c r="J62"/>
  <c r="N62"/>
  <c r="Y57"/>
  <c r="S57"/>
  <c r="T57"/>
  <c r="U57"/>
  <c r="H57"/>
  <c r="I57"/>
  <c r="Y52"/>
  <c r="S52"/>
  <c r="T52"/>
  <c r="U52"/>
  <c r="H52"/>
  <c r="I52"/>
  <c r="J52"/>
  <c r="Y47"/>
  <c r="S47"/>
  <c r="T47"/>
  <c r="U47"/>
  <c r="H47"/>
  <c r="I47"/>
  <c r="J47"/>
  <c r="Y42"/>
  <c r="S42"/>
  <c r="T42"/>
  <c r="U42"/>
  <c r="I42"/>
  <c r="J42"/>
  <c r="Y37"/>
  <c r="S37"/>
  <c r="T37"/>
  <c r="U37"/>
  <c r="Y32"/>
  <c r="S32"/>
  <c r="T32"/>
  <c r="U32"/>
  <c r="Y27"/>
  <c r="S27"/>
  <c r="T27"/>
  <c r="U27"/>
  <c r="H68"/>
  <c r="I68"/>
  <c r="J68"/>
  <c r="S68"/>
  <c r="T68"/>
  <c r="U68"/>
  <c r="Y68"/>
  <c r="Y63"/>
  <c r="S63"/>
  <c r="T63"/>
  <c r="U63"/>
  <c r="H63"/>
  <c r="I63"/>
  <c r="Y58"/>
  <c r="S58"/>
  <c r="T58"/>
  <c r="U58"/>
  <c r="H58"/>
  <c r="I58"/>
  <c r="Y53"/>
  <c r="S53"/>
  <c r="T53"/>
  <c r="U53"/>
  <c r="H53"/>
  <c r="I53"/>
  <c r="Y48"/>
  <c r="S48"/>
  <c r="T48"/>
  <c r="U48"/>
  <c r="H48"/>
  <c r="I48"/>
  <c r="J48"/>
  <c r="Y43"/>
  <c r="S43"/>
  <c r="T43"/>
  <c r="U43"/>
  <c r="H43"/>
  <c r="I43"/>
  <c r="Y38"/>
  <c r="S38"/>
  <c r="T38"/>
  <c r="U38"/>
  <c r="Y33"/>
  <c r="S33"/>
  <c r="T33"/>
  <c r="U33"/>
  <c r="Y28"/>
  <c r="S28"/>
  <c r="T28"/>
  <c r="U28"/>
  <c r="H69"/>
  <c r="I69"/>
  <c r="S69"/>
  <c r="T69"/>
  <c r="U69"/>
  <c r="Y69"/>
  <c r="Y64"/>
  <c r="S64"/>
  <c r="T64"/>
  <c r="U64"/>
  <c r="H64"/>
  <c r="I64"/>
  <c r="Y59"/>
  <c r="S59"/>
  <c r="T59"/>
  <c r="U59"/>
  <c r="H59"/>
  <c r="I59"/>
  <c r="J59"/>
  <c r="Y54"/>
  <c r="S54"/>
  <c r="T54"/>
  <c r="U54"/>
  <c r="H54"/>
  <c r="I54"/>
  <c r="J54"/>
  <c r="Y49"/>
  <c r="S49"/>
  <c r="T49"/>
  <c r="U49"/>
  <c r="H49"/>
  <c r="I49"/>
  <c r="Y44"/>
  <c r="S44"/>
  <c r="T44"/>
  <c r="U44"/>
  <c r="H44"/>
  <c r="I44"/>
  <c r="Y39"/>
  <c r="S39"/>
  <c r="T39"/>
  <c r="U39"/>
  <c r="Y34"/>
  <c r="S34"/>
  <c r="T34"/>
  <c r="U34"/>
  <c r="Y29"/>
  <c r="S29"/>
  <c r="T29"/>
  <c r="U29"/>
  <c r="H70"/>
  <c r="I70"/>
  <c r="S70"/>
  <c r="T70"/>
  <c r="U70"/>
  <c r="Y70"/>
  <c r="Y60"/>
  <c r="F60"/>
  <c r="S60"/>
  <c r="T60"/>
  <c r="U60"/>
  <c r="H60"/>
  <c r="I60"/>
  <c r="Y55"/>
  <c r="F55"/>
  <c r="S55"/>
  <c r="T55"/>
  <c r="U55"/>
  <c r="H55"/>
  <c r="I55"/>
  <c r="Y50"/>
  <c r="F50"/>
  <c r="S50"/>
  <c r="T50"/>
  <c r="U50"/>
  <c r="H50"/>
  <c r="I50"/>
  <c r="Y45"/>
  <c r="F45"/>
  <c r="S45"/>
  <c r="T45"/>
  <c r="U45"/>
  <c r="H45"/>
  <c r="I45"/>
  <c r="Y40"/>
  <c r="F40"/>
  <c r="S40"/>
  <c r="T40"/>
  <c r="U40"/>
  <c r="H40"/>
  <c r="I40"/>
  <c r="Y35"/>
  <c r="F35"/>
  <c r="S35"/>
  <c r="T35"/>
  <c r="U35"/>
  <c r="H35"/>
  <c r="I35"/>
  <c r="Y30"/>
  <c r="Z30"/>
  <c r="F30"/>
  <c r="S30"/>
  <c r="T30"/>
  <c r="U30"/>
  <c r="H30"/>
  <c r="I30"/>
  <c r="Y25"/>
  <c r="Z25"/>
  <c r="F25"/>
  <c r="S25"/>
  <c r="T25"/>
  <c r="U25"/>
  <c r="H25"/>
  <c r="I25"/>
  <c r="Y20"/>
  <c r="Z20"/>
  <c r="F20"/>
  <c r="S20"/>
  <c r="T20"/>
  <c r="U20"/>
  <c r="H20"/>
  <c r="I20"/>
  <c r="Y15"/>
  <c r="Z15"/>
  <c r="F15"/>
  <c r="S15"/>
  <c r="T15"/>
  <c r="U15"/>
  <c r="H15"/>
  <c r="I15"/>
  <c r="Y10"/>
  <c r="Z10"/>
  <c r="F10"/>
  <c r="S10"/>
  <c r="T10"/>
  <c r="U10"/>
  <c r="H10"/>
  <c r="I10"/>
  <c r="H71"/>
  <c r="I71"/>
  <c r="S71"/>
  <c r="T71"/>
  <c r="U71"/>
  <c r="Y71"/>
  <c r="Z71"/>
  <c r="H72"/>
  <c r="I72"/>
  <c r="S72"/>
  <c r="T72"/>
  <c r="U72"/>
  <c r="Y72"/>
  <c r="Z72"/>
  <c r="H73"/>
  <c r="I73"/>
  <c r="S73"/>
  <c r="T73"/>
  <c r="U73"/>
  <c r="Y73"/>
  <c r="Z73"/>
  <c r="H18" i="13"/>
  <c r="H61"/>
  <c r="H70" i="11"/>
  <c r="F18"/>
  <c r="F65"/>
  <c r="C71"/>
  <c r="C65"/>
  <c r="C66"/>
  <c r="C67"/>
  <c r="C68"/>
  <c r="C69"/>
  <c r="C70"/>
  <c r="C72"/>
  <c r="E24"/>
  <c r="E71"/>
  <c r="D45" i="1"/>
  <c r="E45"/>
  <c r="D50"/>
  <c r="E50"/>
  <c r="D55"/>
  <c r="E55"/>
  <c r="D60"/>
  <c r="E60"/>
  <c r="D71"/>
  <c r="E71"/>
  <c r="F71"/>
  <c r="J71"/>
  <c r="D72"/>
  <c r="E72"/>
  <c r="F72"/>
  <c r="D73"/>
  <c r="I8" i="13"/>
  <c r="I51"/>
  <c r="E73" i="1"/>
  <c r="F73"/>
  <c r="J73"/>
  <c r="N73"/>
  <c r="B61"/>
  <c r="B62"/>
  <c r="B63"/>
  <c r="B64"/>
  <c r="B56"/>
  <c r="B57"/>
  <c r="B58"/>
  <c r="B59"/>
  <c r="I3" i="11"/>
  <c r="B51" i="1"/>
  <c r="B52"/>
  <c r="B53"/>
  <c r="B54"/>
  <c r="B46"/>
  <c r="B47"/>
  <c r="B48"/>
  <c r="B49"/>
  <c r="H74"/>
  <c r="K74"/>
  <c r="M74"/>
  <c r="P74"/>
  <c r="Q74"/>
  <c r="R74"/>
  <c r="W74"/>
  <c r="AB74"/>
  <c r="AG74"/>
  <c r="AI74"/>
  <c r="D76" i="14"/>
  <c r="E15" i="1"/>
  <c r="B41"/>
  <c r="B42"/>
  <c r="B43"/>
  <c r="B44"/>
  <c r="D16" i="14"/>
  <c r="D73"/>
  <c r="E19"/>
  <c r="D30" i="1"/>
  <c r="D31"/>
  <c r="D35"/>
  <c r="D40"/>
  <c r="D20"/>
  <c r="D25"/>
  <c r="D26"/>
  <c r="D15"/>
  <c r="D10"/>
  <c r="H19" i="13"/>
  <c r="H62"/>
  <c r="E62"/>
  <c r="E61"/>
  <c r="F62"/>
  <c r="B36" i="1"/>
  <c r="B37"/>
  <c r="B38"/>
  <c r="B39"/>
  <c r="E24" i="13"/>
  <c r="E67"/>
  <c r="F60"/>
  <c r="F61"/>
  <c r="C62"/>
  <c r="C63"/>
  <c r="C64"/>
  <c r="C65"/>
  <c r="C66"/>
  <c r="E66"/>
  <c r="F66"/>
  <c r="C67"/>
  <c r="C68"/>
  <c r="D5" i="1"/>
  <c r="I8" i="11"/>
  <c r="I55"/>
  <c r="E20" i="1"/>
  <c r="E25"/>
  <c r="E26"/>
  <c r="E30"/>
  <c r="E31"/>
  <c r="E35"/>
  <c r="E40"/>
  <c r="B31"/>
  <c r="B32"/>
  <c r="B33"/>
  <c r="B34"/>
  <c r="B26"/>
  <c r="B27"/>
  <c r="B28"/>
  <c r="B29"/>
  <c r="B22"/>
  <c r="B23"/>
  <c r="B24"/>
  <c r="B16"/>
  <c r="B17"/>
  <c r="B18"/>
  <c r="B19"/>
  <c r="E10"/>
  <c r="E5"/>
  <c r="C64" i="11"/>
  <c r="D75" i="14"/>
  <c r="D20"/>
  <c r="D77"/>
  <c r="V50" i="1"/>
  <c r="AA50"/>
  <c r="V49"/>
  <c r="AA49"/>
  <c r="V33"/>
  <c r="AA33"/>
  <c r="V53"/>
  <c r="X53"/>
  <c r="V37"/>
  <c r="AA37"/>
  <c r="V57"/>
  <c r="AA57"/>
  <c r="V39"/>
  <c r="AA39"/>
  <c r="V59"/>
  <c r="X59"/>
  <c r="V43"/>
  <c r="X43"/>
  <c r="V63"/>
  <c r="X63"/>
  <c r="V47"/>
  <c r="X47"/>
  <c r="V26"/>
  <c r="X26"/>
  <c r="V40"/>
  <c r="AA40"/>
  <c r="V28"/>
  <c r="AA28"/>
  <c r="V31"/>
  <c r="AA31"/>
  <c r="V51"/>
  <c r="X51"/>
  <c r="V20"/>
  <c r="AA20"/>
  <c r="V60"/>
  <c r="AA60"/>
  <c r="V41"/>
  <c r="AA41"/>
  <c r="V61"/>
  <c r="AC61"/>
  <c r="V25"/>
  <c r="AA25"/>
  <c r="V45"/>
  <c r="AC45"/>
  <c r="V54"/>
  <c r="X54"/>
  <c r="V64"/>
  <c r="X64"/>
  <c r="V38"/>
  <c r="X38"/>
  <c r="V48"/>
  <c r="X48"/>
  <c r="V58"/>
  <c r="X58"/>
  <c r="V32"/>
  <c r="X32"/>
  <c r="V42"/>
  <c r="X42"/>
  <c r="V52"/>
  <c r="X52"/>
  <c r="V62"/>
  <c r="X62"/>
  <c r="T74"/>
  <c r="V10"/>
  <c r="X10"/>
  <c r="V15"/>
  <c r="AC15"/>
  <c r="V30"/>
  <c r="X30"/>
  <c r="V35"/>
  <c r="AA35"/>
  <c r="V55"/>
  <c r="X55"/>
  <c r="V27"/>
  <c r="X27"/>
  <c r="V36"/>
  <c r="X36"/>
  <c r="V46"/>
  <c r="X46"/>
  <c r="V56"/>
  <c r="X56"/>
  <c r="V5"/>
  <c r="AA5"/>
  <c r="V29"/>
  <c r="AC29"/>
  <c r="V34"/>
  <c r="AC34"/>
  <c r="AC46"/>
  <c r="X57"/>
  <c r="Y74"/>
  <c r="J20"/>
  <c r="L20"/>
  <c r="V12"/>
  <c r="X12"/>
  <c r="AC12"/>
  <c r="I3" i="13"/>
  <c r="B63"/>
  <c r="V7" i="1"/>
  <c r="X7"/>
  <c r="V6"/>
  <c r="AA6"/>
  <c r="AC26"/>
  <c r="X49"/>
  <c r="AC60"/>
  <c r="Z31"/>
  <c r="AA59"/>
  <c r="AC51"/>
  <c r="N52"/>
  <c r="AA51"/>
  <c r="AE51"/>
  <c r="L48"/>
  <c r="N48"/>
  <c r="N47"/>
  <c r="AA46"/>
  <c r="AE46"/>
  <c r="AC50"/>
  <c r="V13"/>
  <c r="AA13"/>
  <c r="V9"/>
  <c r="AC9"/>
  <c r="V14"/>
  <c r="AA14"/>
  <c r="V19"/>
  <c r="X19"/>
  <c r="V24"/>
  <c r="AC24"/>
  <c r="F74"/>
  <c r="V8"/>
  <c r="AA8"/>
  <c r="V18"/>
  <c r="AA18"/>
  <c r="X40"/>
  <c r="X31"/>
  <c r="AA43"/>
  <c r="U74"/>
  <c r="S74"/>
  <c r="AC42"/>
  <c r="AC43"/>
  <c r="V44"/>
  <c r="AC44"/>
  <c r="X41"/>
  <c r="AC37"/>
  <c r="X39"/>
  <c r="L37"/>
  <c r="Z32"/>
  <c r="L62"/>
  <c r="O62"/>
  <c r="L52"/>
  <c r="L47"/>
  <c r="AA19"/>
  <c r="Z33"/>
  <c r="Z34"/>
  <c r="Z35"/>
  <c r="Z36"/>
  <c r="Z37"/>
  <c r="Z38"/>
  <c r="Z39"/>
  <c r="Z40"/>
  <c r="Z41"/>
  <c r="Z42"/>
  <c r="Z43"/>
  <c r="Z44"/>
  <c r="Z45"/>
  <c r="Z46"/>
  <c r="Z47"/>
  <c r="Z48"/>
  <c r="Z49"/>
  <c r="Z50"/>
  <c r="Z51"/>
  <c r="AD51"/>
  <c r="Z52"/>
  <c r="Z53"/>
  <c r="Z54"/>
  <c r="Z55"/>
  <c r="Z56"/>
  <c r="Z57"/>
  <c r="Z58"/>
  <c r="Z59"/>
  <c r="Z60"/>
  <c r="Z61"/>
  <c r="Z62"/>
  <c r="Z63"/>
  <c r="Z64"/>
  <c r="J69"/>
  <c r="N69"/>
  <c r="L68"/>
  <c r="N68"/>
  <c r="J70"/>
  <c r="N70"/>
  <c r="L33"/>
  <c r="N33"/>
  <c r="F17" i="11"/>
  <c r="F64"/>
  <c r="X34" i="1"/>
  <c r="AC33"/>
  <c r="E18" i="11"/>
  <c r="E65"/>
  <c r="AA36" i="1"/>
  <c r="X37"/>
  <c r="N37"/>
  <c r="AC36"/>
  <c r="L42"/>
  <c r="N42"/>
  <c r="AA42"/>
  <c r="AA9"/>
  <c r="AC35"/>
  <c r="AC28"/>
  <c r="AC53"/>
  <c r="X61"/>
  <c r="AC49"/>
  <c r="AC52"/>
  <c r="AC27"/>
  <c r="AA45"/>
  <c r="X44"/>
  <c r="X18"/>
  <c r="AA38"/>
  <c r="X25"/>
  <c r="AC54"/>
  <c r="O47"/>
  <c r="AC30"/>
  <c r="AA62"/>
  <c r="AA10"/>
  <c r="AC10"/>
  <c r="AA44"/>
  <c r="AA15"/>
  <c r="AE36"/>
  <c r="AF36"/>
  <c r="X45"/>
  <c r="V65"/>
  <c r="AA65"/>
  <c r="AC14"/>
  <c r="X28"/>
  <c r="AC5"/>
  <c r="X35"/>
  <c r="AA53"/>
  <c r="AC57"/>
  <c r="AA63"/>
  <c r="AC64"/>
  <c r="X5"/>
  <c r="AA61"/>
  <c r="X60"/>
  <c r="AA48"/>
  <c r="AA26"/>
  <c r="AC63"/>
  <c r="AA64"/>
  <c r="J24"/>
  <c r="N24"/>
  <c r="V66"/>
  <c r="H20" i="13"/>
  <c r="E20"/>
  <c r="E63"/>
  <c r="H51"/>
  <c r="X65" i="1"/>
  <c r="X66"/>
  <c r="AA66"/>
  <c r="V67"/>
  <c r="AC67"/>
  <c r="O37"/>
  <c r="X14"/>
  <c r="AA24"/>
  <c r="AA58"/>
  <c r="AA30"/>
  <c r="AC55"/>
  <c r="AA55"/>
  <c r="AC47"/>
  <c r="AA54"/>
  <c r="AC56"/>
  <c r="AA47"/>
  <c r="X33"/>
  <c r="AL46"/>
  <c r="AH46"/>
  <c r="AM46"/>
  <c r="AH51"/>
  <c r="AF51"/>
  <c r="L24"/>
  <c r="X67"/>
  <c r="L54"/>
  <c r="N54"/>
  <c r="J43"/>
  <c r="N43"/>
  <c r="J56"/>
  <c r="N56"/>
  <c r="L6"/>
  <c r="N6"/>
  <c r="J67"/>
  <c r="N67"/>
  <c r="L66"/>
  <c r="N66"/>
  <c r="J65"/>
  <c r="N65"/>
  <c r="AD46"/>
  <c r="L70"/>
  <c r="O52"/>
  <c r="AC62"/>
  <c r="AE62"/>
  <c r="AA27"/>
  <c r="AC25"/>
  <c r="AC7"/>
  <c r="AA56"/>
  <c r="X50"/>
  <c r="AC40"/>
  <c r="AC39"/>
  <c r="AC22"/>
  <c r="V21"/>
  <c r="AC66"/>
  <c r="H55" i="11"/>
  <c r="H22"/>
  <c r="F22"/>
  <c r="F69"/>
  <c r="H21"/>
  <c r="F21"/>
  <c r="F68"/>
  <c r="J63" i="1"/>
  <c r="N63"/>
  <c r="L8"/>
  <c r="N8"/>
  <c r="J19"/>
  <c r="N19"/>
  <c r="O6"/>
  <c r="V11"/>
  <c r="AC11"/>
  <c r="J34"/>
  <c r="N34"/>
  <c r="X13"/>
  <c r="AA7"/>
  <c r="AA12"/>
  <c r="J44"/>
  <c r="N44"/>
  <c r="X11"/>
  <c r="J18"/>
  <c r="N18"/>
  <c r="J53"/>
  <c r="N53"/>
  <c r="L61"/>
  <c r="N61"/>
  <c r="J27"/>
  <c r="N27"/>
  <c r="J40"/>
  <c r="N40"/>
  <c r="J31"/>
  <c r="V16"/>
  <c r="O68"/>
  <c r="X24"/>
  <c r="X29"/>
  <c r="AA29"/>
  <c r="AC32"/>
  <c r="J5"/>
  <c r="L5"/>
  <c r="V17"/>
  <c r="J28"/>
  <c r="N28"/>
  <c r="J32"/>
  <c r="N32"/>
  <c r="O70"/>
  <c r="AA52"/>
  <c r="AE52"/>
  <c r="AA32"/>
  <c r="J25"/>
  <c r="N25"/>
  <c r="J30"/>
  <c r="J55"/>
  <c r="L55"/>
  <c r="V68"/>
  <c r="E25" i="11"/>
  <c r="E72"/>
  <c r="H20"/>
  <c r="F20"/>
  <c r="F67"/>
  <c r="D12"/>
  <c r="D59"/>
  <c r="D11"/>
  <c r="D58"/>
  <c r="B68"/>
  <c r="B23"/>
  <c r="B21"/>
  <c r="B65"/>
  <c r="B20" i="13"/>
  <c r="B70" i="11"/>
  <c r="AJ51" i="1"/>
  <c r="AK51"/>
  <c r="AF46"/>
  <c r="AN46"/>
  <c r="B24" i="13"/>
  <c r="D12"/>
  <c r="D55"/>
  <c r="H22"/>
  <c r="H65"/>
  <c r="B66" i="11"/>
  <c r="B22"/>
  <c r="B71"/>
  <c r="B18"/>
  <c r="B64"/>
  <c r="D10" i="13"/>
  <c r="D53"/>
  <c r="H21"/>
  <c r="AD36" i="1"/>
  <c r="O33"/>
  <c r="AD33"/>
  <c r="AE39"/>
  <c r="AD39"/>
  <c r="X68"/>
  <c r="AC68"/>
  <c r="AA68"/>
  <c r="N5"/>
  <c r="AH36"/>
  <c r="AJ36"/>
  <c r="AK36"/>
  <c r="J45"/>
  <c r="N45"/>
  <c r="V69"/>
  <c r="J9"/>
  <c r="V23"/>
  <c r="AC23"/>
  <c r="O42"/>
  <c r="AD42"/>
  <c r="L69"/>
  <c r="AN51"/>
  <c r="X9"/>
  <c r="O48"/>
  <c r="AD48"/>
  <c r="V73"/>
  <c r="V71"/>
  <c r="X71"/>
  <c r="J10"/>
  <c r="J15"/>
  <c r="N15"/>
  <c r="V70"/>
  <c r="H18" i="11"/>
  <c r="H65"/>
  <c r="B64" i="13"/>
  <c r="B21"/>
  <c r="B60"/>
  <c r="B19"/>
  <c r="B61"/>
  <c r="B65"/>
  <c r="Z68" i="1"/>
  <c r="Z69"/>
  <c r="AJ46"/>
  <c r="AK46"/>
  <c r="AE37"/>
  <c r="AD37"/>
  <c r="AD52"/>
  <c r="O69"/>
  <c r="AD47"/>
  <c r="L45"/>
  <c r="J60"/>
  <c r="N60"/>
  <c r="N59"/>
  <c r="L59"/>
  <c r="J64"/>
  <c r="N64"/>
  <c r="J57"/>
  <c r="N57"/>
  <c r="J12"/>
  <c r="N12"/>
  <c r="N11"/>
  <c r="L11"/>
  <c r="J17"/>
  <c r="N17"/>
  <c r="X16"/>
  <c r="AA16"/>
  <c r="AC16"/>
  <c r="Z18"/>
  <c r="X23"/>
  <c r="X21"/>
  <c r="AA21"/>
  <c r="AC21"/>
  <c r="N21"/>
  <c r="L21"/>
  <c r="J29"/>
  <c r="N29"/>
  <c r="AL51"/>
  <c r="O54"/>
  <c r="J23"/>
  <c r="N23"/>
  <c r="X73"/>
  <c r="AC73"/>
  <c r="L10"/>
  <c r="N10"/>
  <c r="L15"/>
  <c r="L25"/>
  <c r="L30"/>
  <c r="N30"/>
  <c r="N55"/>
  <c r="J49"/>
  <c r="N49"/>
  <c r="J58"/>
  <c r="N58"/>
  <c r="J26"/>
  <c r="N26"/>
  <c r="L31"/>
  <c r="N31"/>
  <c r="Z27"/>
  <c r="L7"/>
  <c r="N7"/>
  <c r="J14"/>
  <c r="N14"/>
  <c r="X17"/>
  <c r="AA17"/>
  <c r="AC17"/>
  <c r="J16"/>
  <c r="N16"/>
  <c r="J22"/>
  <c r="N22"/>
  <c r="AE33"/>
  <c r="AM51"/>
  <c r="J35"/>
  <c r="N35"/>
  <c r="J50"/>
  <c r="N50"/>
  <c r="AE68"/>
  <c r="J13"/>
  <c r="N13"/>
  <c r="AA11"/>
  <c r="AC6"/>
  <c r="AE6"/>
  <c r="N20"/>
  <c r="O20"/>
  <c r="X15"/>
  <c r="X6"/>
  <c r="AD6"/>
  <c r="X20"/>
  <c r="AC20"/>
  <c r="AE20"/>
  <c r="AC31"/>
  <c r="AA34"/>
  <c r="AC38"/>
  <c r="AC41"/>
  <c r="AD41"/>
  <c r="V72"/>
  <c r="X72"/>
  <c r="Z70"/>
  <c r="I46" i="13"/>
  <c r="B62"/>
  <c r="B25"/>
  <c r="B66"/>
  <c r="B17"/>
  <c r="B68"/>
  <c r="B67" i="11"/>
  <c r="B19"/>
  <c r="B25"/>
  <c r="B67" i="13"/>
  <c r="I50" i="11"/>
  <c r="B18" i="13"/>
  <c r="B72" i="11"/>
  <c r="B69"/>
  <c r="B26"/>
  <c r="B24"/>
  <c r="B20"/>
  <c r="B23" i="13"/>
  <c r="B22"/>
  <c r="B17" i="11"/>
  <c r="D11" i="13"/>
  <c r="D54"/>
  <c r="L73" i="1"/>
  <c r="O73"/>
  <c r="AA73"/>
  <c r="J72"/>
  <c r="N72"/>
  <c r="N71"/>
  <c r="L71"/>
  <c r="I74"/>
  <c r="AA71"/>
  <c r="F20" i="13"/>
  <c r="F63"/>
  <c r="E22" i="11"/>
  <c r="E69"/>
  <c r="AC65" i="1"/>
  <c r="AA67"/>
  <c r="AC71"/>
  <c r="AA23"/>
  <c r="AD68"/>
  <c r="AA72"/>
  <c r="AD73"/>
  <c r="L23"/>
  <c r="O23"/>
  <c r="O8"/>
  <c r="AE47"/>
  <c r="AF47"/>
  <c r="H63" i="13"/>
  <c r="H69" i="11"/>
  <c r="H67"/>
  <c r="E20"/>
  <c r="E67"/>
  <c r="E21"/>
  <c r="E68"/>
  <c r="F22" i="13"/>
  <c r="F65"/>
  <c r="L28" i="1"/>
  <c r="O28"/>
  <c r="AE28"/>
  <c r="AE48"/>
  <c r="AD62"/>
  <c r="L27"/>
  <c r="O27"/>
  <c r="AE27"/>
  <c r="L53"/>
  <c r="O53"/>
  <c r="O66"/>
  <c r="AH62"/>
  <c r="AF62"/>
  <c r="L63"/>
  <c r="O63"/>
  <c r="L65"/>
  <c r="O65"/>
  <c r="L67"/>
  <c r="O67"/>
  <c r="AE67"/>
  <c r="L56"/>
  <c r="O56"/>
  <c r="L43"/>
  <c r="O43"/>
  <c r="AE43"/>
  <c r="O24"/>
  <c r="AE24"/>
  <c r="H23" i="13"/>
  <c r="H66"/>
  <c r="J19"/>
  <c r="J62"/>
  <c r="O7" i="1"/>
  <c r="AE7"/>
  <c r="H68" i="11"/>
  <c r="AJ62" i="1"/>
  <c r="AK62"/>
  <c r="L44"/>
  <c r="O44"/>
  <c r="L19"/>
  <c r="O19"/>
  <c r="AE19"/>
  <c r="AF19"/>
  <c r="L34"/>
  <c r="O34"/>
  <c r="V74"/>
  <c r="L16"/>
  <c r="O16"/>
  <c r="L17"/>
  <c r="O17"/>
  <c r="O11"/>
  <c r="AE11"/>
  <c r="L12"/>
  <c r="O12"/>
  <c r="O5"/>
  <c r="AH19"/>
  <c r="O61"/>
  <c r="L40"/>
  <c r="O40"/>
  <c r="L18"/>
  <c r="L32"/>
  <c r="O32"/>
  <c r="O18"/>
  <c r="AE18"/>
  <c r="O45"/>
  <c r="AE45"/>
  <c r="AP45"/>
  <c r="E22" i="13"/>
  <c r="E65"/>
  <c r="E21"/>
  <c r="E64"/>
  <c r="H64"/>
  <c r="F21"/>
  <c r="F64"/>
  <c r="X69" i="1"/>
  <c r="AC69"/>
  <c r="AA69"/>
  <c r="AH39"/>
  <c r="AF39"/>
  <c r="AD43"/>
  <c r="AA70"/>
  <c r="X70"/>
  <c r="AC70"/>
  <c r="L9"/>
  <c r="N9"/>
  <c r="J74"/>
  <c r="AC72"/>
  <c r="O31"/>
  <c r="AD31"/>
  <c r="L26"/>
  <c r="O26"/>
  <c r="L58"/>
  <c r="O58"/>
  <c r="L49"/>
  <c r="O49"/>
  <c r="O55"/>
  <c r="AE55"/>
  <c r="O30"/>
  <c r="AD30"/>
  <c r="AW30"/>
  <c r="O10"/>
  <c r="AD10"/>
  <c r="L57"/>
  <c r="O57"/>
  <c r="L64"/>
  <c r="O64"/>
  <c r="AE64"/>
  <c r="AH64"/>
  <c r="O59"/>
  <c r="AD59"/>
  <c r="AE42"/>
  <c r="AH6"/>
  <c r="AF6"/>
  <c r="AL6"/>
  <c r="AF28"/>
  <c r="AH28"/>
  <c r="AP20"/>
  <c r="AF20"/>
  <c r="AH20"/>
  <c r="AP68"/>
  <c r="AF68"/>
  <c r="AH68"/>
  <c r="AL7"/>
  <c r="AF7"/>
  <c r="AH7"/>
  <c r="AM7"/>
  <c r="Z28"/>
  <c r="AD28"/>
  <c r="Z29"/>
  <c r="AE26"/>
  <c r="AD26"/>
  <c r="AE49"/>
  <c r="AD49"/>
  <c r="AX45"/>
  <c r="AE54"/>
  <c r="AD54"/>
  <c r="Z19"/>
  <c r="G74"/>
  <c r="AE59"/>
  <c r="J19" i="11"/>
  <c r="AH45" i="1"/>
  <c r="AF45"/>
  <c r="AH52"/>
  <c r="AF52"/>
  <c r="AD17"/>
  <c r="AD11"/>
  <c r="AE23"/>
  <c r="AD23"/>
  <c r="AE16"/>
  <c r="AE30"/>
  <c r="AD69"/>
  <c r="AE34"/>
  <c r="AD34"/>
  <c r="AD38"/>
  <c r="AE38"/>
  <c r="AR35"/>
  <c r="AS35"/>
  <c r="AF27"/>
  <c r="AH27"/>
  <c r="AF33"/>
  <c r="AH33"/>
  <c r="AH48"/>
  <c r="AF48"/>
  <c r="AF37"/>
  <c r="AH37"/>
  <c r="AW68"/>
  <c r="AD5"/>
  <c r="AW5"/>
  <c r="D4" i="15"/>
  <c r="AE73" i="1"/>
  <c r="X74"/>
  <c r="AC74"/>
  <c r="AD20"/>
  <c r="L50"/>
  <c r="O50"/>
  <c r="L35"/>
  <c r="O35"/>
  <c r="L22"/>
  <c r="O22"/>
  <c r="AE17"/>
  <c r="L14"/>
  <c r="O14"/>
  <c r="AD27"/>
  <c r="O25"/>
  <c r="O15"/>
  <c r="AE15"/>
  <c r="L13"/>
  <c r="O13"/>
  <c r="AE41"/>
  <c r="AD7"/>
  <c r="L29"/>
  <c r="O29"/>
  <c r="AE29"/>
  <c r="O21"/>
  <c r="AE21"/>
  <c r="AD16"/>
  <c r="L60"/>
  <c r="O60"/>
  <c r="AD45"/>
  <c r="AR45"/>
  <c r="AS45"/>
  <c r="N74"/>
  <c r="L72"/>
  <c r="O72"/>
  <c r="AE72"/>
  <c r="O71"/>
  <c r="AE71"/>
  <c r="AD64"/>
  <c r="AH47"/>
  <c r="AJ47"/>
  <c r="AK47"/>
  <c r="AD67"/>
  <c r="AE10"/>
  <c r="AP10"/>
  <c r="AE8"/>
  <c r="AD8"/>
  <c r="H17" i="11"/>
  <c r="AD66" i="1"/>
  <c r="AE66"/>
  <c r="AE53"/>
  <c r="AD53"/>
  <c r="AX50"/>
  <c r="AF64"/>
  <c r="AJ64"/>
  <c r="AK64"/>
  <c r="AD55"/>
  <c r="AH43"/>
  <c r="AF43"/>
  <c r="AE63"/>
  <c r="AD63"/>
  <c r="AH24"/>
  <c r="AF24"/>
  <c r="AH67"/>
  <c r="AF67"/>
  <c r="AD56"/>
  <c r="AE56"/>
  <c r="AE65"/>
  <c r="AD65"/>
  <c r="AX65"/>
  <c r="AD24"/>
  <c r="AE44"/>
  <c r="AR40"/>
  <c r="AD44"/>
  <c r="AX40"/>
  <c r="AF11"/>
  <c r="AL11"/>
  <c r="AH11"/>
  <c r="AE32"/>
  <c r="AD32"/>
  <c r="AX30"/>
  <c r="AD40"/>
  <c r="AW40"/>
  <c r="AE40"/>
  <c r="AE12"/>
  <c r="AD12"/>
  <c r="AD70"/>
  <c r="H17" i="13"/>
  <c r="H29"/>
  <c r="AJ39" i="1"/>
  <c r="AK39"/>
  <c r="AF18"/>
  <c r="AH18"/>
  <c r="AE61"/>
  <c r="AD61"/>
  <c r="AE5"/>
  <c r="AD18"/>
  <c r="AH42"/>
  <c r="AF42"/>
  <c r="AE58"/>
  <c r="AD58"/>
  <c r="AD71"/>
  <c r="L74"/>
  <c r="AE31"/>
  <c r="AE70"/>
  <c r="AE69"/>
  <c r="AD57"/>
  <c r="AE57"/>
  <c r="O9"/>
  <c r="AA74"/>
  <c r="AF21"/>
  <c r="AH21"/>
  <c r="AE13"/>
  <c r="AD13"/>
  <c r="AD25"/>
  <c r="AE25"/>
  <c r="AD14"/>
  <c r="AE14"/>
  <c r="AD22"/>
  <c r="AE22"/>
  <c r="AD35"/>
  <c r="AE35"/>
  <c r="AW20"/>
  <c r="AJ27"/>
  <c r="AH34"/>
  <c r="AF34"/>
  <c r="AX68"/>
  <c r="AD9"/>
  <c r="AX5"/>
  <c r="D5" i="15"/>
  <c r="AX60" i="1"/>
  <c r="AF16"/>
  <c r="AL16"/>
  <c r="AL21"/>
  <c r="AL26"/>
  <c r="AL31"/>
  <c r="AL36"/>
  <c r="AH16"/>
  <c r="AR15"/>
  <c r="AS15"/>
  <c r="AF23"/>
  <c r="AH23"/>
  <c r="AJ45"/>
  <c r="AK45"/>
  <c r="AT45"/>
  <c r="E19" i="11"/>
  <c r="E66"/>
  <c r="J66"/>
  <c r="F19"/>
  <c r="F66"/>
  <c r="AW10" i="1"/>
  <c r="AF55"/>
  <c r="AH55"/>
  <c r="AP55"/>
  <c r="AQ55"/>
  <c r="AH49"/>
  <c r="AF49"/>
  <c r="AQ68"/>
  <c r="AP5"/>
  <c r="AQ5"/>
  <c r="D8" i="15"/>
  <c r="AJ20" i="1"/>
  <c r="AK20"/>
  <c r="AT20"/>
  <c r="AQ20"/>
  <c r="AJ28"/>
  <c r="AM6"/>
  <c r="AX35"/>
  <c r="AD29"/>
  <c r="AE60"/>
  <c r="AD60"/>
  <c r="AW45"/>
  <c r="AH29"/>
  <c r="AF29"/>
  <c r="AF41"/>
  <c r="AH41"/>
  <c r="AF15"/>
  <c r="AH15"/>
  <c r="AP15"/>
  <c r="AF17"/>
  <c r="AH17"/>
  <c r="AD50"/>
  <c r="AE50"/>
  <c r="AJ37"/>
  <c r="AK37"/>
  <c r="AJ48"/>
  <c r="AK48"/>
  <c r="AJ33"/>
  <c r="AK33"/>
  <c r="AF38"/>
  <c r="AH38"/>
  <c r="AP30"/>
  <c r="AH30"/>
  <c r="AF30"/>
  <c r="AJ52"/>
  <c r="AK52"/>
  <c r="AQ45"/>
  <c r="AV45"/>
  <c r="AO45"/>
  <c r="F25" i="11"/>
  <c r="F72"/>
  <c r="F24"/>
  <c r="F71"/>
  <c r="AF59" i="1"/>
  <c r="AH59"/>
  <c r="AD19"/>
  <c r="Z74"/>
  <c r="AF54"/>
  <c r="AH54"/>
  <c r="AF10"/>
  <c r="AW55"/>
  <c r="AH26"/>
  <c r="AR25"/>
  <c r="AS25"/>
  <c r="AF26"/>
  <c r="AJ7"/>
  <c r="AK7"/>
  <c r="AN7"/>
  <c r="AJ11"/>
  <c r="AK11"/>
  <c r="AN6"/>
  <c r="AJ6"/>
  <c r="AK6"/>
  <c r="O74"/>
  <c r="AD72"/>
  <c r="AD21"/>
  <c r="AK27"/>
  <c r="AD15"/>
  <c r="AK28"/>
  <c r="AJ68"/>
  <c r="AK68"/>
  <c r="AT68"/>
  <c r="AF5"/>
  <c r="AH5"/>
  <c r="AJ5"/>
  <c r="AK5"/>
  <c r="AT5"/>
  <c r="G6" i="15"/>
  <c r="AF73" i="1"/>
  <c r="J25" i="13"/>
  <c r="J68"/>
  <c r="AH73" i="1"/>
  <c r="AF72"/>
  <c r="AH72"/>
  <c r="AF71"/>
  <c r="AH71"/>
  <c r="AR30"/>
  <c r="AS30"/>
  <c r="AH10"/>
  <c r="AJ43"/>
  <c r="AK43"/>
  <c r="AF8"/>
  <c r="AL8"/>
  <c r="AH8"/>
  <c r="AM8"/>
  <c r="AH53"/>
  <c r="AF53"/>
  <c r="AR50"/>
  <c r="AS50"/>
  <c r="AR65"/>
  <c r="AS65"/>
  <c r="AF66"/>
  <c r="AH66"/>
  <c r="AN11"/>
  <c r="AM11"/>
  <c r="AX55"/>
  <c r="AH65"/>
  <c r="AF65"/>
  <c r="AP65"/>
  <c r="AJ67"/>
  <c r="AK67"/>
  <c r="AF63"/>
  <c r="AH63"/>
  <c r="AJ24"/>
  <c r="AK24"/>
  <c r="AW65"/>
  <c r="AL56"/>
  <c r="AF56"/>
  <c r="AH56"/>
  <c r="AF44"/>
  <c r="AH44"/>
  <c r="F24" i="13"/>
  <c r="F67"/>
  <c r="E17"/>
  <c r="E60"/>
  <c r="H60"/>
  <c r="H72"/>
  <c r="F25"/>
  <c r="F68"/>
  <c r="AL5" i="1"/>
  <c r="AL10"/>
  <c r="AL15"/>
  <c r="AL20"/>
  <c r="AM5"/>
  <c r="AM10"/>
  <c r="AM15"/>
  <c r="AM20"/>
  <c r="AP40"/>
  <c r="AQ40"/>
  <c r="AH40"/>
  <c r="AO40"/>
  <c r="AF40"/>
  <c r="AF61"/>
  <c r="AH61"/>
  <c r="AL61"/>
  <c r="AR60"/>
  <c r="AS60"/>
  <c r="AH12"/>
  <c r="AM12"/>
  <c r="AM17"/>
  <c r="AF12"/>
  <c r="AL12"/>
  <c r="AL17"/>
  <c r="AL22"/>
  <c r="AL27"/>
  <c r="AL32"/>
  <c r="AL37"/>
  <c r="AL42"/>
  <c r="AL47"/>
  <c r="AL52"/>
  <c r="AL57"/>
  <c r="AL62"/>
  <c r="AF32"/>
  <c r="AH32"/>
  <c r="AJ18"/>
  <c r="AK18"/>
  <c r="AX10"/>
  <c r="AJ42"/>
  <c r="AK42"/>
  <c r="J24" i="13"/>
  <c r="J67"/>
  <c r="J72"/>
  <c r="AE9" i="1"/>
  <c r="AE74"/>
  <c r="AF70"/>
  <c r="AH70"/>
  <c r="AH57"/>
  <c r="AR55"/>
  <c r="AF57"/>
  <c r="AJ57"/>
  <c r="AK57"/>
  <c r="AR68"/>
  <c r="AF69"/>
  <c r="AH69"/>
  <c r="AH31"/>
  <c r="AO30"/>
  <c r="AF31"/>
  <c r="AF58"/>
  <c r="AH58"/>
  <c r="AW15"/>
  <c r="AX20"/>
  <c r="AQ10"/>
  <c r="AJ26"/>
  <c r="AK26"/>
  <c r="AJ10"/>
  <c r="AK10"/>
  <c r="AT10"/>
  <c r="AJ54"/>
  <c r="AK54"/>
  <c r="AJ19"/>
  <c r="AK19"/>
  <c r="H64" i="11"/>
  <c r="H76"/>
  <c r="H29"/>
  <c r="E17"/>
  <c r="E64"/>
  <c r="AJ38" i="1"/>
  <c r="AK38"/>
  <c r="AU35"/>
  <c r="AW50"/>
  <c r="AV15"/>
  <c r="AQ15"/>
  <c r="AJ29"/>
  <c r="AW60"/>
  <c r="AJ34"/>
  <c r="AK34"/>
  <c r="AW35"/>
  <c r="AW25"/>
  <c r="AH13"/>
  <c r="AM13"/>
  <c r="AM18"/>
  <c r="AM23"/>
  <c r="AM28"/>
  <c r="AM66"/>
  <c r="AL13"/>
  <c r="AL18"/>
  <c r="AL23"/>
  <c r="AL28"/>
  <c r="AL66"/>
  <c r="AL69"/>
  <c r="AF13"/>
  <c r="AR10"/>
  <c r="AS10"/>
  <c r="AJ21"/>
  <c r="AK21"/>
  <c r="AJ73"/>
  <c r="AK73"/>
  <c r="AJ41"/>
  <c r="AK41"/>
  <c r="AX15"/>
  <c r="J25" i="11"/>
  <c r="J72"/>
  <c r="AJ59" i="1"/>
  <c r="AK59"/>
  <c r="AJ30"/>
  <c r="AK30"/>
  <c r="AT30"/>
  <c r="AQ30"/>
  <c r="AV30"/>
  <c r="AP50"/>
  <c r="AF50"/>
  <c r="AH50"/>
  <c r="AJ17"/>
  <c r="AK17"/>
  <c r="AO15"/>
  <c r="AJ15"/>
  <c r="AK15"/>
  <c r="AT15"/>
  <c r="AS40"/>
  <c r="AV40"/>
  <c r="AP60"/>
  <c r="AF60"/>
  <c r="AH60"/>
  <c r="AJ49"/>
  <c r="AK49"/>
  <c r="AU45"/>
  <c r="AJ55"/>
  <c r="AK55"/>
  <c r="AT55"/>
  <c r="AJ23"/>
  <c r="AK23"/>
  <c r="AN16"/>
  <c r="AN21"/>
  <c r="AN26"/>
  <c r="AN31"/>
  <c r="AN36"/>
  <c r="AJ16"/>
  <c r="AK16"/>
  <c r="AP35"/>
  <c r="AF35"/>
  <c r="AH35"/>
  <c r="AF22"/>
  <c r="AH22"/>
  <c r="AH14"/>
  <c r="AF14"/>
  <c r="AL25"/>
  <c r="AL65"/>
  <c r="AL68"/>
  <c r="AH25"/>
  <c r="AM25"/>
  <c r="AM30"/>
  <c r="AM68"/>
  <c r="AP25"/>
  <c r="AF25"/>
  <c r="AK29"/>
  <c r="AX25"/>
  <c r="AM16"/>
  <c r="AM21"/>
  <c r="AM26"/>
  <c r="AM31"/>
  <c r="AM36"/>
  <c r="AR20"/>
  <c r="AJ71"/>
  <c r="AK71"/>
  <c r="AJ72"/>
  <c r="AK72"/>
  <c r="AJ56"/>
  <c r="AK56"/>
  <c r="AJ8"/>
  <c r="AK8"/>
  <c r="AN8"/>
  <c r="AJ66"/>
  <c r="AK66"/>
  <c r="AU65"/>
  <c r="J24" i="11"/>
  <c r="J29"/>
  <c r="J31"/>
  <c r="J75" i="13"/>
  <c r="AO55" i="1"/>
  <c r="AJ40"/>
  <c r="AK40"/>
  <c r="AT40"/>
  <c r="AJ53"/>
  <c r="AK53"/>
  <c r="AU50"/>
  <c r="AM65"/>
  <c r="AO65"/>
  <c r="AM35"/>
  <c r="AJ63"/>
  <c r="AK63"/>
  <c r="AQ65"/>
  <c r="AV65"/>
  <c r="AJ65"/>
  <c r="AK65"/>
  <c r="AT65"/>
  <c r="AJ61"/>
  <c r="AK61"/>
  <c r="AU60"/>
  <c r="AJ44"/>
  <c r="AK44"/>
  <c r="AU40"/>
  <c r="AN5"/>
  <c r="AN10"/>
  <c r="AN15"/>
  <c r="AN20"/>
  <c r="AJ32"/>
  <c r="AK32"/>
  <c r="AJ12"/>
  <c r="AK12"/>
  <c r="AN12"/>
  <c r="AN17"/>
  <c r="AJ70"/>
  <c r="AK70"/>
  <c r="J29" i="13"/>
  <c r="J31"/>
  <c r="AO68" i="1"/>
  <c r="AH9"/>
  <c r="AO5"/>
  <c r="G5" i="15"/>
  <c r="AM33" i="1"/>
  <c r="AM38"/>
  <c r="AJ69"/>
  <c r="AK69"/>
  <c r="AU68"/>
  <c r="AF9"/>
  <c r="AJ9"/>
  <c r="AK9"/>
  <c r="AU5"/>
  <c r="G7" i="15"/>
  <c r="AS68" i="1"/>
  <c r="AR5"/>
  <c r="AS5"/>
  <c r="D9" i="15"/>
  <c r="D10"/>
  <c r="AV68" i="1"/>
  <c r="AV5"/>
  <c r="G4" i="15"/>
  <c r="AD74" i="1"/>
  <c r="AJ58"/>
  <c r="AK58"/>
  <c r="AJ31"/>
  <c r="AK31"/>
  <c r="AU30"/>
  <c r="AS55"/>
  <c r="AV55"/>
  <c r="AL9"/>
  <c r="AL14"/>
  <c r="AL19"/>
  <c r="AL24"/>
  <c r="AL29"/>
  <c r="AL67"/>
  <c r="AL70"/>
  <c r="AF74"/>
  <c r="AO25"/>
  <c r="AS20"/>
  <c r="AV20"/>
  <c r="AV25"/>
  <c r="AQ25"/>
  <c r="AL30"/>
  <c r="AL35"/>
  <c r="AL40"/>
  <c r="AL45"/>
  <c r="AL50"/>
  <c r="AL55"/>
  <c r="AM22"/>
  <c r="AM27"/>
  <c r="AM32"/>
  <c r="AM37"/>
  <c r="AM42"/>
  <c r="AM47"/>
  <c r="AM52"/>
  <c r="AO20"/>
  <c r="AV35"/>
  <c r="AQ35"/>
  <c r="AO50"/>
  <c r="AQ50"/>
  <c r="AV50"/>
  <c r="AL33"/>
  <c r="AL38"/>
  <c r="AL43"/>
  <c r="AL48"/>
  <c r="AL53"/>
  <c r="AL58"/>
  <c r="AL72"/>
  <c r="AL63"/>
  <c r="AJ60"/>
  <c r="AK60"/>
  <c r="AT60"/>
  <c r="AV10"/>
  <c r="AN25"/>
  <c r="AN30"/>
  <c r="AN35"/>
  <c r="AN40"/>
  <c r="AN45"/>
  <c r="AN50"/>
  <c r="AN55"/>
  <c r="AN56"/>
  <c r="AJ25"/>
  <c r="AK25"/>
  <c r="AT25"/>
  <c r="AJ14"/>
  <c r="AK14"/>
  <c r="AL34"/>
  <c r="AL39"/>
  <c r="AL44"/>
  <c r="AL49"/>
  <c r="AL54"/>
  <c r="AL59"/>
  <c r="AN22"/>
  <c r="AN27"/>
  <c r="AN32"/>
  <c r="AN37"/>
  <c r="AN42"/>
  <c r="AN47"/>
  <c r="AN52"/>
  <c r="AJ22"/>
  <c r="AK22"/>
  <c r="AU20"/>
  <c r="AO35"/>
  <c r="AJ35"/>
  <c r="AK35"/>
  <c r="AT35"/>
  <c r="AO60"/>
  <c r="AV60"/>
  <c r="AQ60"/>
  <c r="AJ50"/>
  <c r="AK50"/>
  <c r="AT50"/>
  <c r="AN13"/>
  <c r="AN18"/>
  <c r="AN23"/>
  <c r="AN28"/>
  <c r="AN33"/>
  <c r="AJ13"/>
  <c r="J71" i="11"/>
  <c r="J76"/>
  <c r="J79"/>
  <c r="AU15" i="1"/>
  <c r="AU25"/>
  <c r="AO10"/>
  <c r="AU55"/>
  <c r="AN38"/>
  <c r="AN43"/>
  <c r="AN48"/>
  <c r="AN53"/>
  <c r="AN58"/>
  <c r="AN63"/>
  <c r="AL71"/>
  <c r="AL60"/>
  <c r="AM69"/>
  <c r="G10" i="15"/>
  <c r="AN9" i="1"/>
  <c r="AN14"/>
  <c r="AN19"/>
  <c r="AN24"/>
  <c r="AN29"/>
  <c r="AN34"/>
  <c r="AN39"/>
  <c r="AN44"/>
  <c r="AN49"/>
  <c r="AN54"/>
  <c r="AN59"/>
  <c r="AN64"/>
  <c r="AM9"/>
  <c r="AM14"/>
  <c r="AM19"/>
  <c r="AM24"/>
  <c r="AM29"/>
  <c r="AM67"/>
  <c r="AH74"/>
  <c r="AJ74"/>
  <c r="AK13"/>
  <c r="AN60"/>
  <c r="AN65"/>
  <c r="AN57"/>
  <c r="AN68"/>
  <c r="AN73"/>
  <c r="AN66"/>
  <c r="AN71"/>
  <c r="AN67"/>
  <c r="AN72"/>
  <c r="AN69"/>
  <c r="AM34"/>
  <c r="AM40"/>
  <c r="AN61"/>
  <c r="AN70"/>
  <c r="AU10"/>
  <c r="AK74"/>
  <c r="AM45"/>
  <c r="AM50"/>
  <c r="AM55"/>
  <c r="AM39"/>
  <c r="AM44"/>
  <c r="AM49"/>
  <c r="AM54"/>
  <c r="AM59"/>
  <c r="AM73"/>
  <c r="AM64"/>
  <c r="D31" i="11"/>
  <c r="D79"/>
  <c r="AM70" i="1"/>
  <c r="AN62"/>
  <c r="H42" i="14"/>
  <c r="H99"/>
  <c r="AM71" i="1"/>
  <c r="AM60"/>
  <c r="AM61"/>
  <c r="G33" i="14"/>
  <c r="G90"/>
  <c r="AM56" i="1"/>
  <c r="D31" i="13"/>
  <c r="D75"/>
  <c r="AM57" i="1"/>
  <c r="AM62"/>
  <c r="I33" i="14"/>
  <c r="I90"/>
  <c r="AL73" i="1"/>
  <c r="AL64"/>
  <c r="B31" i="11"/>
  <c r="B79"/>
  <c r="B31" i="13"/>
  <c r="B75"/>
  <c r="AL74" i="1"/>
  <c r="AM43"/>
  <c r="AM48"/>
  <c r="AM53"/>
  <c r="AM58"/>
  <c r="AM72"/>
  <c r="AM63"/>
  <c r="AM74"/>
</calcChain>
</file>

<file path=xl/comments1.xml><?xml version="1.0" encoding="utf-8"?>
<comments xmlns="http://schemas.openxmlformats.org/spreadsheetml/2006/main">
  <authors>
    <author>Gestao</author>
  </authors>
  <commentList>
    <comment ref="AS10" authorId="0">
      <text>
        <r>
          <rPr>
            <b/>
            <sz val="8"/>
            <color indexed="81"/>
            <rFont val="Tahoma"/>
            <family val="2"/>
          </rPr>
          <t>Gestao:</t>
        </r>
        <r>
          <rPr>
            <sz val="8"/>
            <color indexed="81"/>
            <rFont val="Tahoma"/>
            <family val="2"/>
          </rPr>
          <t xml:space="preserve">
-1% para o Carlos Cavaco</t>
        </r>
      </text>
    </comment>
  </commentList>
</comments>
</file>

<file path=xl/sharedStrings.xml><?xml version="1.0" encoding="utf-8"?>
<sst xmlns="http://schemas.openxmlformats.org/spreadsheetml/2006/main" count="279" uniqueCount="152">
  <si>
    <t>N.º Empregado</t>
  </si>
  <si>
    <t>Nome</t>
  </si>
  <si>
    <t>Categoria</t>
  </si>
  <si>
    <t>Vencimento</t>
  </si>
  <si>
    <t>N.º Dependentes</t>
  </si>
  <si>
    <t>Titular Rendimentos</t>
  </si>
  <si>
    <t>Gerente</t>
  </si>
  <si>
    <t>Profissão</t>
  </si>
  <si>
    <t>Complementos</t>
  </si>
  <si>
    <t>Sub. Ref.</t>
  </si>
  <si>
    <t>H. E.</t>
  </si>
  <si>
    <t>Outros</t>
  </si>
  <si>
    <t>Remuneração Bruta</t>
  </si>
  <si>
    <t>Descontos</t>
  </si>
  <si>
    <t>IRS</t>
  </si>
  <si>
    <t>TSU</t>
  </si>
  <si>
    <t>Sindicato</t>
  </si>
  <si>
    <t>Total</t>
  </si>
  <si>
    <t>Liquido a Receber</t>
  </si>
  <si>
    <t>Num</t>
  </si>
  <si>
    <t>TOTAIS</t>
  </si>
  <si>
    <t>Número Horas Semana</t>
  </si>
  <si>
    <t>Remuneração Hora</t>
  </si>
  <si>
    <t>N.º de Horas a</t>
  </si>
  <si>
    <t>Total Das Horas a</t>
  </si>
  <si>
    <t>Total Remuneração HE/Outros Bruta</t>
  </si>
  <si>
    <t>Remuneração da Categoria</t>
  </si>
  <si>
    <t>Dias Úteis Mês</t>
  </si>
  <si>
    <t>Número Faltas Dias</t>
  </si>
  <si>
    <t>Número de Horas Mês</t>
  </si>
  <si>
    <t>Incidência</t>
  </si>
  <si>
    <t>Total Horas Extraordinárias</t>
  </si>
  <si>
    <t>Departamento</t>
  </si>
  <si>
    <t>Valor Faltas Dias</t>
  </si>
  <si>
    <t>Valor Faltas Hora</t>
  </si>
  <si>
    <t>Número Faltas Horas</t>
  </si>
  <si>
    <t>Total Faltas</t>
  </si>
  <si>
    <t>Taxa S. Social</t>
  </si>
  <si>
    <t>Valor Sub. Alimentação</t>
  </si>
  <si>
    <t>Estado Civil</t>
  </si>
  <si>
    <t>RECIBO DE VENCIMENTO</t>
  </si>
  <si>
    <t>Retribuição referente a</t>
  </si>
  <si>
    <t>ORIGINAL</t>
  </si>
  <si>
    <t>DUPLICADO</t>
  </si>
  <si>
    <t>Categoria:</t>
  </si>
  <si>
    <t>Nº Fiscal Contribuinte:</t>
  </si>
  <si>
    <t>Nº S. Social:</t>
  </si>
  <si>
    <t xml:space="preserve">Data </t>
  </si>
  <si>
    <t>Taxa</t>
  </si>
  <si>
    <t>Efeitos</t>
  </si>
  <si>
    <t>Designação</t>
  </si>
  <si>
    <t>Unidade</t>
  </si>
  <si>
    <t>Quantidade</t>
  </si>
  <si>
    <t>Abonos</t>
  </si>
  <si>
    <t>Vencimento Base</t>
  </si>
  <si>
    <t>Sub. Refeição</t>
  </si>
  <si>
    <t>T.S.U.</t>
  </si>
  <si>
    <t>Total de Abonos</t>
  </si>
  <si>
    <t>Total de Descontos</t>
  </si>
  <si>
    <t>Acumulados</t>
  </si>
  <si>
    <t>Sujeito IRS</t>
  </si>
  <si>
    <t>Retido IRS</t>
  </si>
  <si>
    <t>Líquido a Receber em EUROS</t>
  </si>
  <si>
    <t>Declaro que recebi a quantia constante neste recibo</t>
  </si>
  <si>
    <t>ASS.</t>
  </si>
  <si>
    <t>Processado por computador</t>
  </si>
  <si>
    <t>Func. N.º</t>
  </si>
  <si>
    <t>N.º de Contribuinte</t>
  </si>
  <si>
    <t>Beneficiário</t>
  </si>
  <si>
    <t>Horas Extra 50%</t>
  </si>
  <si>
    <t>Horas Extra 75%</t>
  </si>
  <si>
    <t>Horas Extra 100%</t>
  </si>
  <si>
    <t>Faltas</t>
  </si>
  <si>
    <t>Comissões /  Complementos</t>
  </si>
  <si>
    <t xml:space="preserve">José Carvalho ® </t>
  </si>
  <si>
    <t xml:space="preserve">Não </t>
  </si>
  <si>
    <t>Início</t>
  </si>
  <si>
    <t>Data</t>
  </si>
  <si>
    <t>Sujeito a IRS</t>
  </si>
  <si>
    <t>IRS retido</t>
  </si>
  <si>
    <t>Outros Compl./Sub Férias</t>
  </si>
  <si>
    <t>Com./S.Natal</t>
  </si>
  <si>
    <t>RETENÇÃO NA FONTE</t>
  </si>
  <si>
    <t>Nota dos Rendimentos devidos do imposto retido, alinea b) do nº.1 do artigo 119º do Código do IRS</t>
  </si>
  <si>
    <t>IMPORTANCIAS DEVIDAS E IMPOSTO RETIDO</t>
  </si>
  <si>
    <t>Tipos de Rendimentos</t>
  </si>
  <si>
    <t>Total Imposto Retido</t>
  </si>
  <si>
    <t>Sujeito a Retenção</t>
  </si>
  <si>
    <t>Disp. Retenção</t>
  </si>
  <si>
    <t>A - Trabalho Dependente</t>
  </si>
  <si>
    <t>DEDUÇÕES</t>
  </si>
  <si>
    <t>Contribuições Obrigatórias para a Segurança Social</t>
  </si>
  <si>
    <t>S SOCIAL</t>
  </si>
  <si>
    <t>31 de Janeiro de 2010</t>
  </si>
  <si>
    <t>Gerência</t>
  </si>
  <si>
    <t>Observações:</t>
  </si>
  <si>
    <t>Débito</t>
  </si>
  <si>
    <t>Crédito</t>
  </si>
  <si>
    <t>Remuneração Org.Sociais</t>
  </si>
  <si>
    <t>S. Social</t>
  </si>
  <si>
    <t>Remuneração Pessoal</t>
  </si>
  <si>
    <t>Ret. IRS</t>
  </si>
  <si>
    <t>Rem. A Pag. Org Sociais</t>
  </si>
  <si>
    <t>Rem. A Pag. Pessoal</t>
  </si>
  <si>
    <t>S.Social Org. Sociais</t>
  </si>
  <si>
    <t>S.Social Pessoal</t>
  </si>
  <si>
    <t>Divorciado</t>
  </si>
  <si>
    <t>Recibo</t>
  </si>
  <si>
    <t>Janeiro</t>
  </si>
  <si>
    <t>Fevereiro</t>
  </si>
  <si>
    <t>Março</t>
  </si>
  <si>
    <t>Abril</t>
  </si>
  <si>
    <t>Maio</t>
  </si>
  <si>
    <t>Junho</t>
  </si>
  <si>
    <t>Julho</t>
  </si>
  <si>
    <t>Agosto</t>
  </si>
  <si>
    <t>Setembro</t>
  </si>
  <si>
    <t>Outubro</t>
  </si>
  <si>
    <t>Novembro</t>
  </si>
  <si>
    <t>Dezembro</t>
  </si>
  <si>
    <t>Ajud. Electricista</t>
  </si>
  <si>
    <t>Solteiro</t>
  </si>
  <si>
    <t xml:space="preserve">IRS Retido </t>
  </si>
  <si>
    <t>S.SOCIAL O. SOCIAIS</t>
  </si>
  <si>
    <t>S.SOCIAL PESSOAL</t>
  </si>
  <si>
    <t>A RECEB O.SOCIAIS</t>
  </si>
  <si>
    <t>A RECB PESSOAL</t>
  </si>
  <si>
    <t>S. SOCIAL TOTAL</t>
  </si>
  <si>
    <t>CUSTO O.SOCIAIS</t>
  </si>
  <si>
    <t>CUSTO PESSOAL</t>
  </si>
  <si>
    <t>irs</t>
  </si>
  <si>
    <t>Sub. Férias/Natal</t>
  </si>
  <si>
    <t>IDENTIFICAÇÃO DE ENTIDADE PAGADORA</t>
  </si>
  <si>
    <t>IDENTIFICAÇÃO DO TITULAR DOS RENDIMENTOS</t>
  </si>
  <si>
    <t>Nome:</t>
  </si>
  <si>
    <t>Nº Seg. Social:</t>
  </si>
  <si>
    <t>Junho-Sub.Férias 2</t>
  </si>
  <si>
    <t>Susana</t>
  </si>
  <si>
    <t>Nuno</t>
  </si>
  <si>
    <t>Fábio</t>
  </si>
  <si>
    <t>Carlos</t>
  </si>
  <si>
    <t>André</t>
  </si>
  <si>
    <t>239 403 000</t>
  </si>
  <si>
    <t>245 076 000</t>
  </si>
  <si>
    <t>243 438 000</t>
  </si>
  <si>
    <t>EMPRESA ,Lda</t>
  </si>
  <si>
    <t>EMPRESA,Lda, Rua XPTO XXXX-XXX CIDADE Contribuinte n.º 123 456 789</t>
  </si>
  <si>
    <t xml:space="preserve">Maio-Sub.Férias </t>
  </si>
  <si>
    <t>Rua XPTO XXXX-XXX CIDADE</t>
  </si>
  <si>
    <t>Contribuinte n.º 123 456 789</t>
  </si>
  <si>
    <t>CIDADE</t>
  </si>
  <si>
    <t>ANO 2011</t>
  </si>
</sst>
</file>

<file path=xl/styles.xml><?xml version="1.0" encoding="utf-8"?>
<styleSheet xmlns="http://schemas.openxmlformats.org/spreadsheetml/2006/main">
  <numFmts count="7">
    <numFmt numFmtId="164" formatCode="#,##0.00\ [$€-1]"/>
    <numFmt numFmtId="165" formatCode="0.0%"/>
    <numFmt numFmtId="166" formatCode="#,##0.00\ [$€-1];[Red]\-#,##0.00\ [$€-1]"/>
    <numFmt numFmtId="167" formatCode="mmmm\ yyyy"/>
    <numFmt numFmtId="168" formatCode="_-* #,##0.00\ [$€]_-;\-* #,##0.00\ [$€]_-;_-* &quot;-&quot;??\ [$€]_-;_-@_-"/>
    <numFmt numFmtId="169" formatCode="_-* #,##0.00\ [$€-1]_-;\-* #,##0.00\ [$€-1]_-;_-* &quot;-&quot;??\ [$€-1]_-"/>
    <numFmt numFmtId="170" formatCode="\ ##\ ###\ ##0"/>
  </numFmts>
  <fonts count="32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i/>
      <sz val="8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sz val="8"/>
      <name val="Arial"/>
      <family val="2"/>
    </font>
    <font>
      <sz val="8"/>
      <name val="Verdana"/>
      <family val="2"/>
    </font>
    <font>
      <b/>
      <sz val="8"/>
      <name val="Verdana"/>
      <family val="2"/>
    </font>
    <font>
      <sz val="10"/>
      <color indexed="9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8"/>
      <color indexed="23"/>
      <name val="Arial"/>
      <family val="2"/>
    </font>
    <font>
      <b/>
      <sz val="12"/>
      <name val="Calibri"/>
      <family val="2"/>
    </font>
    <font>
      <sz val="10"/>
      <name val="Calibri"/>
      <family val="2"/>
    </font>
    <font>
      <b/>
      <sz val="8"/>
      <name val="Calibri"/>
      <family val="2"/>
    </font>
    <font>
      <b/>
      <sz val="14"/>
      <name val="Calibri"/>
      <family val="2"/>
    </font>
    <font>
      <sz val="8"/>
      <name val="Calibri"/>
      <family val="2"/>
    </font>
    <font>
      <i/>
      <sz val="9"/>
      <name val="Calibri"/>
      <family val="2"/>
    </font>
    <font>
      <i/>
      <sz val="10"/>
      <name val="Calibri"/>
      <family val="2"/>
    </font>
    <font>
      <sz val="5"/>
      <color indexed="49"/>
      <name val="Calibri"/>
      <family val="2"/>
    </font>
    <font>
      <sz val="5"/>
      <name val="Calibri"/>
      <family val="2"/>
    </font>
    <font>
      <sz val="7"/>
      <name val="Calibri"/>
      <family val="2"/>
    </font>
    <font>
      <sz val="9"/>
      <name val="Calibri"/>
      <family val="2"/>
    </font>
    <font>
      <sz val="10"/>
      <color indexed="10"/>
      <name val="Arial"/>
      <family val="2"/>
    </font>
    <font>
      <sz val="6"/>
      <name val="Calibri"/>
      <family val="2"/>
    </font>
    <font>
      <sz val="8"/>
      <color indexed="10"/>
      <name val="Calibri"/>
      <family val="2"/>
    </font>
    <font>
      <b/>
      <sz val="11"/>
      <name val="Calibri"/>
      <family val="2"/>
    </font>
    <font>
      <b/>
      <sz val="10"/>
      <name val="Calibri"/>
      <family val="2"/>
    </font>
    <font>
      <u val="singleAccounting"/>
      <sz val="10"/>
      <name val="Calibri"/>
      <family val="2"/>
    </font>
    <font>
      <sz val="8"/>
      <color indexed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5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dashed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4">
    <xf numFmtId="0" fontId="0" fillId="0" borderId="0"/>
    <xf numFmtId="168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82">
    <xf numFmtId="0" fontId="0" fillId="0" borderId="0" xfId="0"/>
    <xf numFmtId="0" fontId="3" fillId="0" borderId="0" xfId="0" applyFont="1"/>
    <xf numFmtId="0" fontId="3" fillId="0" borderId="0" xfId="0" applyFont="1" applyBorder="1"/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 shrinkToFit="1"/>
    </xf>
    <xf numFmtId="0" fontId="2" fillId="0" borderId="0" xfId="0" applyFont="1" applyProtection="1"/>
    <xf numFmtId="0" fontId="0" fillId="0" borderId="0" xfId="0" applyBorder="1"/>
    <xf numFmtId="164" fontId="3" fillId="0" borderId="0" xfId="0" applyNumberFormat="1" applyFont="1"/>
    <xf numFmtId="0" fontId="5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3" fillId="0" borderId="0" xfId="0" applyFont="1" applyBorder="1" applyAlignment="1">
      <alignment horizontal="left"/>
    </xf>
    <xf numFmtId="0" fontId="6" fillId="0" borderId="1" xfId="0" applyFont="1" applyBorder="1" applyAlignment="1" applyProtection="1">
      <alignment horizontal="center" vertical="center"/>
    </xf>
    <xf numFmtId="164" fontId="6" fillId="0" borderId="1" xfId="0" applyNumberFormat="1" applyFont="1" applyBorder="1" applyAlignment="1" applyProtection="1">
      <alignment horizontal="center" vertical="center"/>
    </xf>
    <xf numFmtId="0" fontId="6" fillId="0" borderId="1" xfId="0" applyFont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/>
    </xf>
    <xf numFmtId="164" fontId="6" fillId="0" borderId="1" xfId="0" applyNumberFormat="1" applyFont="1" applyBorder="1" applyAlignment="1" applyProtection="1">
      <alignment horizontal="center"/>
    </xf>
    <xf numFmtId="0" fontId="6" fillId="0" borderId="0" xfId="0" applyFont="1" applyProtection="1"/>
    <xf numFmtId="0" fontId="6" fillId="0" borderId="0" xfId="0" applyFont="1" applyAlignment="1" applyProtection="1">
      <alignment horizontal="center"/>
    </xf>
    <xf numFmtId="0" fontId="2" fillId="2" borderId="1" xfId="0" applyFont="1" applyFill="1" applyBorder="1" applyAlignment="1" applyProtection="1">
      <alignment horizontal="center" vertical="center" shrinkToFit="1"/>
    </xf>
    <xf numFmtId="0" fontId="6" fillId="0" borderId="1" xfId="0" applyFont="1" applyBorder="1" applyAlignment="1">
      <alignment horizontal="center"/>
    </xf>
    <xf numFmtId="0" fontId="6" fillId="0" borderId="2" xfId="0" applyFont="1" applyBorder="1" applyAlignment="1" applyProtection="1">
      <alignment horizontal="center" vertical="center"/>
    </xf>
    <xf numFmtId="164" fontId="6" fillId="0" borderId="2" xfId="0" applyNumberFormat="1" applyFont="1" applyBorder="1" applyAlignment="1" applyProtection="1">
      <alignment horizontal="center" vertical="center"/>
    </xf>
    <xf numFmtId="0" fontId="6" fillId="0" borderId="2" xfId="0" applyFont="1" applyBorder="1" applyAlignment="1" applyProtection="1">
      <alignment horizontal="center" vertical="center" wrapText="1"/>
    </xf>
    <xf numFmtId="0" fontId="6" fillId="0" borderId="2" xfId="0" applyFont="1" applyBorder="1" applyAlignment="1" applyProtection="1">
      <alignment horizontal="center"/>
    </xf>
    <xf numFmtId="164" fontId="6" fillId="0" borderId="2" xfId="0" applyNumberFormat="1" applyFont="1" applyBorder="1" applyAlignment="1" applyProtection="1">
      <alignment horizontal="center"/>
    </xf>
    <xf numFmtId="0" fontId="6" fillId="0" borderId="0" xfId="0" applyFont="1" applyBorder="1" applyAlignment="1" applyProtection="1">
      <alignment horizontal="center" vertical="center"/>
    </xf>
    <xf numFmtId="164" fontId="6" fillId="0" borderId="0" xfId="0" applyNumberFormat="1" applyFont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horizontal="center" vertical="center" wrapText="1"/>
    </xf>
    <xf numFmtId="0" fontId="6" fillId="0" borderId="0" xfId="0" applyFont="1" applyBorder="1" applyAlignment="1" applyProtection="1">
      <alignment horizontal="center"/>
    </xf>
    <xf numFmtId="9" fontId="6" fillId="0" borderId="0" xfId="0" applyNumberFormat="1" applyFont="1" applyBorder="1" applyAlignment="1" applyProtection="1">
      <alignment horizontal="center"/>
    </xf>
    <xf numFmtId="164" fontId="6" fillId="0" borderId="0" xfId="0" applyNumberFormat="1" applyFont="1" applyBorder="1" applyAlignment="1" applyProtection="1">
      <alignment horizontal="center"/>
    </xf>
    <xf numFmtId="0" fontId="6" fillId="0" borderId="0" xfId="0" applyFont="1" applyBorder="1" applyProtection="1"/>
    <xf numFmtId="0" fontId="6" fillId="2" borderId="3" xfId="0" applyFont="1" applyFill="1" applyBorder="1" applyAlignment="1" applyProtection="1">
      <alignment horizontal="center" vertical="center"/>
    </xf>
    <xf numFmtId="0" fontId="6" fillId="2" borderId="4" xfId="0" applyFont="1" applyFill="1" applyBorder="1" applyAlignment="1" applyProtection="1">
      <alignment horizontal="center" vertical="center"/>
    </xf>
    <xf numFmtId="164" fontId="6" fillId="2" borderId="4" xfId="0" applyNumberFormat="1" applyFont="1" applyFill="1" applyBorder="1" applyAlignment="1" applyProtection="1">
      <alignment horizontal="center" vertical="center"/>
    </xf>
    <xf numFmtId="0" fontId="6" fillId="2" borderId="4" xfId="0" applyFont="1" applyFill="1" applyBorder="1" applyAlignment="1" applyProtection="1">
      <alignment horizontal="center" vertical="center" wrapText="1"/>
    </xf>
    <xf numFmtId="0" fontId="6" fillId="2" borderId="4" xfId="0" applyFont="1" applyFill="1" applyBorder="1" applyAlignment="1" applyProtection="1">
      <alignment horizontal="center"/>
    </xf>
    <xf numFmtId="9" fontId="6" fillId="2" borderId="4" xfId="0" applyNumberFormat="1" applyFont="1" applyFill="1" applyBorder="1" applyAlignment="1" applyProtection="1">
      <alignment horizontal="center"/>
    </xf>
    <xf numFmtId="164" fontId="6" fillId="2" borderId="4" xfId="0" applyNumberFormat="1" applyFont="1" applyFill="1" applyBorder="1" applyAlignment="1" applyProtection="1">
      <alignment horizontal="center"/>
    </xf>
    <xf numFmtId="0" fontId="6" fillId="2" borderId="4" xfId="0" applyFont="1" applyFill="1" applyBorder="1" applyProtection="1"/>
    <xf numFmtId="0" fontId="6" fillId="2" borderId="5" xfId="0" applyFont="1" applyFill="1" applyBorder="1" applyProtection="1"/>
    <xf numFmtId="14" fontId="6" fillId="0" borderId="1" xfId="0" applyNumberFormat="1" applyFont="1" applyBorder="1" applyProtection="1"/>
    <xf numFmtId="14" fontId="6" fillId="0" borderId="2" xfId="0" applyNumberFormat="1" applyFont="1" applyBorder="1" applyProtection="1"/>
    <xf numFmtId="164" fontId="3" fillId="3" borderId="1" xfId="0" applyNumberFormat="1" applyFont="1" applyFill="1" applyBorder="1" applyAlignment="1">
      <alignment horizontal="center"/>
    </xf>
    <xf numFmtId="164" fontId="3" fillId="3" borderId="1" xfId="0" applyNumberFormat="1" applyFont="1" applyFill="1" applyBorder="1"/>
    <xf numFmtId="0" fontId="3" fillId="0" borderId="6" xfId="0" applyFont="1" applyBorder="1"/>
    <xf numFmtId="0" fontId="0" fillId="0" borderId="0" xfId="0" applyAlignment="1"/>
    <xf numFmtId="0" fontId="0" fillId="0" borderId="0" xfId="0" applyAlignment="1">
      <alignment vertical="center"/>
    </xf>
    <xf numFmtId="0" fontId="3" fillId="0" borderId="7" xfId="0" applyFont="1" applyBorder="1"/>
    <xf numFmtId="0" fontId="3" fillId="0" borderId="1" xfId="0" applyFont="1" applyBorder="1"/>
    <xf numFmtId="0" fontId="4" fillId="3" borderId="1" xfId="0" applyFont="1" applyFill="1" applyBorder="1" applyAlignment="1">
      <alignment horizontal="left"/>
    </xf>
    <xf numFmtId="0" fontId="8" fillId="0" borderId="0" xfId="0" applyFont="1"/>
    <xf numFmtId="0" fontId="9" fillId="0" borderId="0" xfId="0" applyFont="1"/>
    <xf numFmtId="0" fontId="9" fillId="0" borderId="8" xfId="0" applyFont="1" applyBorder="1" applyAlignment="1">
      <alignment horizontal="left"/>
    </xf>
    <xf numFmtId="0" fontId="8" fillId="0" borderId="0" xfId="0" applyFont="1" applyBorder="1"/>
    <xf numFmtId="0" fontId="9" fillId="0" borderId="9" xfId="0" applyFont="1" applyBorder="1" applyAlignment="1">
      <alignment horizontal="left"/>
    </xf>
    <xf numFmtId="0" fontId="8" fillId="0" borderId="10" xfId="0" applyFont="1" applyBorder="1"/>
    <xf numFmtId="2" fontId="8" fillId="0" borderId="11" xfId="0" applyNumberFormat="1" applyFont="1" applyBorder="1" applyAlignment="1">
      <alignment horizontal="right"/>
    </xf>
    <xf numFmtId="2" fontId="8" fillId="0" borderId="12" xfId="0" applyNumberFormat="1" applyFont="1" applyBorder="1" applyAlignment="1">
      <alignment horizontal="right"/>
    </xf>
    <xf numFmtId="0" fontId="8" fillId="0" borderId="8" xfId="0" applyFont="1" applyBorder="1" applyAlignment="1">
      <alignment horizontal="left"/>
    </xf>
    <xf numFmtId="0" fontId="9" fillId="0" borderId="13" xfId="0" applyFont="1" applyBorder="1" applyAlignment="1">
      <alignment horizontal="left"/>
    </xf>
    <xf numFmtId="0" fontId="8" fillId="0" borderId="14" xfId="0" applyFont="1" applyBorder="1"/>
    <xf numFmtId="0" fontId="8" fillId="0" borderId="13" xfId="0" applyFont="1" applyBorder="1" applyAlignment="1">
      <alignment horizontal="left"/>
    </xf>
    <xf numFmtId="2" fontId="8" fillId="0" borderId="15" xfId="0" applyNumberFormat="1" applyFont="1" applyBorder="1" applyAlignment="1">
      <alignment horizontal="right"/>
    </xf>
    <xf numFmtId="0" fontId="10" fillId="0" borderId="0" xfId="0" applyFont="1"/>
    <xf numFmtId="2" fontId="9" fillId="0" borderId="0" xfId="0" applyNumberFormat="1" applyFont="1" applyBorder="1" applyAlignment="1">
      <alignment horizontal="center"/>
    </xf>
    <xf numFmtId="0" fontId="13" fillId="0" borderId="6" xfId="0" applyFont="1" applyBorder="1"/>
    <xf numFmtId="164" fontId="13" fillId="0" borderId="0" xfId="0" applyNumberFormat="1" applyFont="1"/>
    <xf numFmtId="0" fontId="3" fillId="0" borderId="16" xfId="0" applyFont="1" applyBorder="1"/>
    <xf numFmtId="0" fontId="3" fillId="0" borderId="17" xfId="0" applyFont="1" applyBorder="1"/>
    <xf numFmtId="0" fontId="3" fillId="0" borderId="18" xfId="0" applyFont="1" applyBorder="1"/>
    <xf numFmtId="0" fontId="3" fillId="0" borderId="19" xfId="0" applyFont="1" applyBorder="1"/>
    <xf numFmtId="0" fontId="5" fillId="0" borderId="0" xfId="0" applyFont="1" applyFill="1" applyBorder="1"/>
    <xf numFmtId="0" fontId="13" fillId="0" borderId="0" xfId="0" applyFont="1" applyBorder="1"/>
    <xf numFmtId="170" fontId="6" fillId="0" borderId="1" xfId="0" applyNumberFormat="1" applyFont="1" applyBorder="1" applyAlignment="1">
      <alignment horizontal="center"/>
    </xf>
    <xf numFmtId="1" fontId="6" fillId="0" borderId="1" xfId="0" applyNumberFormat="1" applyFont="1" applyBorder="1" applyAlignment="1" applyProtection="1">
      <alignment horizontal="center"/>
    </xf>
    <xf numFmtId="0" fontId="6" fillId="0" borderId="0" xfId="0" applyFont="1"/>
    <xf numFmtId="0" fontId="14" fillId="0" borderId="0" xfId="0" applyFont="1" applyBorder="1"/>
    <xf numFmtId="0" fontId="15" fillId="0" borderId="0" xfId="0" applyFont="1" applyBorder="1"/>
    <xf numFmtId="0" fontId="16" fillId="0" borderId="14" xfId="0" applyFont="1" applyBorder="1"/>
    <xf numFmtId="0" fontId="15" fillId="0" borderId="14" xfId="0" applyFont="1" applyBorder="1"/>
    <xf numFmtId="0" fontId="15" fillId="0" borderId="14" xfId="0" applyFont="1" applyBorder="1" applyAlignment="1">
      <alignment horizontal="center" vertical="justify"/>
    </xf>
    <xf numFmtId="0" fontId="15" fillId="0" borderId="0" xfId="0" applyFont="1" applyAlignment="1">
      <alignment horizontal="center" vertical="justify"/>
    </xf>
    <xf numFmtId="0" fontId="15" fillId="0" borderId="0" xfId="0" applyFont="1"/>
    <xf numFmtId="0" fontId="15" fillId="0" borderId="0" xfId="0" applyFont="1" applyAlignment="1">
      <alignment horizontal="justify" vertical="justify"/>
    </xf>
    <xf numFmtId="0" fontId="17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5" fillId="0" borderId="0" xfId="0" applyFont="1" applyAlignment="1">
      <alignment horizontal="left"/>
    </xf>
    <xf numFmtId="0" fontId="15" fillId="0" borderId="14" xfId="0" applyFont="1" applyBorder="1" applyAlignment="1">
      <alignment horizontal="center"/>
    </xf>
    <xf numFmtId="0" fontId="18" fillId="0" borderId="0" xfId="0" applyFont="1" applyAlignment="1">
      <alignment horizontal="left"/>
    </xf>
    <xf numFmtId="0" fontId="15" fillId="0" borderId="0" xfId="0" applyFont="1" applyAlignment="1">
      <alignment vertical="center"/>
    </xf>
    <xf numFmtId="0" fontId="15" fillId="0" borderId="0" xfId="0" applyFont="1" applyBorder="1" applyAlignment="1">
      <alignment vertical="center"/>
    </xf>
    <xf numFmtId="0" fontId="15" fillId="0" borderId="12" xfId="0" applyFont="1" applyBorder="1" applyAlignment="1">
      <alignment vertical="center"/>
    </xf>
    <xf numFmtId="0" fontId="15" fillId="0" borderId="8" xfId="0" applyFont="1" applyBorder="1" applyAlignment="1">
      <alignment vertical="center"/>
    </xf>
    <xf numFmtId="0" fontId="15" fillId="0" borderId="12" xfId="0" applyFont="1" applyBorder="1"/>
    <xf numFmtId="0" fontId="15" fillId="0" borderId="0" xfId="0" applyFont="1" applyAlignment="1">
      <alignment horizontal="justify" vertical="center"/>
    </xf>
    <xf numFmtId="0" fontId="15" fillId="0" borderId="0" xfId="0" applyFont="1" applyBorder="1" applyAlignment="1">
      <alignment horizontal="justify" vertical="justify"/>
    </xf>
    <xf numFmtId="0" fontId="15" fillId="0" borderId="12" xfId="0" applyFont="1" applyBorder="1" applyAlignment="1">
      <alignment horizontal="justify" vertical="justify"/>
    </xf>
    <xf numFmtId="0" fontId="15" fillId="0" borderId="8" xfId="0" applyFont="1" applyBorder="1"/>
    <xf numFmtId="0" fontId="15" fillId="0" borderId="0" xfId="0" applyFont="1" applyBorder="1" applyAlignment="1">
      <alignment horizontal="left" vertical="justify"/>
    </xf>
    <xf numFmtId="0" fontId="15" fillId="0" borderId="0" xfId="0" applyFont="1" applyAlignment="1">
      <alignment horizontal="left" vertical="justify"/>
    </xf>
    <xf numFmtId="0" fontId="15" fillId="0" borderId="0" xfId="0" applyFont="1" applyBorder="1" applyAlignment="1">
      <alignment horizontal="left"/>
    </xf>
    <xf numFmtId="0" fontId="15" fillId="0" borderId="10" xfId="0" applyFont="1" applyBorder="1" applyAlignment="1">
      <alignment vertical="center"/>
    </xf>
    <xf numFmtId="0" fontId="15" fillId="0" borderId="11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0" fontId="15" fillId="0" borderId="11" xfId="0" applyFont="1" applyBorder="1"/>
    <xf numFmtId="0" fontId="19" fillId="0" borderId="0" xfId="0" applyFont="1"/>
    <xf numFmtId="0" fontId="20" fillId="0" borderId="0" xfId="0" applyFont="1"/>
    <xf numFmtId="0" fontId="15" fillId="0" borderId="9" xfId="0" applyFont="1" applyBorder="1"/>
    <xf numFmtId="0" fontId="15" fillId="0" borderId="10" xfId="0" applyFont="1" applyBorder="1"/>
    <xf numFmtId="0" fontId="15" fillId="0" borderId="13" xfId="0" applyFont="1" applyBorder="1"/>
    <xf numFmtId="0" fontId="15" fillId="0" borderId="15" xfId="0" applyFont="1" applyBorder="1"/>
    <xf numFmtId="0" fontId="18" fillId="0" borderId="0" xfId="0" applyFont="1"/>
    <xf numFmtId="0" fontId="16" fillId="0" borderId="0" xfId="0" applyFont="1" applyAlignment="1">
      <alignment horizontal="center"/>
    </xf>
    <xf numFmtId="0" fontId="16" fillId="0" borderId="0" xfId="0" applyFont="1"/>
    <xf numFmtId="0" fontId="16" fillId="0" borderId="0" xfId="0" applyFont="1" applyAlignment="1">
      <alignment horizontal="right"/>
    </xf>
    <xf numFmtId="1" fontId="16" fillId="0" borderId="0" xfId="0" applyNumberFormat="1" applyFont="1" applyAlignment="1" applyProtection="1">
      <protection locked="0"/>
    </xf>
    <xf numFmtId="0" fontId="16" fillId="0" borderId="0" xfId="0" applyFont="1" applyAlignment="1">
      <alignment horizontal="left"/>
    </xf>
    <xf numFmtId="170" fontId="18" fillId="0" borderId="0" xfId="0" applyNumberFormat="1" applyFont="1" applyBorder="1" applyAlignment="1">
      <alignment horizontal="center"/>
    </xf>
    <xf numFmtId="0" fontId="18" fillId="0" borderId="0" xfId="0" applyFont="1" applyBorder="1" applyAlignment="1">
      <alignment horizontal="left"/>
    </xf>
    <xf numFmtId="0" fontId="18" fillId="0" borderId="0" xfId="0" applyFont="1" applyBorder="1" applyAlignment="1">
      <alignment horizontal="center"/>
    </xf>
    <xf numFmtId="0" fontId="18" fillId="0" borderId="0" xfId="0" applyFont="1" applyBorder="1" applyAlignment="1"/>
    <xf numFmtId="0" fontId="18" fillId="0" borderId="8" xfId="0" applyFont="1" applyBorder="1"/>
    <xf numFmtId="17" fontId="18" fillId="0" borderId="20" xfId="0" applyNumberFormat="1" applyFont="1" applyBorder="1"/>
    <xf numFmtId="164" fontId="18" fillId="0" borderId="20" xfId="0" applyNumberFormat="1" applyFont="1" applyBorder="1" applyAlignment="1">
      <alignment horizontal="center"/>
    </xf>
    <xf numFmtId="0" fontId="18" fillId="0" borderId="20" xfId="0" applyNumberFormat="1" applyFont="1" applyBorder="1" applyAlignment="1">
      <alignment horizontal="center"/>
    </xf>
    <xf numFmtId="164" fontId="18" fillId="0" borderId="8" xfId="0" applyNumberFormat="1" applyFont="1" applyBorder="1" applyAlignment="1">
      <alignment horizontal="center"/>
    </xf>
    <xf numFmtId="164" fontId="18" fillId="0" borderId="12" xfId="0" applyNumberFormat="1" applyFont="1" applyBorder="1" applyAlignment="1">
      <alignment horizontal="center"/>
    </xf>
    <xf numFmtId="0" fontId="18" fillId="0" borderId="12" xfId="0" applyFont="1" applyBorder="1"/>
    <xf numFmtId="165" fontId="18" fillId="0" borderId="20" xfId="0" applyNumberFormat="1" applyFont="1" applyBorder="1" applyAlignment="1">
      <alignment horizontal="center"/>
    </xf>
    <xf numFmtId="17" fontId="18" fillId="0" borderId="18" xfId="0" applyNumberFormat="1" applyFont="1" applyBorder="1"/>
    <xf numFmtId="9" fontId="18" fillId="0" borderId="18" xfId="0" applyNumberFormat="1" applyFont="1" applyBorder="1" applyAlignment="1">
      <alignment horizontal="center"/>
    </xf>
    <xf numFmtId="2" fontId="16" fillId="0" borderId="0" xfId="0" applyNumberFormat="1" applyFont="1" applyAlignment="1"/>
    <xf numFmtId="1" fontId="18" fillId="0" borderId="0" xfId="0" applyNumberFormat="1" applyFont="1"/>
    <xf numFmtId="0" fontId="18" fillId="0" borderId="14" xfId="0" applyFont="1" applyBorder="1"/>
    <xf numFmtId="0" fontId="21" fillId="0" borderId="0" xfId="0" applyFont="1" applyBorder="1" applyAlignment="1">
      <alignment horizontal="center"/>
    </xf>
    <xf numFmtId="0" fontId="22" fillId="0" borderId="0" xfId="0" applyFont="1" applyBorder="1" applyAlignment="1">
      <alignment horizontal="center"/>
    </xf>
    <xf numFmtId="0" fontId="18" fillId="0" borderId="21" xfId="0" applyFont="1" applyBorder="1"/>
    <xf numFmtId="0" fontId="22" fillId="0" borderId="21" xfId="0" applyFont="1" applyBorder="1" applyAlignment="1">
      <alignment horizontal="center"/>
    </xf>
    <xf numFmtId="164" fontId="18" fillId="0" borderId="0" xfId="0" applyNumberFormat="1" applyFont="1" applyAlignment="1">
      <alignment horizontal="center"/>
    </xf>
    <xf numFmtId="9" fontId="18" fillId="0" borderId="20" xfId="0" applyNumberFormat="1" applyFont="1" applyBorder="1" applyAlignment="1">
      <alignment horizontal="center"/>
    </xf>
    <xf numFmtId="0" fontId="23" fillId="0" borderId="0" xfId="0" applyFont="1"/>
    <xf numFmtId="0" fontId="18" fillId="0" borderId="0" xfId="0" applyFont="1" applyBorder="1"/>
    <xf numFmtId="0" fontId="18" fillId="0" borderId="22" xfId="0" applyFont="1" applyBorder="1"/>
    <xf numFmtId="0" fontId="16" fillId="0" borderId="22" xfId="0" applyFont="1" applyBorder="1" applyAlignment="1">
      <alignment horizontal="center"/>
    </xf>
    <xf numFmtId="0" fontId="18" fillId="0" borderId="22" xfId="0" applyFont="1" applyBorder="1" applyAlignment="1"/>
    <xf numFmtId="0" fontId="24" fillId="0" borderId="0" xfId="0" applyFont="1" applyAlignment="1"/>
    <xf numFmtId="0" fontId="24" fillId="0" borderId="0" xfId="0" applyFont="1"/>
    <xf numFmtId="20" fontId="3" fillId="0" borderId="0" xfId="0" applyNumberFormat="1" applyFont="1"/>
    <xf numFmtId="14" fontId="3" fillId="4" borderId="18" xfId="0" applyNumberFormat="1" applyFont="1" applyFill="1" applyBorder="1"/>
    <xf numFmtId="0" fontId="3" fillId="4" borderId="18" xfId="0" applyFont="1" applyFill="1" applyBorder="1" applyAlignment="1">
      <alignment horizontal="center"/>
    </xf>
    <xf numFmtId="0" fontId="3" fillId="4" borderId="18" xfId="0" applyFont="1" applyFill="1" applyBorder="1"/>
    <xf numFmtId="164" fontId="3" fillId="4" borderId="18" xfId="0" applyNumberFormat="1" applyFont="1" applyFill="1" applyBorder="1" applyAlignment="1">
      <alignment horizontal="center"/>
    </xf>
    <xf numFmtId="0" fontId="3" fillId="4" borderId="18" xfId="0" applyFont="1" applyFill="1" applyBorder="1" applyAlignment="1" applyProtection="1">
      <alignment horizontal="center"/>
    </xf>
    <xf numFmtId="2" fontId="3" fillId="4" borderId="18" xfId="0" applyNumberFormat="1" applyFont="1" applyFill="1" applyBorder="1" applyAlignment="1">
      <alignment horizontal="center"/>
    </xf>
    <xf numFmtId="0" fontId="3" fillId="4" borderId="18" xfId="0" applyFont="1" applyFill="1" applyBorder="1" applyAlignment="1" applyProtection="1">
      <alignment horizontal="center"/>
      <protection locked="0"/>
    </xf>
    <xf numFmtId="0" fontId="3" fillId="4" borderId="18" xfId="0" applyFont="1" applyFill="1" applyBorder="1" applyProtection="1">
      <protection locked="0"/>
    </xf>
    <xf numFmtId="2" fontId="3" fillId="4" borderId="18" xfId="0" applyNumberFormat="1" applyFont="1" applyFill="1" applyBorder="1" applyProtection="1"/>
    <xf numFmtId="2" fontId="3" fillId="4" borderId="18" xfId="0" applyNumberFormat="1" applyFont="1" applyFill="1" applyBorder="1"/>
    <xf numFmtId="164" fontId="3" fillId="4" borderId="18" xfId="0" applyNumberFormat="1" applyFont="1" applyFill="1" applyBorder="1" applyProtection="1">
      <protection locked="0"/>
    </xf>
    <xf numFmtId="164" fontId="3" fillId="4" borderId="18" xfId="0" applyNumberFormat="1" applyFont="1" applyFill="1" applyBorder="1"/>
    <xf numFmtId="164" fontId="3" fillId="4" borderId="19" xfId="0" applyNumberFormat="1" applyFont="1" applyFill="1" applyBorder="1"/>
    <xf numFmtId="165" fontId="3" fillId="4" borderId="18" xfId="0" applyNumberFormat="1" applyFont="1" applyFill="1" applyBorder="1" applyProtection="1">
      <protection locked="0"/>
    </xf>
    <xf numFmtId="164" fontId="3" fillId="4" borderId="23" xfId="0" applyNumberFormat="1" applyFont="1" applyFill="1" applyBorder="1"/>
    <xf numFmtId="14" fontId="3" fillId="4" borderId="1" xfId="0" applyNumberFormat="1" applyFont="1" applyFill="1" applyBorder="1"/>
    <xf numFmtId="0" fontId="3" fillId="4" borderId="1" xfId="0" applyFont="1" applyFill="1" applyBorder="1" applyAlignment="1">
      <alignment horizontal="center"/>
    </xf>
    <xf numFmtId="0" fontId="3" fillId="4" borderId="1" xfId="0" applyFont="1" applyFill="1" applyBorder="1"/>
    <xf numFmtId="164" fontId="3" fillId="4" borderId="1" xfId="0" applyNumberFormat="1" applyFont="1" applyFill="1" applyBorder="1" applyAlignment="1">
      <alignment horizontal="center"/>
    </xf>
    <xf numFmtId="0" fontId="3" fillId="4" borderId="1" xfId="0" applyFont="1" applyFill="1" applyBorder="1" applyAlignment="1" applyProtection="1">
      <alignment horizontal="center"/>
    </xf>
    <xf numFmtId="2" fontId="3" fillId="4" borderId="1" xfId="0" applyNumberFormat="1" applyFont="1" applyFill="1" applyBorder="1" applyAlignment="1">
      <alignment horizontal="center"/>
    </xf>
    <xf numFmtId="0" fontId="3" fillId="4" borderId="1" xfId="0" applyFont="1" applyFill="1" applyBorder="1" applyAlignment="1" applyProtection="1">
      <alignment horizontal="center"/>
      <protection locked="0"/>
    </xf>
    <xf numFmtId="0" fontId="3" fillId="4" borderId="1" xfId="0" applyFont="1" applyFill="1" applyBorder="1" applyProtection="1">
      <protection locked="0"/>
    </xf>
    <xf numFmtId="2" fontId="3" fillId="4" borderId="1" xfId="0" applyNumberFormat="1" applyFont="1" applyFill="1" applyBorder="1" applyProtection="1"/>
    <xf numFmtId="2" fontId="3" fillId="4" borderId="1" xfId="0" applyNumberFormat="1" applyFont="1" applyFill="1" applyBorder="1"/>
    <xf numFmtId="164" fontId="3" fillId="4" borderId="1" xfId="0" applyNumberFormat="1" applyFont="1" applyFill="1" applyBorder="1" applyProtection="1">
      <protection locked="0"/>
    </xf>
    <xf numFmtId="164" fontId="3" fillId="4" borderId="1" xfId="0" applyNumberFormat="1" applyFont="1" applyFill="1" applyBorder="1"/>
    <xf numFmtId="165" fontId="3" fillId="4" borderId="1" xfId="0" applyNumberFormat="1" applyFont="1" applyFill="1" applyBorder="1" applyProtection="1">
      <protection locked="0"/>
    </xf>
    <xf numFmtId="164" fontId="3" fillId="4" borderId="24" xfId="0" applyNumberFormat="1" applyFont="1" applyFill="1" applyBorder="1"/>
    <xf numFmtId="0" fontId="13" fillId="0" borderId="1" xfId="0" applyFont="1" applyBorder="1"/>
    <xf numFmtId="14" fontId="3" fillId="4" borderId="19" xfId="0" applyNumberFormat="1" applyFont="1" applyFill="1" applyBorder="1"/>
    <xf numFmtId="0" fontId="3" fillId="4" borderId="19" xfId="0" applyFont="1" applyFill="1" applyBorder="1" applyAlignment="1">
      <alignment horizontal="center"/>
    </xf>
    <xf numFmtId="0" fontId="3" fillId="4" borderId="19" xfId="0" applyFont="1" applyFill="1" applyBorder="1"/>
    <xf numFmtId="164" fontId="3" fillId="4" borderId="19" xfId="0" applyNumberFormat="1" applyFont="1" applyFill="1" applyBorder="1" applyAlignment="1">
      <alignment horizontal="center"/>
    </xf>
    <xf numFmtId="0" fontId="3" fillId="4" borderId="19" xfId="0" applyFont="1" applyFill="1" applyBorder="1" applyAlignment="1" applyProtection="1">
      <alignment horizontal="center"/>
    </xf>
    <xf numFmtId="2" fontId="3" fillId="4" borderId="19" xfId="0" applyNumberFormat="1" applyFont="1" applyFill="1" applyBorder="1" applyAlignment="1">
      <alignment horizontal="center"/>
    </xf>
    <xf numFmtId="0" fontId="3" fillId="4" borderId="19" xfId="0" applyFont="1" applyFill="1" applyBorder="1" applyAlignment="1" applyProtection="1">
      <alignment horizontal="center"/>
      <protection locked="0"/>
    </xf>
    <xf numFmtId="0" fontId="3" fillId="4" borderId="19" xfId="0" applyFont="1" applyFill="1" applyBorder="1" applyProtection="1">
      <protection locked="0"/>
    </xf>
    <xf numFmtId="2" fontId="3" fillId="4" borderId="19" xfId="0" applyNumberFormat="1" applyFont="1" applyFill="1" applyBorder="1" applyProtection="1"/>
    <xf numFmtId="2" fontId="3" fillId="4" borderId="19" xfId="0" applyNumberFormat="1" applyFont="1" applyFill="1" applyBorder="1"/>
    <xf numFmtId="164" fontId="3" fillId="4" borderId="19" xfId="0" applyNumberFormat="1" applyFont="1" applyFill="1" applyBorder="1" applyProtection="1">
      <protection locked="0"/>
    </xf>
    <xf numFmtId="165" fontId="3" fillId="4" borderId="19" xfId="0" applyNumberFormat="1" applyFont="1" applyFill="1" applyBorder="1" applyProtection="1">
      <protection locked="0"/>
    </xf>
    <xf numFmtId="164" fontId="3" fillId="4" borderId="25" xfId="0" applyNumberFormat="1" applyFont="1" applyFill="1" applyBorder="1"/>
    <xf numFmtId="164" fontId="3" fillId="0" borderId="22" xfId="0" applyNumberFormat="1" applyFont="1" applyBorder="1"/>
    <xf numFmtId="0" fontId="3" fillId="0" borderId="22" xfId="0" applyFont="1" applyBorder="1"/>
    <xf numFmtId="164" fontId="18" fillId="0" borderId="0" xfId="0" applyNumberFormat="1" applyFont="1" applyBorder="1" applyAlignment="1">
      <alignment horizontal="center"/>
    </xf>
    <xf numFmtId="1" fontId="9" fillId="0" borderId="0" xfId="0" applyNumberFormat="1" applyFont="1" applyBorder="1" applyAlignment="1">
      <alignment horizontal="center"/>
    </xf>
    <xf numFmtId="0" fontId="15" fillId="0" borderId="0" xfId="0" applyFont="1" applyAlignment="1"/>
    <xf numFmtId="2" fontId="16" fillId="0" borderId="0" xfId="0" applyNumberFormat="1" applyFont="1"/>
    <xf numFmtId="0" fontId="5" fillId="0" borderId="22" xfId="0" applyFont="1" applyFill="1" applyBorder="1"/>
    <xf numFmtId="2" fontId="25" fillId="0" borderId="0" xfId="0" applyNumberFormat="1" applyFont="1"/>
    <xf numFmtId="0" fontId="3" fillId="0" borderId="2" xfId="0" applyFont="1" applyBorder="1"/>
    <xf numFmtId="14" fontId="3" fillId="4" borderId="2" xfId="0" applyNumberFormat="1" applyFont="1" applyFill="1" applyBorder="1"/>
    <xf numFmtId="0" fontId="3" fillId="4" borderId="2" xfId="0" applyFont="1" applyFill="1" applyBorder="1" applyAlignment="1">
      <alignment horizontal="center"/>
    </xf>
    <xf numFmtId="164" fontId="3" fillId="4" borderId="2" xfId="0" applyNumberFormat="1" applyFont="1" applyFill="1" applyBorder="1" applyAlignment="1">
      <alignment horizontal="center"/>
    </xf>
    <xf numFmtId="2" fontId="3" fillId="4" borderId="2" xfId="0" applyNumberFormat="1" applyFont="1" applyFill="1" applyBorder="1" applyAlignment="1">
      <alignment horizontal="center"/>
    </xf>
    <xf numFmtId="0" fontId="3" fillId="4" borderId="2" xfId="0" applyFont="1" applyFill="1" applyBorder="1" applyAlignment="1" applyProtection="1">
      <alignment horizontal="center"/>
      <protection locked="0"/>
    </xf>
    <xf numFmtId="0" fontId="3" fillId="4" borderId="2" xfId="0" applyFont="1" applyFill="1" applyBorder="1" applyProtection="1">
      <protection locked="0"/>
    </xf>
    <xf numFmtId="2" fontId="3" fillId="4" borderId="2" xfId="0" applyNumberFormat="1" applyFont="1" applyFill="1" applyBorder="1" applyProtection="1"/>
    <xf numFmtId="2" fontId="3" fillId="4" borderId="2" xfId="0" applyNumberFormat="1" applyFont="1" applyFill="1" applyBorder="1"/>
    <xf numFmtId="164" fontId="3" fillId="4" borderId="2" xfId="0" applyNumberFormat="1" applyFont="1" applyFill="1" applyBorder="1" applyProtection="1">
      <protection locked="0"/>
    </xf>
    <xf numFmtId="164" fontId="3" fillId="4" borderId="2" xfId="0" applyNumberFormat="1" applyFont="1" applyFill="1" applyBorder="1"/>
    <xf numFmtId="164" fontId="3" fillId="0" borderId="26" xfId="0" applyNumberFormat="1" applyFont="1" applyBorder="1"/>
    <xf numFmtId="0" fontId="3" fillId="0" borderId="26" xfId="0" applyFont="1" applyBorder="1"/>
    <xf numFmtId="9" fontId="5" fillId="5" borderId="19" xfId="0" applyNumberFormat="1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165" fontId="6" fillId="0" borderId="1" xfId="0" applyNumberFormat="1" applyFont="1" applyBorder="1" applyAlignment="1" applyProtection="1">
      <alignment horizontal="center"/>
    </xf>
    <xf numFmtId="165" fontId="6" fillId="0" borderId="2" xfId="0" applyNumberFormat="1" applyFont="1" applyBorder="1" applyAlignment="1" applyProtection="1">
      <alignment horizontal="center"/>
    </xf>
    <xf numFmtId="0" fontId="3" fillId="3" borderId="18" xfId="0" applyFont="1" applyFill="1" applyBorder="1" applyAlignment="1" applyProtection="1">
      <alignment horizontal="center"/>
    </xf>
    <xf numFmtId="0" fontId="13" fillId="3" borderId="18" xfId="0" applyFont="1" applyFill="1" applyBorder="1" applyAlignment="1" applyProtection="1">
      <alignment horizontal="center"/>
    </xf>
    <xf numFmtId="14" fontId="3" fillId="3" borderId="18" xfId="0" applyNumberFormat="1" applyFont="1" applyFill="1" applyBorder="1"/>
    <xf numFmtId="0" fontId="3" fillId="3" borderId="18" xfId="0" applyFont="1" applyFill="1" applyBorder="1" applyAlignment="1">
      <alignment horizontal="center"/>
    </xf>
    <xf numFmtId="0" fontId="3" fillId="3" borderId="18" xfId="0" applyFont="1" applyFill="1" applyBorder="1"/>
    <xf numFmtId="164" fontId="3" fillId="3" borderId="18" xfId="0" applyNumberFormat="1" applyFont="1" applyFill="1" applyBorder="1" applyAlignment="1">
      <alignment horizontal="center"/>
    </xf>
    <xf numFmtId="0" fontId="31" fillId="3" borderId="1" xfId="0" applyFont="1" applyFill="1" applyBorder="1" applyAlignment="1" applyProtection="1">
      <alignment horizontal="center"/>
    </xf>
    <xf numFmtId="0" fontId="31" fillId="3" borderId="1" xfId="0" applyFont="1" applyFill="1" applyBorder="1" applyAlignment="1">
      <alignment horizontal="center"/>
    </xf>
    <xf numFmtId="2" fontId="3" fillId="3" borderId="18" xfId="0" applyNumberFormat="1" applyFont="1" applyFill="1" applyBorder="1" applyAlignment="1">
      <alignment horizontal="center"/>
    </xf>
    <xf numFmtId="0" fontId="3" fillId="3" borderId="18" xfId="0" applyFont="1" applyFill="1" applyBorder="1" applyAlignment="1" applyProtection="1">
      <alignment horizontal="center"/>
      <protection locked="0"/>
    </xf>
    <xf numFmtId="0" fontId="3" fillId="3" borderId="18" xfId="0" applyFont="1" applyFill="1" applyBorder="1" applyProtection="1">
      <protection locked="0"/>
    </xf>
    <xf numFmtId="2" fontId="3" fillId="3" borderId="18" xfId="0" applyNumberFormat="1" applyFont="1" applyFill="1" applyBorder="1" applyProtection="1"/>
    <xf numFmtId="2" fontId="3" fillId="3" borderId="18" xfId="0" applyNumberFormat="1" applyFont="1" applyFill="1" applyBorder="1"/>
    <xf numFmtId="164" fontId="3" fillId="3" borderId="18" xfId="0" applyNumberFormat="1" applyFont="1" applyFill="1" applyBorder="1" applyProtection="1">
      <protection locked="0"/>
    </xf>
    <xf numFmtId="164" fontId="3" fillId="3" borderId="18" xfId="0" applyNumberFormat="1" applyFont="1" applyFill="1" applyBorder="1"/>
    <xf numFmtId="164" fontId="3" fillId="3" borderId="20" xfId="0" applyNumberFormat="1" applyFont="1" applyFill="1" applyBorder="1"/>
    <xf numFmtId="165" fontId="3" fillId="3" borderId="18" xfId="0" applyNumberFormat="1" applyFont="1" applyFill="1" applyBorder="1" applyProtection="1">
      <protection locked="0"/>
    </xf>
    <xf numFmtId="9" fontId="3" fillId="3" borderId="18" xfId="3" applyFont="1" applyFill="1" applyBorder="1"/>
    <xf numFmtId="164" fontId="3" fillId="3" borderId="23" xfId="0" applyNumberFormat="1" applyFont="1" applyFill="1" applyBorder="1"/>
    <xf numFmtId="164" fontId="3" fillId="3" borderId="27" xfId="0" applyNumberFormat="1" applyFont="1" applyFill="1" applyBorder="1"/>
    <xf numFmtId="14" fontId="13" fillId="3" borderId="1" xfId="0" applyNumberFormat="1" applyFont="1" applyFill="1" applyBorder="1"/>
    <xf numFmtId="0" fontId="13" fillId="3" borderId="1" xfId="0" applyFont="1" applyFill="1" applyBorder="1" applyAlignment="1">
      <alignment horizontal="center"/>
    </xf>
    <xf numFmtId="0" fontId="13" fillId="3" borderId="1" xfId="0" applyFont="1" applyFill="1" applyBorder="1"/>
    <xf numFmtId="164" fontId="13" fillId="3" borderId="1" xfId="0" applyNumberFormat="1" applyFont="1" applyFill="1" applyBorder="1" applyAlignment="1">
      <alignment horizontal="center"/>
    </xf>
    <xf numFmtId="0" fontId="13" fillId="3" borderId="1" xfId="0" applyFont="1" applyFill="1" applyBorder="1" applyAlignment="1" applyProtection="1">
      <alignment horizontal="center"/>
    </xf>
    <xf numFmtId="2" fontId="13" fillId="3" borderId="1" xfId="0" applyNumberFormat="1" applyFont="1" applyFill="1" applyBorder="1" applyAlignment="1">
      <alignment horizontal="center"/>
    </xf>
    <xf numFmtId="0" fontId="13" fillId="3" borderId="1" xfId="0" applyFont="1" applyFill="1" applyBorder="1" applyAlignment="1" applyProtection="1">
      <alignment horizontal="center"/>
      <protection locked="0"/>
    </xf>
    <xf numFmtId="0" fontId="13" fillId="3" borderId="1" xfId="0" applyFont="1" applyFill="1" applyBorder="1" applyProtection="1">
      <protection locked="0"/>
    </xf>
    <xf numFmtId="2" fontId="13" fillId="3" borderId="1" xfId="0" applyNumberFormat="1" applyFont="1" applyFill="1" applyBorder="1" applyProtection="1"/>
    <xf numFmtId="2" fontId="13" fillId="3" borderId="1" xfId="0" applyNumberFormat="1" applyFont="1" applyFill="1" applyBorder="1"/>
    <xf numFmtId="164" fontId="13" fillId="3" borderId="1" xfId="0" applyNumberFormat="1" applyFont="1" applyFill="1" applyBorder="1" applyProtection="1">
      <protection locked="0"/>
    </xf>
    <xf numFmtId="164" fontId="13" fillId="3" borderId="1" xfId="0" applyNumberFormat="1" applyFont="1" applyFill="1" applyBorder="1"/>
    <xf numFmtId="164" fontId="13" fillId="3" borderId="3" xfId="0" applyNumberFormat="1" applyFont="1" applyFill="1" applyBorder="1"/>
    <xf numFmtId="165" fontId="13" fillId="3" borderId="1" xfId="0" applyNumberFormat="1" applyFont="1" applyFill="1" applyBorder="1" applyProtection="1">
      <protection locked="0"/>
    </xf>
    <xf numFmtId="9" fontId="13" fillId="3" borderId="1" xfId="3" applyFont="1" applyFill="1" applyBorder="1"/>
    <xf numFmtId="164" fontId="13" fillId="3" borderId="28" xfId="0" applyNumberFormat="1" applyFont="1" applyFill="1" applyBorder="1"/>
    <xf numFmtId="164" fontId="13" fillId="3" borderId="29" xfId="0" applyNumberFormat="1" applyFont="1" applyFill="1" applyBorder="1"/>
    <xf numFmtId="164" fontId="13" fillId="3" borderId="30" xfId="0" applyNumberFormat="1" applyFont="1" applyFill="1" applyBorder="1"/>
    <xf numFmtId="164" fontId="13" fillId="3" borderId="24" xfId="0" applyNumberFormat="1" applyFont="1" applyFill="1" applyBorder="1"/>
    <xf numFmtId="14" fontId="3" fillId="3" borderId="1" xfId="0" applyNumberFormat="1" applyFont="1" applyFill="1" applyBorder="1"/>
    <xf numFmtId="0" fontId="3" fillId="3" borderId="1" xfId="0" applyFont="1" applyFill="1" applyBorder="1" applyAlignment="1">
      <alignment horizontal="center"/>
    </xf>
    <xf numFmtId="0" fontId="3" fillId="3" borderId="1" xfId="0" applyFont="1" applyFill="1" applyBorder="1"/>
    <xf numFmtId="164" fontId="3" fillId="3" borderId="1" xfId="0" applyNumberFormat="1" applyFont="1" applyFill="1" applyBorder="1" applyAlignment="1">
      <alignment horizontal="center"/>
    </xf>
    <xf numFmtId="0" fontId="3" fillId="3" borderId="1" xfId="0" applyFont="1" applyFill="1" applyBorder="1" applyAlignment="1" applyProtection="1">
      <alignment horizontal="center"/>
    </xf>
    <xf numFmtId="2" fontId="3" fillId="3" borderId="1" xfId="0" applyNumberFormat="1" applyFont="1" applyFill="1" applyBorder="1" applyAlignment="1">
      <alignment horizontal="center"/>
    </xf>
    <xf numFmtId="0" fontId="3" fillId="3" borderId="1" xfId="0" applyFont="1" applyFill="1" applyBorder="1" applyAlignment="1" applyProtection="1">
      <alignment horizontal="center"/>
      <protection locked="0"/>
    </xf>
    <xf numFmtId="0" fontId="3" fillId="3" borderId="1" xfId="0" applyFont="1" applyFill="1" applyBorder="1" applyProtection="1">
      <protection locked="0"/>
    </xf>
    <xf numFmtId="2" fontId="3" fillId="3" borderId="1" xfId="0" applyNumberFormat="1" applyFont="1" applyFill="1" applyBorder="1" applyProtection="1"/>
    <xf numFmtId="2" fontId="3" fillId="3" borderId="1" xfId="0" applyNumberFormat="1" applyFont="1" applyFill="1" applyBorder="1"/>
    <xf numFmtId="164" fontId="3" fillId="3" borderId="1" xfId="0" applyNumberFormat="1" applyFont="1" applyFill="1" applyBorder="1" applyProtection="1">
      <protection locked="0"/>
    </xf>
    <xf numFmtId="164" fontId="3" fillId="3" borderId="1" xfId="0" applyNumberFormat="1" applyFont="1" applyFill="1" applyBorder="1"/>
    <xf numFmtId="164" fontId="3" fillId="3" borderId="3" xfId="0" applyNumberFormat="1" applyFont="1" applyFill="1" applyBorder="1"/>
    <xf numFmtId="165" fontId="3" fillId="3" borderId="1" xfId="0" applyNumberFormat="1" applyFont="1" applyFill="1" applyBorder="1" applyProtection="1">
      <protection locked="0"/>
    </xf>
    <xf numFmtId="9" fontId="3" fillId="3" borderId="1" xfId="3" applyFont="1" applyFill="1" applyBorder="1"/>
    <xf numFmtId="164" fontId="3" fillId="3" borderId="24" xfId="0" applyNumberFormat="1" applyFont="1" applyFill="1" applyBorder="1"/>
    <xf numFmtId="164" fontId="3" fillId="3" borderId="30" xfId="0" applyNumberFormat="1" applyFont="1" applyFill="1" applyBorder="1"/>
    <xf numFmtId="14" fontId="3" fillId="3" borderId="19" xfId="0" applyNumberFormat="1" applyFont="1" applyFill="1" applyBorder="1"/>
    <xf numFmtId="0" fontId="3" fillId="3" borderId="19" xfId="0" applyFont="1" applyFill="1" applyBorder="1" applyAlignment="1">
      <alignment horizontal="center"/>
    </xf>
    <xf numFmtId="0" fontId="3" fillId="3" borderId="19" xfId="0" applyFont="1" applyFill="1" applyBorder="1"/>
    <xf numFmtId="164" fontId="3" fillId="3" borderId="19" xfId="0" applyNumberFormat="1" applyFont="1" applyFill="1" applyBorder="1" applyAlignment="1">
      <alignment horizontal="center"/>
    </xf>
    <xf numFmtId="0" fontId="3" fillId="3" borderId="19" xfId="0" applyFont="1" applyFill="1" applyBorder="1" applyAlignment="1" applyProtection="1">
      <alignment horizontal="center"/>
    </xf>
    <xf numFmtId="2" fontId="3" fillId="3" borderId="19" xfId="0" applyNumberFormat="1" applyFont="1" applyFill="1" applyBorder="1" applyAlignment="1">
      <alignment horizontal="center"/>
    </xf>
    <xf numFmtId="0" fontId="3" fillId="3" borderId="19" xfId="0" applyFont="1" applyFill="1" applyBorder="1" applyAlignment="1" applyProtection="1">
      <alignment horizontal="center"/>
      <protection locked="0"/>
    </xf>
    <xf numFmtId="0" fontId="3" fillId="3" borderId="19" xfId="0" applyFont="1" applyFill="1" applyBorder="1" applyProtection="1">
      <protection locked="0"/>
    </xf>
    <xf numFmtId="2" fontId="3" fillId="3" borderId="19" xfId="0" applyNumberFormat="1" applyFont="1" applyFill="1" applyBorder="1" applyProtection="1"/>
    <xf numFmtId="2" fontId="3" fillId="3" borderId="19" xfId="0" applyNumberFormat="1" applyFont="1" applyFill="1" applyBorder="1"/>
    <xf numFmtId="164" fontId="3" fillId="3" borderId="19" xfId="0" applyNumberFormat="1" applyFont="1" applyFill="1" applyBorder="1" applyProtection="1">
      <protection locked="0"/>
    </xf>
    <xf numFmtId="164" fontId="3" fillId="3" borderId="19" xfId="0" applyNumberFormat="1" applyFont="1" applyFill="1" applyBorder="1"/>
    <xf numFmtId="164" fontId="3" fillId="3" borderId="31" xfId="0" applyNumberFormat="1" applyFont="1" applyFill="1" applyBorder="1"/>
    <xf numFmtId="165" fontId="3" fillId="3" borderId="19" xfId="0" applyNumberFormat="1" applyFont="1" applyFill="1" applyBorder="1" applyProtection="1">
      <protection locked="0"/>
    </xf>
    <xf numFmtId="9" fontId="3" fillId="3" borderId="19" xfId="3" applyFont="1" applyFill="1" applyBorder="1"/>
    <xf numFmtId="164" fontId="3" fillId="3" borderId="25" xfId="0" applyNumberFormat="1" applyFont="1" applyFill="1" applyBorder="1"/>
    <xf numFmtId="164" fontId="3" fillId="3" borderId="22" xfId="0" applyNumberFormat="1" applyFont="1" applyFill="1" applyBorder="1"/>
    <xf numFmtId="164" fontId="3" fillId="3" borderId="13" xfId="0" applyNumberFormat="1" applyFont="1" applyFill="1" applyBorder="1"/>
    <xf numFmtId="2" fontId="13" fillId="3" borderId="18" xfId="0" applyNumberFormat="1" applyFont="1" applyFill="1" applyBorder="1" applyAlignment="1">
      <alignment horizontal="center"/>
    </xf>
    <xf numFmtId="0" fontId="13" fillId="3" borderId="18" xfId="0" applyFont="1" applyFill="1" applyBorder="1"/>
    <xf numFmtId="164" fontId="13" fillId="3" borderId="18" xfId="0" applyNumberFormat="1" applyFont="1" applyFill="1" applyBorder="1" applyAlignment="1">
      <alignment horizontal="center"/>
    </xf>
    <xf numFmtId="0" fontId="13" fillId="3" borderId="18" xfId="0" applyFont="1" applyFill="1" applyBorder="1" applyAlignment="1">
      <alignment horizontal="center"/>
    </xf>
    <xf numFmtId="164" fontId="13" fillId="3" borderId="18" xfId="0" applyNumberFormat="1" applyFont="1" applyFill="1" applyBorder="1"/>
    <xf numFmtId="2" fontId="3" fillId="3" borderId="32" xfId="0" applyNumberFormat="1" applyFont="1" applyFill="1" applyBorder="1" applyAlignment="1">
      <alignment horizontal="center"/>
    </xf>
    <xf numFmtId="164" fontId="3" fillId="3" borderId="32" xfId="0" applyNumberFormat="1" applyFont="1" applyFill="1" applyBorder="1" applyAlignment="1">
      <alignment horizontal="center"/>
    </xf>
    <xf numFmtId="0" fontId="13" fillId="3" borderId="19" xfId="0" applyFont="1" applyFill="1" applyBorder="1" applyAlignment="1" applyProtection="1">
      <alignment horizontal="center"/>
    </xf>
    <xf numFmtId="0" fontId="31" fillId="4" borderId="1" xfId="0" applyFont="1" applyFill="1" applyBorder="1" applyAlignment="1" applyProtection="1">
      <alignment horizontal="center"/>
    </xf>
    <xf numFmtId="164" fontId="3" fillId="4" borderId="13" xfId="0" applyNumberFormat="1" applyFont="1" applyFill="1" applyBorder="1"/>
    <xf numFmtId="9" fontId="3" fillId="4" borderId="18" xfId="3" applyFont="1" applyFill="1" applyBorder="1"/>
    <xf numFmtId="164" fontId="3" fillId="4" borderId="27" xfId="0" applyNumberFormat="1" applyFont="1" applyFill="1" applyBorder="1"/>
    <xf numFmtId="14" fontId="13" fillId="4" borderId="1" xfId="0" applyNumberFormat="1" applyFont="1" applyFill="1" applyBorder="1"/>
    <xf numFmtId="0" fontId="13" fillId="4" borderId="1" xfId="0" applyFont="1" applyFill="1" applyBorder="1" applyAlignment="1">
      <alignment horizontal="center"/>
    </xf>
    <xf numFmtId="0" fontId="13" fillId="4" borderId="1" xfId="0" applyFont="1" applyFill="1" applyBorder="1"/>
    <xf numFmtId="164" fontId="13" fillId="4" borderId="1" xfId="0" applyNumberFormat="1" applyFont="1" applyFill="1" applyBorder="1" applyAlignment="1">
      <alignment horizontal="center"/>
    </xf>
    <xf numFmtId="0" fontId="13" fillId="4" borderId="1" xfId="0" applyFont="1" applyFill="1" applyBorder="1" applyAlignment="1" applyProtection="1">
      <alignment horizontal="center"/>
    </xf>
    <xf numFmtId="2" fontId="13" fillId="4" borderId="1" xfId="0" applyNumberFormat="1" applyFont="1" applyFill="1" applyBorder="1" applyAlignment="1">
      <alignment horizontal="center"/>
    </xf>
    <xf numFmtId="0" fontId="13" fillId="4" borderId="1" xfId="0" applyFont="1" applyFill="1" applyBorder="1" applyAlignment="1" applyProtection="1">
      <alignment horizontal="center"/>
      <protection locked="0"/>
    </xf>
    <xf numFmtId="0" fontId="13" fillId="4" borderId="1" xfId="0" applyFont="1" applyFill="1" applyBorder="1" applyProtection="1">
      <protection locked="0"/>
    </xf>
    <xf numFmtId="2" fontId="13" fillId="4" borderId="1" xfId="0" applyNumberFormat="1" applyFont="1" applyFill="1" applyBorder="1" applyProtection="1"/>
    <xf numFmtId="2" fontId="13" fillId="4" borderId="1" xfId="0" applyNumberFormat="1" applyFont="1" applyFill="1" applyBorder="1"/>
    <xf numFmtId="164" fontId="13" fillId="4" borderId="1" xfId="0" applyNumberFormat="1" applyFont="1" applyFill="1" applyBorder="1" applyProtection="1">
      <protection locked="0"/>
    </xf>
    <xf numFmtId="164" fontId="13" fillId="4" borderId="1" xfId="0" applyNumberFormat="1" applyFont="1" applyFill="1" applyBorder="1"/>
    <xf numFmtId="164" fontId="13" fillId="4" borderId="3" xfId="0" applyNumberFormat="1" applyFont="1" applyFill="1" applyBorder="1"/>
    <xf numFmtId="165" fontId="13" fillId="4" borderId="1" xfId="0" applyNumberFormat="1" applyFont="1" applyFill="1" applyBorder="1" applyProtection="1">
      <protection locked="0"/>
    </xf>
    <xf numFmtId="9" fontId="13" fillId="4" borderId="1" xfId="3" applyFont="1" applyFill="1" applyBorder="1"/>
    <xf numFmtId="164" fontId="13" fillId="4" borderId="24" xfId="0" applyNumberFormat="1" applyFont="1" applyFill="1" applyBorder="1"/>
    <xf numFmtId="164" fontId="13" fillId="4" borderId="30" xfId="0" applyNumberFormat="1" applyFont="1" applyFill="1" applyBorder="1"/>
    <xf numFmtId="164" fontId="3" fillId="4" borderId="3" xfId="0" applyNumberFormat="1" applyFont="1" applyFill="1" applyBorder="1"/>
    <xf numFmtId="9" fontId="3" fillId="4" borderId="1" xfId="3" applyFont="1" applyFill="1" applyBorder="1"/>
    <xf numFmtId="164" fontId="3" fillId="4" borderId="30" xfId="0" applyNumberFormat="1" applyFont="1" applyFill="1" applyBorder="1"/>
    <xf numFmtId="164" fontId="3" fillId="4" borderId="31" xfId="0" applyNumberFormat="1" applyFont="1" applyFill="1" applyBorder="1"/>
    <xf numFmtId="9" fontId="3" fillId="4" borderId="19" xfId="3" applyFont="1" applyFill="1" applyBorder="1"/>
    <xf numFmtId="164" fontId="3" fillId="4" borderId="22" xfId="0" applyNumberFormat="1" applyFont="1" applyFill="1" applyBorder="1"/>
    <xf numFmtId="0" fontId="13" fillId="4" borderId="18" xfId="0" applyFont="1" applyFill="1" applyBorder="1" applyAlignment="1">
      <alignment horizontal="center"/>
    </xf>
    <xf numFmtId="0" fontId="13" fillId="4" borderId="18" xfId="0" applyFont="1" applyFill="1" applyBorder="1"/>
    <xf numFmtId="164" fontId="13" fillId="4" borderId="18" xfId="0" applyNumberFormat="1" applyFont="1" applyFill="1" applyBorder="1" applyAlignment="1">
      <alignment horizontal="center"/>
    </xf>
    <xf numFmtId="164" fontId="3" fillId="4" borderId="9" xfId="0" applyNumberFormat="1" applyFont="1" applyFill="1" applyBorder="1"/>
    <xf numFmtId="9" fontId="3" fillId="4" borderId="2" xfId="3" applyFont="1" applyFill="1" applyBorder="1"/>
    <xf numFmtId="0" fontId="3" fillId="4" borderId="32" xfId="0" applyFont="1" applyFill="1" applyBorder="1" applyAlignment="1">
      <alignment horizontal="center"/>
    </xf>
    <xf numFmtId="0" fontId="3" fillId="4" borderId="32" xfId="0" applyFont="1" applyFill="1" applyBorder="1"/>
    <xf numFmtId="164" fontId="3" fillId="4" borderId="32" xfId="0" applyNumberFormat="1" applyFont="1" applyFill="1" applyBorder="1" applyAlignment="1">
      <alignment horizontal="center"/>
    </xf>
    <xf numFmtId="2" fontId="13" fillId="4" borderId="18" xfId="0" applyNumberFormat="1" applyFont="1" applyFill="1" applyBorder="1" applyAlignment="1">
      <alignment horizontal="center"/>
    </xf>
    <xf numFmtId="164" fontId="13" fillId="4" borderId="18" xfId="0" applyNumberFormat="1" applyFont="1" applyFill="1" applyBorder="1"/>
    <xf numFmtId="14" fontId="3" fillId="6" borderId="18" xfId="0" applyNumberFormat="1" applyFont="1" applyFill="1" applyBorder="1"/>
    <xf numFmtId="0" fontId="3" fillId="6" borderId="18" xfId="0" applyFont="1" applyFill="1" applyBorder="1" applyAlignment="1">
      <alignment horizontal="center"/>
    </xf>
    <xf numFmtId="0" fontId="3" fillId="6" borderId="18" xfId="0" applyFont="1" applyFill="1" applyBorder="1"/>
    <xf numFmtId="164" fontId="3" fillId="6" borderId="18" xfId="0" applyNumberFormat="1" applyFont="1" applyFill="1" applyBorder="1" applyAlignment="1">
      <alignment horizontal="center"/>
    </xf>
    <xf numFmtId="0" fontId="3" fillId="6" borderId="18" xfId="0" applyFont="1" applyFill="1" applyBorder="1" applyAlignment="1" applyProtection="1">
      <alignment horizontal="center"/>
    </xf>
    <xf numFmtId="2" fontId="3" fillId="6" borderId="18" xfId="0" applyNumberFormat="1" applyFont="1" applyFill="1" applyBorder="1" applyAlignment="1">
      <alignment horizontal="center"/>
    </xf>
    <xf numFmtId="0" fontId="3" fillId="6" borderId="18" xfId="0" applyFont="1" applyFill="1" applyBorder="1" applyAlignment="1" applyProtection="1">
      <alignment horizontal="center"/>
      <protection locked="0"/>
    </xf>
    <xf numFmtId="0" fontId="3" fillId="6" borderId="18" xfId="0" applyFont="1" applyFill="1" applyBorder="1" applyProtection="1">
      <protection locked="0"/>
    </xf>
    <xf numFmtId="2" fontId="3" fillId="6" borderId="18" xfId="0" applyNumberFormat="1" applyFont="1" applyFill="1" applyBorder="1" applyProtection="1"/>
    <xf numFmtId="2" fontId="3" fillId="6" borderId="18" xfId="0" applyNumberFormat="1" applyFont="1" applyFill="1" applyBorder="1"/>
    <xf numFmtId="164" fontId="3" fillId="6" borderId="18" xfId="0" applyNumberFormat="1" applyFont="1" applyFill="1" applyBorder="1" applyProtection="1">
      <protection locked="0"/>
    </xf>
    <xf numFmtId="164" fontId="3" fillId="6" borderId="18" xfId="0" applyNumberFormat="1" applyFont="1" applyFill="1" applyBorder="1"/>
    <xf numFmtId="164" fontId="3" fillId="6" borderId="32" xfId="0" applyNumberFormat="1" applyFont="1" applyFill="1" applyBorder="1"/>
    <xf numFmtId="165" fontId="3" fillId="6" borderId="18" xfId="0" applyNumberFormat="1" applyFont="1" applyFill="1" applyBorder="1" applyProtection="1">
      <protection locked="0"/>
    </xf>
    <xf numFmtId="164" fontId="3" fillId="6" borderId="23" xfId="0" applyNumberFormat="1" applyFont="1" applyFill="1" applyBorder="1"/>
    <xf numFmtId="14" fontId="3" fillId="6" borderId="1" xfId="0" applyNumberFormat="1" applyFont="1" applyFill="1" applyBorder="1"/>
    <xf numFmtId="0" fontId="3" fillId="6" borderId="1" xfId="0" applyFont="1" applyFill="1" applyBorder="1" applyAlignment="1">
      <alignment horizontal="center"/>
    </xf>
    <xf numFmtId="0" fontId="3" fillId="6" borderId="1" xfId="0" applyFont="1" applyFill="1" applyBorder="1"/>
    <xf numFmtId="164" fontId="3" fillId="6" borderId="1" xfId="0" applyNumberFormat="1" applyFont="1" applyFill="1" applyBorder="1" applyAlignment="1">
      <alignment horizontal="center"/>
    </xf>
    <xf numFmtId="0" fontId="3" fillId="6" borderId="1" xfId="0" applyFont="1" applyFill="1" applyBorder="1" applyAlignment="1" applyProtection="1">
      <alignment horizontal="center"/>
    </xf>
    <xf numFmtId="2" fontId="3" fillId="6" borderId="1" xfId="0" applyNumberFormat="1" applyFont="1" applyFill="1" applyBorder="1" applyAlignment="1">
      <alignment horizontal="center"/>
    </xf>
    <xf numFmtId="0" fontId="3" fillId="6" borderId="1" xfId="0" applyFont="1" applyFill="1" applyBorder="1" applyAlignment="1" applyProtection="1">
      <alignment horizontal="center"/>
      <protection locked="0"/>
    </xf>
    <xf numFmtId="0" fontId="3" fillId="6" borderId="1" xfId="0" applyFont="1" applyFill="1" applyBorder="1" applyProtection="1">
      <protection locked="0"/>
    </xf>
    <xf numFmtId="2" fontId="3" fillId="6" borderId="1" xfId="0" applyNumberFormat="1" applyFont="1" applyFill="1" applyBorder="1" applyProtection="1"/>
    <xf numFmtId="2" fontId="3" fillId="6" borderId="1" xfId="0" applyNumberFormat="1" applyFont="1" applyFill="1" applyBorder="1"/>
    <xf numFmtId="164" fontId="3" fillId="6" borderId="1" xfId="0" applyNumberFormat="1" applyFont="1" applyFill="1" applyBorder="1" applyProtection="1">
      <protection locked="0"/>
    </xf>
    <xf numFmtId="164" fontId="3" fillId="6" borderId="1" xfId="0" applyNumberFormat="1" applyFont="1" applyFill="1" applyBorder="1"/>
    <xf numFmtId="165" fontId="3" fillId="6" borderId="1" xfId="0" applyNumberFormat="1" applyFont="1" applyFill="1" applyBorder="1" applyProtection="1">
      <protection locked="0"/>
    </xf>
    <xf numFmtId="164" fontId="3" fillId="6" borderId="24" xfId="0" applyNumberFormat="1" applyFont="1" applyFill="1" applyBorder="1"/>
    <xf numFmtId="14" fontId="3" fillId="6" borderId="19" xfId="0" applyNumberFormat="1" applyFont="1" applyFill="1" applyBorder="1"/>
    <xf numFmtId="0" fontId="3" fillId="6" borderId="19" xfId="0" applyFont="1" applyFill="1" applyBorder="1" applyAlignment="1">
      <alignment horizontal="center"/>
    </xf>
    <xf numFmtId="0" fontId="3" fillId="6" borderId="19" xfId="0" applyFont="1" applyFill="1" applyBorder="1"/>
    <xf numFmtId="164" fontId="3" fillId="6" borderId="19" xfId="0" applyNumberFormat="1" applyFont="1" applyFill="1" applyBorder="1" applyAlignment="1">
      <alignment horizontal="center"/>
    </xf>
    <xf numFmtId="0" fontId="3" fillId="6" borderId="19" xfId="0" applyFont="1" applyFill="1" applyBorder="1" applyAlignment="1" applyProtection="1">
      <alignment horizontal="center"/>
    </xf>
    <xf numFmtId="2" fontId="3" fillId="6" borderId="19" xfId="0" applyNumberFormat="1" applyFont="1" applyFill="1" applyBorder="1" applyAlignment="1">
      <alignment horizontal="center"/>
    </xf>
    <xf numFmtId="0" fontId="3" fillId="6" borderId="19" xfId="0" applyFont="1" applyFill="1" applyBorder="1" applyAlignment="1" applyProtection="1">
      <alignment horizontal="center"/>
      <protection locked="0"/>
    </xf>
    <xf numFmtId="0" fontId="3" fillId="6" borderId="19" xfId="0" applyFont="1" applyFill="1" applyBorder="1" applyProtection="1">
      <protection locked="0"/>
    </xf>
    <xf numFmtId="2" fontId="3" fillId="6" borderId="19" xfId="0" applyNumberFormat="1" applyFont="1" applyFill="1" applyBorder="1" applyProtection="1"/>
    <xf numFmtId="2" fontId="3" fillId="6" borderId="19" xfId="0" applyNumberFormat="1" applyFont="1" applyFill="1" applyBorder="1"/>
    <xf numFmtId="164" fontId="3" fillId="6" borderId="19" xfId="0" applyNumberFormat="1" applyFont="1" applyFill="1" applyBorder="1" applyProtection="1">
      <protection locked="0"/>
    </xf>
    <xf numFmtId="164" fontId="3" fillId="6" borderId="19" xfId="0" applyNumberFormat="1" applyFont="1" applyFill="1" applyBorder="1"/>
    <xf numFmtId="165" fontId="3" fillId="6" borderId="19" xfId="0" applyNumberFormat="1" applyFont="1" applyFill="1" applyBorder="1" applyProtection="1">
      <protection locked="0"/>
    </xf>
    <xf numFmtId="164" fontId="3" fillId="6" borderId="25" xfId="0" applyNumberFormat="1" applyFont="1" applyFill="1" applyBorder="1"/>
    <xf numFmtId="14" fontId="3" fillId="6" borderId="2" xfId="0" applyNumberFormat="1" applyFont="1" applyFill="1" applyBorder="1"/>
    <xf numFmtId="0" fontId="3" fillId="6" borderId="2" xfId="0" applyFont="1" applyFill="1" applyBorder="1" applyAlignment="1">
      <alignment horizontal="center"/>
    </xf>
    <xf numFmtId="0" fontId="3" fillId="6" borderId="2" xfId="0" applyFont="1" applyFill="1" applyBorder="1"/>
    <xf numFmtId="164" fontId="3" fillId="6" borderId="2" xfId="0" applyNumberFormat="1" applyFont="1" applyFill="1" applyBorder="1" applyAlignment="1">
      <alignment horizontal="center"/>
    </xf>
    <xf numFmtId="0" fontId="3" fillId="6" borderId="2" xfId="0" applyFont="1" applyFill="1" applyBorder="1" applyAlignment="1" applyProtection="1">
      <alignment horizontal="center"/>
    </xf>
    <xf numFmtId="2" fontId="3" fillId="6" borderId="2" xfId="0" applyNumberFormat="1" applyFont="1" applyFill="1" applyBorder="1" applyAlignment="1">
      <alignment horizontal="center"/>
    </xf>
    <xf numFmtId="0" fontId="3" fillId="6" borderId="2" xfId="0" applyFont="1" applyFill="1" applyBorder="1" applyAlignment="1" applyProtection="1">
      <alignment horizontal="center"/>
      <protection locked="0"/>
    </xf>
    <xf numFmtId="0" fontId="3" fillId="6" borderId="2" xfId="0" applyFont="1" applyFill="1" applyBorder="1" applyProtection="1">
      <protection locked="0"/>
    </xf>
    <xf numFmtId="2" fontId="3" fillId="6" borderId="2" xfId="0" applyNumberFormat="1" applyFont="1" applyFill="1" applyBorder="1" applyProtection="1"/>
    <xf numFmtId="2" fontId="3" fillId="6" borderId="2" xfId="0" applyNumberFormat="1" applyFont="1" applyFill="1" applyBorder="1"/>
    <xf numFmtId="164" fontId="3" fillId="6" borderId="2" xfId="0" applyNumberFormat="1" applyFont="1" applyFill="1" applyBorder="1" applyProtection="1">
      <protection locked="0"/>
    </xf>
    <xf numFmtId="164" fontId="3" fillId="6" borderId="2" xfId="0" applyNumberFormat="1" applyFont="1" applyFill="1" applyBorder="1"/>
    <xf numFmtId="165" fontId="3" fillId="6" borderId="2" xfId="0" applyNumberFormat="1" applyFont="1" applyFill="1" applyBorder="1" applyProtection="1">
      <protection locked="0"/>
    </xf>
    <xf numFmtId="164" fontId="3" fillId="6" borderId="33" xfId="0" applyNumberFormat="1" applyFont="1" applyFill="1" applyBorder="1"/>
    <xf numFmtId="0" fontId="1" fillId="0" borderId="1" xfId="0" applyFont="1" applyBorder="1"/>
    <xf numFmtId="0" fontId="1" fillId="0" borderId="2" xfId="0" applyFont="1" applyBorder="1"/>
    <xf numFmtId="170" fontId="1" fillId="0" borderId="1" xfId="0" applyNumberFormat="1" applyFont="1" applyBorder="1" applyAlignment="1">
      <alignment horizontal="center"/>
    </xf>
    <xf numFmtId="0" fontId="5" fillId="5" borderId="28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5" fillId="5" borderId="38" xfId="0" applyFont="1" applyFill="1" applyBorder="1" applyAlignment="1">
      <alignment horizontal="center" vertical="center" wrapText="1"/>
    </xf>
    <xf numFmtId="0" fontId="5" fillId="5" borderId="9" xfId="0" applyFont="1" applyFill="1" applyBorder="1" applyAlignment="1">
      <alignment horizontal="center" vertical="center" wrapText="1"/>
    </xf>
    <xf numFmtId="0" fontId="5" fillId="5" borderId="28" xfId="0" applyFont="1" applyFill="1" applyBorder="1" applyAlignment="1" applyProtection="1">
      <alignment horizontal="center" vertical="center" wrapText="1"/>
      <protection locked="0"/>
    </xf>
    <xf numFmtId="0" fontId="5" fillId="5" borderId="2" xfId="0" applyFont="1" applyFill="1" applyBorder="1" applyAlignment="1" applyProtection="1">
      <alignment horizontal="center" vertical="center" wrapText="1"/>
      <protection locked="0"/>
    </xf>
    <xf numFmtId="2" fontId="5" fillId="5" borderId="28" xfId="0" applyNumberFormat="1" applyFont="1" applyFill="1" applyBorder="1" applyAlignment="1">
      <alignment horizontal="center" vertical="center" wrapText="1"/>
    </xf>
    <xf numFmtId="2" fontId="5" fillId="5" borderId="2" xfId="0" applyNumberFormat="1" applyFont="1" applyFill="1" applyBorder="1" applyAlignment="1">
      <alignment horizontal="center" vertical="center" wrapText="1"/>
    </xf>
    <xf numFmtId="0" fontId="5" fillId="5" borderId="28" xfId="0" applyFont="1" applyFill="1" applyBorder="1" applyAlignment="1" applyProtection="1">
      <alignment horizontal="center" vertical="center" wrapText="1"/>
    </xf>
    <xf numFmtId="0" fontId="5" fillId="5" borderId="2" xfId="0" applyFont="1" applyFill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/>
      <protection locked="0"/>
    </xf>
    <xf numFmtId="0" fontId="5" fillId="5" borderId="34" xfId="0" applyFont="1" applyFill="1" applyBorder="1" applyAlignment="1">
      <alignment horizontal="center" vertical="center" wrapText="1"/>
    </xf>
    <xf numFmtId="0" fontId="5" fillId="5" borderId="35" xfId="0" applyFont="1" applyFill="1" applyBorder="1" applyAlignment="1">
      <alignment horizontal="center" vertical="center" wrapText="1"/>
    </xf>
    <xf numFmtId="0" fontId="5" fillId="5" borderId="36" xfId="0" applyFont="1" applyFill="1" applyBorder="1" applyAlignment="1">
      <alignment horizontal="center" vertical="center" wrapText="1"/>
    </xf>
    <xf numFmtId="0" fontId="5" fillId="5" borderId="37" xfId="0" applyFont="1" applyFill="1" applyBorder="1" applyAlignment="1">
      <alignment horizontal="center" vertical="center" wrapText="1"/>
    </xf>
    <xf numFmtId="0" fontId="6" fillId="0" borderId="0" xfId="0" applyFont="1" applyBorder="1" applyAlignment="1" applyProtection="1">
      <alignment horizontal="center"/>
      <protection locked="0"/>
    </xf>
    <xf numFmtId="0" fontId="16" fillId="0" borderId="0" xfId="0" applyFont="1" applyAlignment="1">
      <alignment horizontal="center"/>
    </xf>
    <xf numFmtId="164" fontId="18" fillId="0" borderId="0" xfId="0" applyNumberFormat="1" applyFont="1" applyAlignment="1">
      <alignment horizontal="center"/>
    </xf>
    <xf numFmtId="2" fontId="16" fillId="0" borderId="0" xfId="0" applyNumberFormat="1" applyFont="1" applyAlignment="1">
      <alignment horizontal="left"/>
    </xf>
    <xf numFmtId="2" fontId="18" fillId="0" borderId="0" xfId="0" applyNumberFormat="1" applyFont="1" applyAlignment="1">
      <alignment horizontal="center"/>
    </xf>
    <xf numFmtId="0" fontId="18" fillId="0" borderId="0" xfId="0" applyFont="1" applyAlignment="1">
      <alignment horizontal="center"/>
    </xf>
    <xf numFmtId="164" fontId="18" fillId="0" borderId="8" xfId="0" applyNumberFormat="1" applyFont="1" applyBorder="1" applyAlignment="1">
      <alignment horizontal="center"/>
    </xf>
    <xf numFmtId="164" fontId="18" fillId="0" borderId="12" xfId="0" applyNumberFormat="1" applyFont="1" applyBorder="1" applyAlignment="1">
      <alignment horizontal="center"/>
    </xf>
    <xf numFmtId="0" fontId="18" fillId="0" borderId="8" xfId="0" applyFont="1" applyBorder="1" applyAlignment="1">
      <alignment horizontal="center"/>
    </xf>
    <xf numFmtId="0" fontId="18" fillId="0" borderId="12" xfId="0" applyFont="1" applyBorder="1" applyAlignment="1">
      <alignment horizontal="center"/>
    </xf>
    <xf numFmtId="0" fontId="16" fillId="0" borderId="14" xfId="0" applyFont="1" applyBorder="1" applyAlignment="1">
      <alignment horizontal="center"/>
    </xf>
    <xf numFmtId="0" fontId="26" fillId="0" borderId="0" xfId="0" applyFont="1" applyAlignment="1">
      <alignment horizontal="center"/>
    </xf>
    <xf numFmtId="0" fontId="18" fillId="0" borderId="13" xfId="0" applyFont="1" applyBorder="1" applyAlignment="1">
      <alignment horizontal="center"/>
    </xf>
    <xf numFmtId="0" fontId="18" fillId="0" borderId="15" xfId="0" applyFont="1" applyBorder="1" applyAlignment="1">
      <alignment horizontal="center"/>
    </xf>
    <xf numFmtId="164" fontId="18" fillId="0" borderId="14" xfId="0" applyNumberFormat="1" applyFont="1" applyBorder="1" applyAlignment="1">
      <alignment horizontal="center"/>
    </xf>
    <xf numFmtId="164" fontId="18" fillId="0" borderId="15" xfId="0" applyNumberFormat="1" applyFont="1" applyBorder="1" applyAlignment="1">
      <alignment horizontal="center"/>
    </xf>
    <xf numFmtId="164" fontId="18" fillId="0" borderId="13" xfId="0" applyNumberFormat="1" applyFont="1" applyBorder="1" applyAlignment="1">
      <alignment horizontal="center"/>
    </xf>
    <xf numFmtId="0" fontId="16" fillId="0" borderId="22" xfId="0" applyFont="1" applyBorder="1" applyAlignment="1">
      <alignment horizontal="center"/>
    </xf>
    <xf numFmtId="164" fontId="18" fillId="0" borderId="0" xfId="0" applyNumberFormat="1" applyFont="1" applyBorder="1" applyAlignment="1">
      <alignment horizontal="center"/>
    </xf>
    <xf numFmtId="2" fontId="18" fillId="0" borderId="0" xfId="0" applyNumberFormat="1" applyFont="1" applyBorder="1" applyAlignment="1">
      <alignment horizontal="center"/>
    </xf>
    <xf numFmtId="2" fontId="18" fillId="0" borderId="12" xfId="0" applyNumberFormat="1" applyFont="1" applyBorder="1" applyAlignment="1">
      <alignment horizontal="center"/>
    </xf>
    <xf numFmtId="167" fontId="16" fillId="0" borderId="0" xfId="0" applyNumberFormat="1" applyFont="1" applyAlignment="1" applyProtection="1">
      <alignment horizontal="center"/>
      <protection locked="0"/>
    </xf>
    <xf numFmtId="0" fontId="15" fillId="0" borderId="0" xfId="0" applyFont="1" applyAlignment="1">
      <alignment horizontal="center"/>
    </xf>
    <xf numFmtId="0" fontId="16" fillId="0" borderId="0" xfId="0" applyFont="1" applyAlignment="1">
      <alignment horizontal="left"/>
    </xf>
    <xf numFmtId="168" fontId="18" fillId="0" borderId="8" xfId="1" applyFont="1" applyBorder="1" applyAlignment="1">
      <alignment horizontal="center"/>
    </xf>
    <xf numFmtId="168" fontId="18" fillId="0" borderId="0" xfId="1" applyFont="1" applyBorder="1" applyAlignment="1">
      <alignment horizontal="center"/>
    </xf>
    <xf numFmtId="2" fontId="18" fillId="0" borderId="8" xfId="0" applyNumberFormat="1" applyFont="1" applyBorder="1" applyAlignment="1">
      <alignment horizontal="center"/>
    </xf>
    <xf numFmtId="168" fontId="18" fillId="0" borderId="0" xfId="1" applyFont="1" applyAlignment="1">
      <alignment horizontal="center"/>
    </xf>
    <xf numFmtId="168" fontId="18" fillId="0" borderId="13" xfId="1" applyFont="1" applyBorder="1" applyAlignment="1">
      <alignment horizontal="center"/>
    </xf>
    <xf numFmtId="168" fontId="18" fillId="0" borderId="14" xfId="1" applyFont="1" applyBorder="1" applyAlignment="1">
      <alignment horizontal="center"/>
    </xf>
    <xf numFmtId="0" fontId="18" fillId="0" borderId="0" xfId="0" applyFont="1" applyAlignment="1" applyProtection="1">
      <alignment horizontal="center"/>
      <protection locked="0"/>
    </xf>
    <xf numFmtId="1" fontId="18" fillId="0" borderId="0" xfId="0" applyNumberFormat="1" applyFont="1" applyBorder="1" applyAlignment="1">
      <alignment horizontal="center"/>
    </xf>
    <xf numFmtId="1" fontId="18" fillId="0" borderId="12" xfId="0" applyNumberFormat="1" applyFont="1" applyBorder="1" applyAlignment="1">
      <alignment horizontal="center"/>
    </xf>
    <xf numFmtId="164" fontId="3" fillId="0" borderId="0" xfId="0" applyNumberFormat="1" applyFont="1" applyAlignment="1">
      <alignment horizontal="center"/>
    </xf>
    <xf numFmtId="168" fontId="27" fillId="0" borderId="8" xfId="1" applyFont="1" applyBorder="1" applyAlignment="1">
      <alignment horizontal="center"/>
    </xf>
    <xf numFmtId="168" fontId="27" fillId="0" borderId="12" xfId="1" applyFont="1" applyBorder="1" applyAlignment="1">
      <alignment horizontal="center"/>
    </xf>
    <xf numFmtId="168" fontId="27" fillId="0" borderId="13" xfId="1" applyFont="1" applyBorder="1" applyAlignment="1">
      <alignment horizontal="center"/>
    </xf>
    <xf numFmtId="168" fontId="27" fillId="0" borderId="15" xfId="1" applyFont="1" applyBorder="1" applyAlignment="1">
      <alignment horizontal="center"/>
    </xf>
    <xf numFmtId="168" fontId="18" fillId="0" borderId="12" xfId="1" applyFont="1" applyBorder="1" applyAlignment="1">
      <alignment horizontal="center"/>
    </xf>
    <xf numFmtId="0" fontId="18" fillId="0" borderId="0" xfId="0" applyFont="1" applyBorder="1" applyAlignment="1">
      <alignment horizontal="left"/>
    </xf>
    <xf numFmtId="0" fontId="18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164" fontId="29" fillId="0" borderId="0" xfId="2" applyNumberFormat="1" applyFont="1" applyBorder="1" applyAlignment="1">
      <alignment horizontal="center"/>
    </xf>
    <xf numFmtId="0" fontId="28" fillId="0" borderId="10" xfId="0" applyFont="1" applyBorder="1" applyAlignment="1">
      <alignment horizontal="center"/>
    </xf>
    <xf numFmtId="0" fontId="15" fillId="0" borderId="14" xfId="0" applyFont="1" applyBorder="1" applyAlignment="1">
      <alignment horizontal="center"/>
    </xf>
    <xf numFmtId="0" fontId="15" fillId="0" borderId="15" xfId="0" applyFont="1" applyBorder="1" applyAlignment="1">
      <alignment horizontal="center"/>
    </xf>
    <xf numFmtId="0" fontId="15" fillId="0" borderId="13" xfId="0" applyFont="1" applyBorder="1" applyAlignment="1">
      <alignment horizontal="center"/>
    </xf>
    <xf numFmtId="0" fontId="15" fillId="0" borderId="0" xfId="0" applyFont="1" applyAlignment="1">
      <alignment horizontal="left" vertical="center"/>
    </xf>
    <xf numFmtId="0" fontId="30" fillId="0" borderId="0" xfId="2" applyNumberFormat="1" applyFont="1" applyBorder="1" applyAlignment="1">
      <alignment horizontal="center"/>
    </xf>
    <xf numFmtId="166" fontId="29" fillId="0" borderId="0" xfId="2" applyNumberFormat="1" applyFont="1" applyBorder="1" applyAlignment="1">
      <alignment horizontal="center" vertical="center"/>
    </xf>
    <xf numFmtId="166" fontId="29" fillId="0" borderId="12" xfId="2" applyNumberFormat="1" applyFont="1" applyBorder="1" applyAlignment="1">
      <alignment horizontal="center" vertical="center"/>
    </xf>
    <xf numFmtId="166" fontId="29" fillId="0" borderId="8" xfId="2" applyNumberFormat="1" applyFont="1" applyBorder="1" applyAlignment="1">
      <alignment horizontal="center" vertical="center"/>
    </xf>
    <xf numFmtId="0" fontId="19" fillId="0" borderId="0" xfId="0" applyFont="1" applyAlignment="1">
      <alignment horizontal="left"/>
    </xf>
    <xf numFmtId="0" fontId="15" fillId="0" borderId="0" xfId="0" applyFont="1" applyBorder="1" applyAlignment="1">
      <alignment horizontal="left" vertical="justify"/>
    </xf>
    <xf numFmtId="0" fontId="15" fillId="0" borderId="0" xfId="0" applyFont="1" applyAlignment="1">
      <alignment horizontal="left" vertical="justify"/>
    </xf>
    <xf numFmtId="0" fontId="17" fillId="0" borderId="0" xfId="0" applyFont="1" applyBorder="1" applyAlignment="1">
      <alignment horizontal="center"/>
    </xf>
    <xf numFmtId="0" fontId="17" fillId="0" borderId="0" xfId="0" applyFont="1" applyAlignment="1">
      <alignment horizontal="center"/>
    </xf>
    <xf numFmtId="0" fontId="15" fillId="0" borderId="10" xfId="0" applyFont="1" applyBorder="1" applyAlignment="1">
      <alignment horizontal="center"/>
    </xf>
    <xf numFmtId="164" fontId="29" fillId="0" borderId="8" xfId="2" applyNumberFormat="1" applyFont="1" applyBorder="1" applyAlignment="1">
      <alignment horizontal="center" vertical="center"/>
    </xf>
    <xf numFmtId="164" fontId="29" fillId="0" borderId="12" xfId="2" applyNumberFormat="1" applyFont="1" applyBorder="1" applyAlignment="1">
      <alignment horizontal="center" vertical="center"/>
    </xf>
    <xf numFmtId="0" fontId="30" fillId="0" borderId="0" xfId="2" applyNumberFormat="1" applyFont="1" applyBorder="1" applyAlignment="1">
      <alignment horizontal="center" vertical="center"/>
    </xf>
    <xf numFmtId="0" fontId="15" fillId="0" borderId="0" xfId="0" applyFont="1" applyBorder="1" applyAlignment="1">
      <alignment horizontal="center"/>
    </xf>
    <xf numFmtId="14" fontId="15" fillId="0" borderId="0" xfId="0" applyNumberFormat="1" applyFont="1" applyBorder="1" applyAlignment="1">
      <alignment horizontal="center"/>
    </xf>
    <xf numFmtId="0" fontId="29" fillId="0" borderId="12" xfId="2" applyNumberFormat="1" applyFont="1" applyBorder="1" applyAlignment="1">
      <alignment horizontal="center" vertical="center"/>
    </xf>
    <xf numFmtId="0" fontId="9" fillId="7" borderId="3" xfId="0" applyFont="1" applyFill="1" applyBorder="1" applyAlignment="1">
      <alignment horizontal="center"/>
    </xf>
    <xf numFmtId="0" fontId="9" fillId="7" borderId="4" xfId="0" applyFont="1" applyFill="1" applyBorder="1" applyAlignment="1">
      <alignment horizontal="center"/>
    </xf>
    <xf numFmtId="0" fontId="9" fillId="7" borderId="5" xfId="0" applyFont="1" applyFill="1" applyBorder="1" applyAlignment="1">
      <alignment horizontal="center"/>
    </xf>
    <xf numFmtId="0" fontId="9" fillId="7" borderId="9" xfId="0" applyFont="1" applyFill="1" applyBorder="1" applyAlignment="1">
      <alignment horizontal="center"/>
    </xf>
    <xf numFmtId="0" fontId="9" fillId="7" borderId="10" xfId="0" applyFont="1" applyFill="1" applyBorder="1" applyAlignment="1">
      <alignment horizontal="center"/>
    </xf>
    <xf numFmtId="0" fontId="9" fillId="7" borderId="11" xfId="0" applyFont="1" applyFill="1" applyBorder="1" applyAlignment="1">
      <alignment horizontal="center"/>
    </xf>
    <xf numFmtId="2" fontId="7" fillId="0" borderId="0" xfId="0" applyNumberFormat="1" applyFont="1" applyAlignment="1">
      <alignment horizontal="center"/>
    </xf>
  </cellXfs>
  <cellStyles count="4">
    <cellStyle name="Euro" xfId="1"/>
    <cellStyle name="Euro_Livro1" xfId="2"/>
    <cellStyle name="Normal" xfId="0" builtinId="0"/>
    <cellStyle name="Percent" xfId="3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</xdr:colOff>
      <xdr:row>0</xdr:row>
      <xdr:rowOff>47625</xdr:rowOff>
    </xdr:from>
    <xdr:to>
      <xdr:col>5</xdr:col>
      <xdr:colOff>500063</xdr:colOff>
      <xdr:row>5</xdr:row>
      <xdr:rowOff>107156</xdr:rowOff>
    </xdr:to>
    <xdr:sp macro="" textlink="">
      <xdr:nvSpPr>
        <xdr:cNvPr id="4" name="CaixaDeTexto 3"/>
        <xdr:cNvSpPr txBox="1"/>
      </xdr:nvSpPr>
      <xdr:spPr>
        <a:xfrm>
          <a:off x="702469" y="47625"/>
          <a:ext cx="3000375" cy="77390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pt-PT" sz="1100"/>
            <a:t>LOGOTIPO DA EMPRESA</a:t>
          </a:r>
        </a:p>
      </xdr:txBody>
    </xdr:sp>
    <xdr:clientData/>
  </xdr:twoCellAnchor>
  <xdr:twoCellAnchor>
    <xdr:from>
      <xdr:col>1</xdr:col>
      <xdr:colOff>23812</xdr:colOff>
      <xdr:row>47</xdr:row>
      <xdr:rowOff>11906</xdr:rowOff>
    </xdr:from>
    <xdr:to>
      <xdr:col>5</xdr:col>
      <xdr:colOff>428625</xdr:colOff>
      <xdr:row>52</xdr:row>
      <xdr:rowOff>71437</xdr:rowOff>
    </xdr:to>
    <xdr:sp macro="" textlink="">
      <xdr:nvSpPr>
        <xdr:cNvPr id="5" name="CaixaDeTexto 4"/>
        <xdr:cNvSpPr txBox="1"/>
      </xdr:nvSpPr>
      <xdr:spPr>
        <a:xfrm>
          <a:off x="631031" y="6405562"/>
          <a:ext cx="3000375" cy="77390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pt-PT" sz="1100"/>
            <a:t>LOGOTIPO DA EMPRESA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35718</xdr:colOff>
      <xdr:row>0</xdr:row>
      <xdr:rowOff>35718</xdr:rowOff>
    </xdr:from>
    <xdr:to>
      <xdr:col>5</xdr:col>
      <xdr:colOff>440531</xdr:colOff>
      <xdr:row>5</xdr:row>
      <xdr:rowOff>95249</xdr:rowOff>
    </xdr:to>
    <xdr:sp macro="" textlink="">
      <xdr:nvSpPr>
        <xdr:cNvPr id="4" name="CaixaDeTexto 3"/>
        <xdr:cNvSpPr txBox="1"/>
      </xdr:nvSpPr>
      <xdr:spPr>
        <a:xfrm>
          <a:off x="642937" y="35718"/>
          <a:ext cx="3000375" cy="77390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pt-PT" sz="1100"/>
            <a:t>LOGOTIPO DA EMPRESA</a:t>
          </a:r>
        </a:p>
      </xdr:txBody>
    </xdr:sp>
    <xdr:clientData/>
  </xdr:twoCellAnchor>
  <xdr:twoCellAnchor>
    <xdr:from>
      <xdr:col>0</xdr:col>
      <xdr:colOff>607218</xdr:colOff>
      <xdr:row>43</xdr:row>
      <xdr:rowOff>0</xdr:rowOff>
    </xdr:from>
    <xdr:to>
      <xdr:col>5</xdr:col>
      <xdr:colOff>404812</xdr:colOff>
      <xdr:row>48</xdr:row>
      <xdr:rowOff>59531</xdr:rowOff>
    </xdr:to>
    <xdr:sp macro="" textlink="">
      <xdr:nvSpPr>
        <xdr:cNvPr id="5" name="CaixaDeTexto 4"/>
        <xdr:cNvSpPr txBox="1"/>
      </xdr:nvSpPr>
      <xdr:spPr>
        <a:xfrm>
          <a:off x="607218" y="5667375"/>
          <a:ext cx="3000375" cy="77390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pt-PT" sz="1100"/>
            <a:t>LOGOTIPO DA EMPRESA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0</xdr:row>
      <xdr:rowOff>19050</xdr:rowOff>
    </xdr:from>
    <xdr:to>
      <xdr:col>6</xdr:col>
      <xdr:colOff>409575</xdr:colOff>
      <xdr:row>3</xdr:row>
      <xdr:rowOff>192881</xdr:rowOff>
    </xdr:to>
    <xdr:sp macro="" textlink="">
      <xdr:nvSpPr>
        <xdr:cNvPr id="4" name="CaixaDeTexto 3"/>
        <xdr:cNvSpPr txBox="1"/>
      </xdr:nvSpPr>
      <xdr:spPr>
        <a:xfrm>
          <a:off x="647700" y="19050"/>
          <a:ext cx="3000375" cy="77390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pt-PT" sz="1100"/>
            <a:t>LOGOTIPO DA EMPRESA</a:t>
          </a:r>
        </a:p>
      </xdr:txBody>
    </xdr:sp>
    <xdr:clientData/>
  </xdr:twoCellAnchor>
  <xdr:twoCellAnchor>
    <xdr:from>
      <xdr:col>1</xdr:col>
      <xdr:colOff>0</xdr:colOff>
      <xdr:row>57</xdr:row>
      <xdr:rowOff>0</xdr:rowOff>
    </xdr:from>
    <xdr:to>
      <xdr:col>6</xdr:col>
      <xdr:colOff>371475</xdr:colOff>
      <xdr:row>60</xdr:row>
      <xdr:rowOff>173831</xdr:rowOff>
    </xdr:to>
    <xdr:sp macro="" textlink="">
      <xdr:nvSpPr>
        <xdr:cNvPr id="5" name="CaixaDeTexto 4"/>
        <xdr:cNvSpPr txBox="1"/>
      </xdr:nvSpPr>
      <xdr:spPr>
        <a:xfrm>
          <a:off x="609600" y="9534525"/>
          <a:ext cx="3000375" cy="77390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pt-PT" sz="1100"/>
            <a:t>LOGOTIPO DA EMPRESA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Y108"/>
  <sheetViews>
    <sheetView zoomScale="120" zoomScaleNormal="12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A65" sqref="A65"/>
    </sheetView>
  </sheetViews>
  <sheetFormatPr defaultRowHeight="11.25"/>
  <cols>
    <col min="1" max="1" width="6.28515625" style="1" bestFit="1" customWidth="1"/>
    <col min="2" max="2" width="9.28515625" style="1" bestFit="1" customWidth="1"/>
    <col min="3" max="3" width="4.7109375" style="1" customWidth="1"/>
    <col min="4" max="4" width="34" style="1" customWidth="1"/>
    <col min="5" max="5" width="14" style="1" bestFit="1" customWidth="1"/>
    <col min="6" max="6" width="11.5703125" style="1" customWidth="1"/>
    <col min="7" max="7" width="8.140625" style="1" customWidth="1"/>
    <col min="8" max="8" width="11.42578125" style="1" customWidth="1"/>
    <col min="9" max="9" width="10.28515625" style="1" customWidth="1"/>
    <col min="10" max="10" width="11.42578125" style="1" customWidth="1"/>
    <col min="11" max="11" width="9.42578125" style="1" customWidth="1"/>
    <col min="12" max="12" width="7" style="1" customWidth="1"/>
    <col min="13" max="13" width="7.7109375" style="1" customWidth="1"/>
    <col min="14" max="14" width="8" style="1" customWidth="1"/>
    <col min="15" max="15" width="6.140625" style="1" customWidth="1"/>
    <col min="16" max="21" width="5.28515625" style="1" bestFit="1" customWidth="1"/>
    <col min="22" max="22" width="12.42578125" style="1" customWidth="1"/>
    <col min="23" max="23" width="9.85546875" style="1" customWidth="1"/>
    <col min="24" max="24" width="11.5703125" style="1" customWidth="1"/>
    <col min="25" max="25" width="10.42578125" style="1" customWidth="1"/>
    <col min="26" max="26" width="9" style="1" customWidth="1"/>
    <col min="27" max="27" width="6.85546875" style="1" customWidth="1"/>
    <col min="28" max="28" width="9.5703125" style="1" customWidth="1"/>
    <col min="29" max="29" width="9.140625" style="1"/>
    <col min="30" max="30" width="11.7109375" style="1" customWidth="1"/>
    <col min="31" max="31" width="9.28515625" style="1" customWidth="1"/>
    <col min="32" max="32" width="8.7109375" style="1" customWidth="1"/>
    <col min="33" max="33" width="7.140625" style="1" customWidth="1"/>
    <col min="34" max="34" width="8.7109375" style="1" customWidth="1"/>
    <col min="35" max="37" width="9.140625" style="1"/>
    <col min="38" max="38" width="10" style="1" bestFit="1" customWidth="1"/>
    <col min="39" max="50" width="9.140625" style="1"/>
    <col min="51" max="16384" width="9.140625" style="2"/>
  </cols>
  <sheetData>
    <row r="1" spans="1:51" hidden="1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9</v>
      </c>
      <c r="J1" s="1">
        <v>10</v>
      </c>
      <c r="K1" s="1">
        <v>11</v>
      </c>
      <c r="L1" s="1">
        <v>12</v>
      </c>
      <c r="M1" s="1">
        <v>13</v>
      </c>
      <c r="N1" s="1">
        <v>14</v>
      </c>
      <c r="O1" s="1">
        <v>15</v>
      </c>
      <c r="P1" s="1">
        <v>16</v>
      </c>
      <c r="Q1" s="1">
        <v>17</v>
      </c>
      <c r="R1" s="1">
        <v>18</v>
      </c>
      <c r="S1" s="1">
        <v>19</v>
      </c>
      <c r="T1" s="1">
        <v>20</v>
      </c>
      <c r="U1" s="1">
        <v>21</v>
      </c>
      <c r="V1" s="1">
        <v>22</v>
      </c>
      <c r="W1" s="1">
        <v>23</v>
      </c>
      <c r="X1" s="1">
        <v>24</v>
      </c>
      <c r="Y1" s="1">
        <v>25</v>
      </c>
      <c r="Z1" s="1">
        <v>26</v>
      </c>
      <c r="AA1" s="1">
        <v>27</v>
      </c>
      <c r="AB1" s="1">
        <v>28</v>
      </c>
      <c r="AC1" s="1">
        <v>29</v>
      </c>
      <c r="AD1" s="1">
        <v>30</v>
      </c>
      <c r="AE1" s="1">
        <v>31</v>
      </c>
      <c r="AF1" s="1">
        <v>32</v>
      </c>
      <c r="AG1" s="1">
        <v>33</v>
      </c>
      <c r="AH1" s="1">
        <v>34</v>
      </c>
      <c r="AI1" s="1">
        <v>35</v>
      </c>
      <c r="AJ1" s="1">
        <v>36</v>
      </c>
      <c r="AK1" s="1">
        <v>37</v>
      </c>
      <c r="AL1" s="1">
        <v>38</v>
      </c>
      <c r="AM1" s="1">
        <v>39</v>
      </c>
      <c r="AN1" s="1">
        <v>40</v>
      </c>
      <c r="AO1" s="1">
        <v>41</v>
      </c>
      <c r="AP1" s="1">
        <v>42</v>
      </c>
      <c r="AQ1" s="1">
        <v>43</v>
      </c>
      <c r="AR1" s="1">
        <v>44</v>
      </c>
      <c r="AS1" s="1">
        <v>45</v>
      </c>
      <c r="AT1" s="1">
        <v>46</v>
      </c>
      <c r="AU1" s="1">
        <v>47</v>
      </c>
      <c r="AV1" s="1">
        <v>48</v>
      </c>
      <c r="AW1" s="1">
        <v>49</v>
      </c>
      <c r="AX1" s="1">
        <v>48</v>
      </c>
      <c r="AY1" s="2">
        <v>49</v>
      </c>
    </row>
    <row r="2" spans="1:51" ht="12" hidden="1" thickBot="1"/>
    <row r="3" spans="1:51" s="72" customFormat="1" ht="22.5" customHeight="1" thickTop="1">
      <c r="A3" s="396" t="s">
        <v>107</v>
      </c>
      <c r="B3" s="396" t="s">
        <v>77</v>
      </c>
      <c r="C3" s="396" t="s">
        <v>19</v>
      </c>
      <c r="D3" s="396" t="s">
        <v>1</v>
      </c>
      <c r="E3" s="396" t="s">
        <v>7</v>
      </c>
      <c r="F3" s="396" t="s">
        <v>26</v>
      </c>
      <c r="G3" s="404" t="s">
        <v>27</v>
      </c>
      <c r="H3" s="396" t="s">
        <v>21</v>
      </c>
      <c r="I3" s="396" t="s">
        <v>29</v>
      </c>
      <c r="J3" s="396" t="s">
        <v>22</v>
      </c>
      <c r="K3" s="400" t="s">
        <v>28</v>
      </c>
      <c r="L3" s="402" t="s">
        <v>33</v>
      </c>
      <c r="M3" s="400" t="s">
        <v>35</v>
      </c>
      <c r="N3" s="396" t="s">
        <v>34</v>
      </c>
      <c r="O3" s="396" t="s">
        <v>36</v>
      </c>
      <c r="P3" s="396" t="s">
        <v>23</v>
      </c>
      <c r="Q3" s="396"/>
      <c r="R3" s="396"/>
      <c r="S3" s="396" t="s">
        <v>24</v>
      </c>
      <c r="T3" s="396"/>
      <c r="U3" s="396"/>
      <c r="V3" s="396" t="s">
        <v>31</v>
      </c>
      <c r="W3" s="396" t="s">
        <v>80</v>
      </c>
      <c r="X3" s="396" t="s">
        <v>25</v>
      </c>
      <c r="Y3" s="396" t="s">
        <v>38</v>
      </c>
      <c r="Z3" s="396" t="s">
        <v>8</v>
      </c>
      <c r="AA3" s="396"/>
      <c r="AB3" s="396"/>
      <c r="AC3" s="396"/>
      <c r="AD3" s="396" t="s">
        <v>12</v>
      </c>
      <c r="AE3" s="396" t="s">
        <v>30</v>
      </c>
      <c r="AF3" s="396" t="s">
        <v>13</v>
      </c>
      <c r="AG3" s="396"/>
      <c r="AH3" s="396"/>
      <c r="AI3" s="396"/>
      <c r="AJ3" s="396"/>
      <c r="AK3" s="396" t="s">
        <v>18</v>
      </c>
      <c r="AL3" s="409" t="s">
        <v>78</v>
      </c>
      <c r="AM3" s="407" t="s">
        <v>79</v>
      </c>
      <c r="AN3" s="407" t="s">
        <v>92</v>
      </c>
      <c r="AO3" s="396" t="s">
        <v>14</v>
      </c>
      <c r="AP3" s="396"/>
      <c r="AQ3" s="396" t="s">
        <v>123</v>
      </c>
      <c r="AR3" s="396"/>
      <c r="AS3" s="396" t="s">
        <v>124</v>
      </c>
      <c r="AT3" s="396" t="s">
        <v>125</v>
      </c>
      <c r="AU3" s="396" t="s">
        <v>126</v>
      </c>
      <c r="AV3" s="396" t="s">
        <v>127</v>
      </c>
      <c r="AW3" s="396" t="s">
        <v>128</v>
      </c>
      <c r="AX3" s="398" t="s">
        <v>129</v>
      </c>
    </row>
    <row r="4" spans="1:51" s="198" customFormat="1" ht="13.5" customHeight="1" thickBot="1">
      <c r="A4" s="397"/>
      <c r="B4" s="397"/>
      <c r="C4" s="397"/>
      <c r="D4" s="397"/>
      <c r="E4" s="397"/>
      <c r="F4" s="397"/>
      <c r="G4" s="405"/>
      <c r="H4" s="397"/>
      <c r="I4" s="397"/>
      <c r="J4" s="397"/>
      <c r="K4" s="401"/>
      <c r="L4" s="403"/>
      <c r="M4" s="401"/>
      <c r="N4" s="397"/>
      <c r="O4" s="397"/>
      <c r="P4" s="213">
        <v>0.5</v>
      </c>
      <c r="Q4" s="213">
        <v>0.75</v>
      </c>
      <c r="R4" s="213">
        <v>1</v>
      </c>
      <c r="S4" s="213">
        <v>0.5</v>
      </c>
      <c r="T4" s="213">
        <v>0.75</v>
      </c>
      <c r="U4" s="213">
        <v>1</v>
      </c>
      <c r="V4" s="397"/>
      <c r="W4" s="397"/>
      <c r="X4" s="397"/>
      <c r="Y4" s="397"/>
      <c r="Z4" s="214" t="s">
        <v>9</v>
      </c>
      <c r="AA4" s="214" t="s">
        <v>10</v>
      </c>
      <c r="AB4" s="214" t="s">
        <v>81</v>
      </c>
      <c r="AC4" s="214" t="s">
        <v>11</v>
      </c>
      <c r="AD4" s="397"/>
      <c r="AE4" s="397"/>
      <c r="AF4" s="214" t="s">
        <v>15</v>
      </c>
      <c r="AG4" s="214" t="s">
        <v>48</v>
      </c>
      <c r="AH4" s="214" t="s">
        <v>14</v>
      </c>
      <c r="AI4" s="214" t="s">
        <v>16</v>
      </c>
      <c r="AJ4" s="214" t="s">
        <v>17</v>
      </c>
      <c r="AK4" s="397"/>
      <c r="AL4" s="410"/>
      <c r="AM4" s="408"/>
      <c r="AN4" s="408"/>
      <c r="AO4" s="397" t="s">
        <v>130</v>
      </c>
      <c r="AP4" s="397"/>
      <c r="AQ4" s="397"/>
      <c r="AR4" s="397"/>
      <c r="AS4" s="397"/>
      <c r="AT4" s="397"/>
      <c r="AU4" s="397"/>
      <c r="AV4" s="397"/>
      <c r="AW4" s="397"/>
      <c r="AX4" s="399"/>
    </row>
    <row r="5" spans="1:51" ht="12" thickBot="1">
      <c r="A5" s="68">
        <v>1</v>
      </c>
      <c r="B5" s="219">
        <v>40574</v>
      </c>
      <c r="C5" s="220">
        <v>1</v>
      </c>
      <c r="D5" s="221" t="str">
        <f ca="1">IF(N(C5)&gt;0,IF(N(C5)&lt;34,VLOOKUP('Tabela Final'!C5,' Pessoal'!$A$2:$B$34,2),""),"")</f>
        <v>Susana</v>
      </c>
      <c r="E5" s="221" t="str">
        <f ca="1">IF(N(C5)&gt;0,IF(N(C5)&lt;34,VLOOKUP(C5,' Pessoal'!$A$2:$C$34,3),""),"")</f>
        <v>Gerente</v>
      </c>
      <c r="F5" s="222">
        <f ca="1">IF(N(C5)&gt;0,IF(N(C5)&lt;34,VLOOKUP(C5,' Pessoal'!$A$2:$M$34,4)),"")</f>
        <v>927</v>
      </c>
      <c r="G5" s="223">
        <v>22</v>
      </c>
      <c r="H5" s="224">
        <v>40</v>
      </c>
      <c r="I5" s="225">
        <f>IF(N(H5)&gt;0,(H5*52)/12,"")</f>
        <v>173.33333333333334</v>
      </c>
      <c r="J5" s="222">
        <f t="shared" ref="J5:J26" si="0">IF(N(C5)&gt;0,ROUND((F5/I5),2),"")</f>
        <v>5.35</v>
      </c>
      <c r="K5" s="226"/>
      <c r="L5" s="225">
        <f t="shared" ref="L5:L26" si="1">IF(N(C5)&gt;0,K5*((ROUND(I5/30,2)*J5)),"")</f>
        <v>0</v>
      </c>
      <c r="M5" s="226"/>
      <c r="N5" s="225">
        <f t="shared" ref="N5:N26" si="2">IF(N(C5)&gt;0,(M5*J5),"")</f>
        <v>0</v>
      </c>
      <c r="O5" s="222">
        <f t="shared" ref="O5:O26" si="3">IF(N(C5)&gt;0,ROUND(L5+N5,2),"")</f>
        <v>0</v>
      </c>
      <c r="P5" s="227"/>
      <c r="Q5" s="227"/>
      <c r="R5" s="227"/>
      <c r="S5" s="228" t="str">
        <f t="shared" ref="S5:S14" si="4">IF(N(P5)&gt;0,P5*ROUND((J5+($P$4*J5)),2),"")</f>
        <v/>
      </c>
      <c r="T5" s="228" t="str">
        <f t="shared" ref="T5:T19" si="5">IF(N(Q5)&gt;0,Q5*ROUND((J5+($Q$4*J5)),2),"")</f>
        <v/>
      </c>
      <c r="U5" s="228" t="str">
        <f>IF(N(R5)&gt;0,R5*ROUND((J5+($R$4*J5)),2),"")</f>
        <v/>
      </c>
      <c r="V5" s="229">
        <f>IF(N(C5)&gt;0,SUM(S5:U5),"")</f>
        <v>0</v>
      </c>
      <c r="W5" s="230"/>
      <c r="X5" s="229">
        <f>IF(N(C5)&gt;0,V5+W5,"")</f>
        <v>0</v>
      </c>
      <c r="Y5" s="231">
        <f ca="1">IF(N(C5)&gt;0,VLOOKUP(C5,' Pessoal'!$A$2:$M$34,10),"")</f>
        <v>6.41</v>
      </c>
      <c r="Z5" s="231">
        <f t="shared" ref="Z5:Z35" si="6">IF(N(C5)&gt;0,(G5*Y5),"")</f>
        <v>141.02000000000001</v>
      </c>
      <c r="AA5" s="231">
        <f>IF(N(C5)&gt;0,V5,"")</f>
        <v>0</v>
      </c>
      <c r="AB5" s="230"/>
      <c r="AC5" s="231">
        <f>IF(N(C5)&gt;0,V5,"")</f>
        <v>0</v>
      </c>
      <c r="AD5" s="232">
        <f>IF(N(C5)&gt;0,ROUND(SUM(X5+F5+Z5+AA5+AB5+AC5)-O5,2),"")</f>
        <v>1068.02</v>
      </c>
      <c r="AE5" s="232">
        <f>IF(N(C5)&gt;0,(ROUND(IF((Y5)&gt;6.41,((Y5-6.41)*G6+F5+AA5+AB5+AC5-O5),F5+AA5+AB5+AC5-O5),2))," ")</f>
        <v>927</v>
      </c>
      <c r="AF5" s="231">
        <f ca="1">IF(N(C5)&gt;0,ROUND(AE5*VLOOKUP(C5,' Pessoal'!$A$2:$M$34,9),2),"")</f>
        <v>86.21</v>
      </c>
      <c r="AG5" s="233">
        <v>0.08</v>
      </c>
      <c r="AH5" s="231">
        <f t="shared" ref="AH5:AH44" si="7">IF(N(C5)&gt;0,ROUND(AE5*AG5,2),"")</f>
        <v>74.16</v>
      </c>
      <c r="AI5" s="234">
        <v>0</v>
      </c>
      <c r="AJ5" s="231">
        <f t="shared" ref="AJ5:AJ44" si="8">IF(N(C5)&gt;0,SUM(AF5+AH5)+(AD5*AI5),"")</f>
        <v>160.37</v>
      </c>
      <c r="AK5" s="231">
        <f t="shared" ref="AK5:AK44" si="9">IF(N(C5)&gt;0,(AD5-AJ5),"")</f>
        <v>907.65</v>
      </c>
      <c r="AL5" s="231">
        <f>AE5</f>
        <v>927</v>
      </c>
      <c r="AM5" s="235">
        <f>AH5</f>
        <v>74.16</v>
      </c>
      <c r="AN5" s="236">
        <f>AF5</f>
        <v>86.21</v>
      </c>
      <c r="AO5" s="7">
        <f>SUM(AH5:AH9)</f>
        <v>74.16</v>
      </c>
      <c r="AP5" s="7">
        <f>AE5</f>
        <v>927</v>
      </c>
      <c r="AQ5" s="7">
        <f>AP5*0.2125</f>
        <v>196.98749999999998</v>
      </c>
      <c r="AR5" s="7">
        <f>SUM(AE6:AE9)</f>
        <v>1075</v>
      </c>
      <c r="AS5" s="7">
        <f>ROUND(AR5*0.2375,2)</f>
        <v>255.31</v>
      </c>
      <c r="AT5" s="7">
        <f>AK5</f>
        <v>907.65</v>
      </c>
      <c r="AU5" s="7">
        <f>ROUND(SUM(AK6:AK9),2)</f>
        <v>1238.79</v>
      </c>
      <c r="AV5" s="7">
        <f>ROUND(AP5*0.3125+AR5*0.3475,2)</f>
        <v>663.25</v>
      </c>
      <c r="AW5" s="7">
        <f>AD5</f>
        <v>1068.02</v>
      </c>
      <c r="AX5" s="7">
        <f>SUM(AD6:AD9)</f>
        <v>1357.04</v>
      </c>
    </row>
    <row r="6" spans="1:51" s="73" customFormat="1" ht="12" thickTop="1">
      <c r="A6" s="66">
        <v>2</v>
      </c>
      <c r="B6" s="237">
        <f>B5</f>
        <v>40574</v>
      </c>
      <c r="C6" s="238">
        <v>2</v>
      </c>
      <c r="D6" s="239" t="str">
        <f ca="1">IF(N(C6)&gt;0,IF(N(C6)&lt;34,VLOOKUP('Tabela Final'!C6,' Pessoal'!$A$2:$B$34,2),""),"")</f>
        <v>Nuno</v>
      </c>
      <c r="E6" s="239" t="str">
        <f ca="1">IF(N(C6)&gt;0,IF(N(C6)&lt;34,VLOOKUP(C6,' Pessoal'!$A$2:$C$34,3),""),"")</f>
        <v>Ajud. Electricista</v>
      </c>
      <c r="F6" s="240">
        <v>0</v>
      </c>
      <c r="G6" s="241">
        <v>22</v>
      </c>
      <c r="H6" s="238">
        <v>40</v>
      </c>
      <c r="I6" s="242">
        <f>IF(N(H6)&gt;0,(H6*52)/12,"")</f>
        <v>173.33333333333334</v>
      </c>
      <c r="J6" s="240">
        <f t="shared" si="0"/>
        <v>0</v>
      </c>
      <c r="K6" s="243"/>
      <c r="L6" s="242">
        <f t="shared" si="1"/>
        <v>0</v>
      </c>
      <c r="M6" s="243"/>
      <c r="N6" s="242">
        <f t="shared" si="2"/>
        <v>0</v>
      </c>
      <c r="O6" s="240">
        <f t="shared" si="3"/>
        <v>0</v>
      </c>
      <c r="P6" s="244"/>
      <c r="Q6" s="244"/>
      <c r="R6" s="244"/>
      <c r="S6" s="245" t="str">
        <f t="shared" si="4"/>
        <v/>
      </c>
      <c r="T6" s="245" t="str">
        <f t="shared" si="5"/>
        <v/>
      </c>
      <c r="U6" s="245" t="str">
        <f>IF(N(R6)&gt;0,R6*ROUND((J6+($R$4*J6)),2),"")</f>
        <v/>
      </c>
      <c r="V6" s="246">
        <f>IF(N(C6)&gt;0,SUM(S6:U6),"")</f>
        <v>0</v>
      </c>
      <c r="W6" s="247"/>
      <c r="X6" s="246">
        <f>IF(N(C6)&gt;0,V6+W6,"")</f>
        <v>0</v>
      </c>
      <c r="Y6" s="248">
        <v>0</v>
      </c>
      <c r="Z6" s="248">
        <f>IF(N(C6)&gt;0,(G6*Y6),"")</f>
        <v>0</v>
      </c>
      <c r="AA6" s="248">
        <f>IF(N(C6)&gt;0,V6,"")</f>
        <v>0</v>
      </c>
      <c r="AB6" s="247"/>
      <c r="AC6" s="249">
        <f>IF(N(C6)&gt;0,V6,"")</f>
        <v>0</v>
      </c>
      <c r="AD6" s="248">
        <f>IF(N(C6)&gt;0,ROUND(SUM(X6+F6+Z6+AA6+AB6+AC6)-O6,2),"")</f>
        <v>0</v>
      </c>
      <c r="AE6" s="248">
        <f>IF(N(C6)&gt;0,(ROUND(IF((Y6)&gt;6.41,((Y6-6.41)*G7+F6+AA6+AB6+AC6-O6),F6+AA6+AB6+AC6-O6),2))," ")</f>
        <v>0</v>
      </c>
      <c r="AF6" s="248">
        <f ca="1">IF(N(C6)&gt;0,ROUND(AE6*VLOOKUP(C6,' Pessoal'!$A$2:$M$34,9),2),"")</f>
        <v>0</v>
      </c>
      <c r="AG6" s="250">
        <v>0</v>
      </c>
      <c r="AH6" s="248">
        <f t="shared" ref="AH6:AH14" si="10">IF(N(C6)&gt;0,ROUND(AE6*AG6,2),"")</f>
        <v>0</v>
      </c>
      <c r="AI6" s="251">
        <v>0</v>
      </c>
      <c r="AJ6" s="248">
        <f t="shared" si="8"/>
        <v>0</v>
      </c>
      <c r="AK6" s="248">
        <f t="shared" si="9"/>
        <v>0</v>
      </c>
      <c r="AL6" s="252">
        <f>AE6</f>
        <v>0</v>
      </c>
      <c r="AM6" s="253">
        <f>AH6</f>
        <v>0</v>
      </c>
      <c r="AN6" s="254">
        <f>AF6</f>
        <v>0</v>
      </c>
      <c r="AO6" s="67"/>
      <c r="AP6" s="67"/>
      <c r="AQ6" s="67"/>
      <c r="AR6" s="67"/>
      <c r="AS6" s="67"/>
      <c r="AT6" s="67"/>
      <c r="AU6" s="67"/>
      <c r="AV6" s="67"/>
      <c r="AW6" s="67"/>
      <c r="AX6" s="67"/>
    </row>
    <row r="7" spans="1:51" s="73" customFormat="1">
      <c r="A7" s="66">
        <v>3</v>
      </c>
      <c r="B7" s="237">
        <f>B6</f>
        <v>40574</v>
      </c>
      <c r="C7" s="238">
        <v>3</v>
      </c>
      <c r="D7" s="239" t="str">
        <f ca="1">IF(N(C7)&gt;0,IF(N(C7)&lt;34,VLOOKUP('Tabela Final'!C7,' Pessoal'!$A$2:$B$34,2),""),"")</f>
        <v>Fábio</v>
      </c>
      <c r="E7" s="239" t="str">
        <f ca="1">IF(N(C7)&gt;0,IF(N(C7)&lt;34,VLOOKUP(C7,' Pessoal'!$A$2:$C$34,3),""),"")</f>
        <v>Ajud. Electricista</v>
      </c>
      <c r="F7" s="240">
        <v>0</v>
      </c>
      <c r="G7" s="241">
        <v>22</v>
      </c>
      <c r="H7" s="238">
        <v>40</v>
      </c>
      <c r="I7" s="242">
        <f>IF(N(H7)&gt;0,(H7*52)/12,"")</f>
        <v>173.33333333333334</v>
      </c>
      <c r="J7" s="240">
        <f t="shared" si="0"/>
        <v>0</v>
      </c>
      <c r="K7" s="243"/>
      <c r="L7" s="242">
        <f t="shared" si="1"/>
        <v>0</v>
      </c>
      <c r="M7" s="243"/>
      <c r="N7" s="242">
        <f t="shared" si="2"/>
        <v>0</v>
      </c>
      <c r="O7" s="240">
        <f t="shared" si="3"/>
        <v>0</v>
      </c>
      <c r="P7" s="244"/>
      <c r="Q7" s="244"/>
      <c r="R7" s="244"/>
      <c r="S7" s="245" t="str">
        <f t="shared" si="4"/>
        <v/>
      </c>
      <c r="T7" s="245" t="str">
        <f t="shared" si="5"/>
        <v/>
      </c>
      <c r="U7" s="245" t="str">
        <f>IF(N(R7)&gt;0,R7*ROUND((J7+($R$4*J7)),2),"")</f>
        <v/>
      </c>
      <c r="V7" s="246">
        <f>IF(N(C7)&gt;0,SUM(S7:U7),"")</f>
        <v>0</v>
      </c>
      <c r="W7" s="247"/>
      <c r="X7" s="246">
        <f>IF(N(C7)&gt;0,V7+W7,"")</f>
        <v>0</v>
      </c>
      <c r="Y7" s="248">
        <v>0</v>
      </c>
      <c r="Z7" s="248">
        <f>IF(N(C7)&gt;0,(G7*Y7),"")</f>
        <v>0</v>
      </c>
      <c r="AA7" s="248">
        <f>IF(N(C7)&gt;0,V7,"")</f>
        <v>0</v>
      </c>
      <c r="AB7" s="247"/>
      <c r="AC7" s="249">
        <f>IF(N(C7)&gt;0,V7,"")</f>
        <v>0</v>
      </c>
      <c r="AD7" s="248">
        <f>IF(N(C7)&gt;0,ROUND(SUM(X7+F7+Z7+AA7+AB7+AC7)-O7,2),"")</f>
        <v>0</v>
      </c>
      <c r="AE7" s="248">
        <f>IF(N(C7)&gt;0,(ROUND(IF((Y7)&gt;6.41,((Y7-6.41)*G8+F7+AA7+AB7+AC7-O7),F7+AA7+AB7+AC7-O7),2))," ")</f>
        <v>0</v>
      </c>
      <c r="AF7" s="248">
        <f ca="1">IF(N(C7)&gt;0,ROUND(AE7*VLOOKUP(C7,' Pessoal'!$A$2:$M$34,9),2),"")</f>
        <v>0</v>
      </c>
      <c r="AG7" s="250">
        <v>0</v>
      </c>
      <c r="AH7" s="248">
        <f t="shared" si="10"/>
        <v>0</v>
      </c>
      <c r="AI7" s="251">
        <v>0</v>
      </c>
      <c r="AJ7" s="248">
        <f t="shared" si="8"/>
        <v>0</v>
      </c>
      <c r="AK7" s="248">
        <f t="shared" si="9"/>
        <v>0</v>
      </c>
      <c r="AL7" s="248">
        <f>AE7</f>
        <v>0</v>
      </c>
      <c r="AM7" s="255">
        <f>AH7</f>
        <v>0</v>
      </c>
      <c r="AN7" s="254">
        <f>AF7</f>
        <v>0</v>
      </c>
      <c r="AO7" s="67"/>
      <c r="AP7" s="67"/>
      <c r="AQ7" s="67"/>
      <c r="AR7" s="67"/>
      <c r="AS7" s="67"/>
      <c r="AT7" s="67"/>
      <c r="AU7" s="67"/>
      <c r="AV7" s="67"/>
      <c r="AW7" s="67"/>
      <c r="AX7" s="67"/>
    </row>
    <row r="8" spans="1:51">
      <c r="A8" s="45">
        <v>4</v>
      </c>
      <c r="B8" s="256">
        <f>B7</f>
        <v>40574</v>
      </c>
      <c r="C8" s="257">
        <v>4</v>
      </c>
      <c r="D8" s="258" t="str">
        <f ca="1">IF(N(C8)&gt;0,IF(N(C8)&lt;34,VLOOKUP('Tabela Final'!C8,' Pessoal'!$A$2:$B$34,2),""),"")</f>
        <v>Carlos</v>
      </c>
      <c r="E8" s="258" t="str">
        <f ca="1">IF(N(C8)&gt;0,IF(N(C8)&lt;34,VLOOKUP(C8,' Pessoal'!$A$2:$C$34,3),""),"")</f>
        <v>Ajud. Electricista</v>
      </c>
      <c r="F8" s="259">
        <f ca="1">IF(N(C8)&gt;0,IF(N(C8)&lt;34,VLOOKUP(C8,' Pessoal'!$A$2:$M$34,4)),"")</f>
        <v>485</v>
      </c>
      <c r="G8" s="260">
        <v>22</v>
      </c>
      <c r="H8" s="257">
        <v>40</v>
      </c>
      <c r="I8" s="261">
        <f>IF(N(H8)&gt;0,(H8*52)/12,"")</f>
        <v>173.33333333333334</v>
      </c>
      <c r="J8" s="259">
        <f t="shared" si="0"/>
        <v>2.8</v>
      </c>
      <c r="K8" s="262"/>
      <c r="L8" s="261">
        <f t="shared" si="1"/>
        <v>0</v>
      </c>
      <c r="M8" s="262"/>
      <c r="N8" s="261">
        <f t="shared" si="2"/>
        <v>0</v>
      </c>
      <c r="O8" s="259">
        <f t="shared" si="3"/>
        <v>0</v>
      </c>
      <c r="P8" s="263"/>
      <c r="Q8" s="263"/>
      <c r="R8" s="263"/>
      <c r="S8" s="264" t="str">
        <f t="shared" si="4"/>
        <v/>
      </c>
      <c r="T8" s="264" t="str">
        <f t="shared" si="5"/>
        <v/>
      </c>
      <c r="U8" s="264" t="str">
        <f>IF(N(R8)&gt;0,R8*ROUND((J8+($R$4*J8)),2),"")</f>
        <v/>
      </c>
      <c r="V8" s="265">
        <f>IF(N(C8)&gt;0,SUM(S8:U8),"")</f>
        <v>0</v>
      </c>
      <c r="W8" s="266"/>
      <c r="X8" s="265">
        <v>0</v>
      </c>
      <c r="Y8" s="267">
        <f ca="1">IF(N(C8)&gt;0,VLOOKUP(C8,' Pessoal'!$A$2:$M$34,10),"")</f>
        <v>6.41</v>
      </c>
      <c r="Z8" s="267">
        <f>IF(N(C8)&gt;0,(G8*Y8),"")</f>
        <v>141.02000000000001</v>
      </c>
      <c r="AA8" s="267">
        <f>IF(N(C8)&gt;0,V8,"")</f>
        <v>0</v>
      </c>
      <c r="AB8" s="266"/>
      <c r="AC8" s="268">
        <v>40</v>
      </c>
      <c r="AD8" s="267">
        <f>IF(N(C8)&gt;0,ROUND(SUM(X8+F8+Z8+AA8+AB8+AC8)-O8,2),"")</f>
        <v>666.02</v>
      </c>
      <c r="AE8" s="267">
        <f>IF(N(C8)&gt;0,(ROUND(IF((Y8)&gt;6.41,((Y8-6.41)*G9+F8+AA8+AB8+AC8-O8),F8+AA8+AB8+AC8-O8),2))," ")</f>
        <v>525</v>
      </c>
      <c r="AF8" s="267">
        <f ca="1">IF(N(C8)&gt;0,ROUND(AE8*VLOOKUP(C8,' Pessoal'!$A$2:$M$34,9),2),"")</f>
        <v>57.75</v>
      </c>
      <c r="AG8" s="269">
        <v>0</v>
      </c>
      <c r="AH8" s="267">
        <f t="shared" si="10"/>
        <v>0</v>
      </c>
      <c r="AI8" s="270">
        <v>0</v>
      </c>
      <c r="AJ8" s="267">
        <f t="shared" si="8"/>
        <v>57.75</v>
      </c>
      <c r="AK8" s="267">
        <f t="shared" si="9"/>
        <v>608.27</v>
      </c>
      <c r="AL8" s="267">
        <f>AE8</f>
        <v>525</v>
      </c>
      <c r="AM8" s="271">
        <f>AH8</f>
        <v>0</v>
      </c>
      <c r="AN8" s="272">
        <f>AF8</f>
        <v>57.75</v>
      </c>
      <c r="AO8" s="7"/>
      <c r="AP8" s="7"/>
      <c r="AQ8" s="7"/>
      <c r="AR8" s="7"/>
      <c r="AS8" s="7"/>
      <c r="AT8" s="7"/>
      <c r="AU8" s="7"/>
      <c r="AV8" s="7"/>
      <c r="AW8" s="7"/>
      <c r="AX8" s="7"/>
    </row>
    <row r="9" spans="1:51" s="193" customFormat="1" ht="12" thickBot="1">
      <c r="A9" s="69">
        <v>5</v>
      </c>
      <c r="B9" s="273">
        <f>B8</f>
        <v>40574</v>
      </c>
      <c r="C9" s="274">
        <v>5</v>
      </c>
      <c r="D9" s="275" t="str">
        <f ca="1">IF(N(C9)&gt;0,IF(N(C9)&lt;34,VLOOKUP('Tabela Final'!C9,' Pessoal'!$A$2:$B$34,2),""),"")</f>
        <v>André</v>
      </c>
      <c r="E9" s="275" t="str">
        <f ca="1">IF(N(C9)&gt;0,IF(N(C9)&lt;34,VLOOKUP(C9,' Pessoal'!$A$2:$C$34,3),""),"")</f>
        <v>Ajud. Electricista</v>
      </c>
      <c r="F9" s="276">
        <f ca="1">IF(N(C9)&gt;0,IF(N(C9)&lt;34,VLOOKUP(C9,' Pessoal'!$A$2:$M$34,4)),"")</f>
        <v>550</v>
      </c>
      <c r="G9" s="277">
        <v>22</v>
      </c>
      <c r="H9" s="274">
        <v>40</v>
      </c>
      <c r="I9" s="278">
        <f>IF(N(H9)&gt;0,(H9*52)/12,"")</f>
        <v>173.33333333333334</v>
      </c>
      <c r="J9" s="276">
        <f t="shared" si="0"/>
        <v>3.17</v>
      </c>
      <c r="K9" s="279"/>
      <c r="L9" s="278">
        <f t="shared" si="1"/>
        <v>0</v>
      </c>
      <c r="M9" s="279"/>
      <c r="N9" s="278">
        <f t="shared" si="2"/>
        <v>0</v>
      </c>
      <c r="O9" s="276">
        <f t="shared" si="3"/>
        <v>0</v>
      </c>
      <c r="P9" s="280"/>
      <c r="Q9" s="280"/>
      <c r="R9" s="280"/>
      <c r="S9" s="281" t="str">
        <f t="shared" si="4"/>
        <v/>
      </c>
      <c r="T9" s="281" t="str">
        <f t="shared" si="5"/>
        <v/>
      </c>
      <c r="U9" s="281" t="str">
        <f>IF(N(R9)&gt;0,R9*ROUND((J9+($R$4*J9)),2),"")</f>
        <v/>
      </c>
      <c r="V9" s="282">
        <f>IF(N(C9)&gt;0,SUM(S9:U9),"")</f>
        <v>0</v>
      </c>
      <c r="W9" s="283"/>
      <c r="X9" s="282">
        <f>IF(N(C9)&gt;0,V9+W9,"")</f>
        <v>0</v>
      </c>
      <c r="Y9" s="284">
        <f ca="1">IF(N(C9)&gt;0,VLOOKUP(C9,' Pessoal'!$A$2:$M$34,10),"")</f>
        <v>6.41</v>
      </c>
      <c r="Z9" s="284">
        <f>IF(N(C9)&gt;0,(G9*Y9),"")</f>
        <v>141.02000000000001</v>
      </c>
      <c r="AA9" s="284">
        <f>IF(N(C9)&gt;0,V9,"")</f>
        <v>0</v>
      </c>
      <c r="AB9" s="283"/>
      <c r="AC9" s="285">
        <f>IF(N(C9)&gt;0,V9,"")</f>
        <v>0</v>
      </c>
      <c r="AD9" s="284">
        <f>IF(N(C9)&gt;0,ROUND(SUM(X9+F9+Z9+AA9+AB9+AC9)-O9,2),"")</f>
        <v>691.02</v>
      </c>
      <c r="AE9" s="284">
        <f>IF(N(C9)&gt;0,(ROUND(IF((Y9)&gt;6.41,((Y9-6.41)*G10+F9+AA9+AB9+AC9-O9),F9+AA9+AB9+AC9-O9),2))," ")</f>
        <v>550</v>
      </c>
      <c r="AF9" s="284">
        <f ca="1">IF(N(C9)&gt;0,ROUND(AE9*VLOOKUP(C9,' Pessoal'!$A$2:$M$34,9),2),"")</f>
        <v>60.5</v>
      </c>
      <c r="AG9" s="286">
        <v>0</v>
      </c>
      <c r="AH9" s="284">
        <f t="shared" si="10"/>
        <v>0</v>
      </c>
      <c r="AI9" s="287">
        <v>0</v>
      </c>
      <c r="AJ9" s="284">
        <f t="shared" si="8"/>
        <v>60.5</v>
      </c>
      <c r="AK9" s="284">
        <f t="shared" si="9"/>
        <v>630.52</v>
      </c>
      <c r="AL9" s="284">
        <f>AE9</f>
        <v>550</v>
      </c>
      <c r="AM9" s="288">
        <f>AH9</f>
        <v>0</v>
      </c>
      <c r="AN9" s="289">
        <f>AF9</f>
        <v>60.5</v>
      </c>
      <c r="AO9" s="192"/>
      <c r="AP9" s="192"/>
      <c r="AQ9" s="192"/>
      <c r="AR9" s="192"/>
      <c r="AS9" s="192"/>
      <c r="AT9" s="192"/>
      <c r="AU9" s="192"/>
      <c r="AV9" s="192"/>
      <c r="AW9" s="192"/>
      <c r="AX9" s="192"/>
    </row>
    <row r="10" spans="1:51">
      <c r="A10" s="68">
        <v>6</v>
      </c>
      <c r="B10" s="149">
        <v>40602</v>
      </c>
      <c r="C10" s="150">
        <v>1</v>
      </c>
      <c r="D10" s="151" t="str">
        <f ca="1">IF(N(C10)&gt;0,IF(N(C10)&lt;34,VLOOKUP('Tabela Final'!C10,' Pessoal'!$A$2:$B$34,2),""),"")</f>
        <v>Susana</v>
      </c>
      <c r="E10" s="151" t="str">
        <f ca="1">IF(N(C10)&gt;0,IF(N(C10)&lt;34,VLOOKUP(C10,' Pessoal'!$A$2:$C$34,3),""),"")</f>
        <v>Gerente</v>
      </c>
      <c r="F10" s="152">
        <f ca="1">IF(N(C10)&gt;0,IF(N(C10)&lt;34,VLOOKUP(C10,' Pessoal'!$A$2:$M$34,4)),"")</f>
        <v>927</v>
      </c>
      <c r="G10" s="299">
        <v>22</v>
      </c>
      <c r="H10" s="150">
        <f t="shared" ref="H10:H26" si="11">IF(N(C10)&gt;0,$H$5,"")</f>
        <v>40</v>
      </c>
      <c r="I10" s="154">
        <f t="shared" ref="I10:I69" si="12">IF(N(H10)&gt;0,(H10*52)/12,"")</f>
        <v>173.33333333333334</v>
      </c>
      <c r="J10" s="152">
        <f t="shared" si="0"/>
        <v>5.35</v>
      </c>
      <c r="K10" s="155"/>
      <c r="L10" s="154">
        <f t="shared" si="1"/>
        <v>0</v>
      </c>
      <c r="M10" s="155"/>
      <c r="N10" s="154">
        <f t="shared" si="2"/>
        <v>0</v>
      </c>
      <c r="O10" s="152">
        <f t="shared" si="3"/>
        <v>0</v>
      </c>
      <c r="P10" s="156"/>
      <c r="Q10" s="156"/>
      <c r="R10" s="156"/>
      <c r="S10" s="157" t="str">
        <f t="shared" si="4"/>
        <v/>
      </c>
      <c r="T10" s="157" t="str">
        <f t="shared" si="5"/>
        <v/>
      </c>
      <c r="U10" s="157" t="str">
        <f t="shared" ref="U10:U35" si="13">IF(N(R10)&gt;0,R10*ROUND((J10+($R$4*J10)),2),"")</f>
        <v/>
      </c>
      <c r="V10" s="158">
        <f t="shared" ref="V10:V35" si="14">IF(N(C10)&gt;0,SUM(S10:U10),"")</f>
        <v>0</v>
      </c>
      <c r="W10" s="159"/>
      <c r="X10" s="158">
        <f t="shared" ref="X10:X35" si="15">IF(N(C10)&gt;0,V10+W10,"")</f>
        <v>0</v>
      </c>
      <c r="Y10" s="160">
        <f ca="1">IF(N(C10)&gt;0,VLOOKUP(C10,' Pessoal'!$A$2:$M$34,10),"")</f>
        <v>6.41</v>
      </c>
      <c r="Z10" s="160">
        <f t="shared" si="6"/>
        <v>141.02000000000001</v>
      </c>
      <c r="AA10" s="160">
        <f t="shared" ref="AA10:AA35" si="16">IF(N(C10)&gt;0,V10,"")</f>
        <v>0</v>
      </c>
      <c r="AB10" s="159"/>
      <c r="AC10" s="300">
        <f t="shared" ref="AC10:AC35" si="17">IF(N(C10)&gt;0,V10,"")</f>
        <v>0</v>
      </c>
      <c r="AD10" s="160">
        <f t="shared" ref="AD10:AD44" si="18">IF(N(C10)&gt;0,ROUND(SUM(X10+F10+Z10+AA10+AB10+AC10)-O10,2),"")</f>
        <v>1068.02</v>
      </c>
      <c r="AE10" s="160">
        <f t="shared" ref="AE10:AE67" si="19">IF(N(C10)&gt;0,(ROUND(IF((Y10)&gt;6.41,((Y10-6.41)*G11+F10+AA10+AB10+AC10-O10),F10+AA10+AB10+AC10-O10),2))," ")</f>
        <v>927</v>
      </c>
      <c r="AF10" s="160">
        <f ca="1">IF(N(C10)&gt;0,ROUND(AE10*VLOOKUP(C10,' Pessoal'!$A$2:$M$34,9),2),"")</f>
        <v>86.21</v>
      </c>
      <c r="AG10" s="162">
        <v>0.08</v>
      </c>
      <c r="AH10" s="160">
        <f t="shared" si="10"/>
        <v>74.16</v>
      </c>
      <c r="AI10" s="301">
        <v>0</v>
      </c>
      <c r="AJ10" s="160">
        <f t="shared" si="8"/>
        <v>160.37</v>
      </c>
      <c r="AK10" s="160">
        <f t="shared" si="9"/>
        <v>907.65</v>
      </c>
      <c r="AL10" s="160">
        <f t="shared" ref="AL10:AL26" si="20">AE10+AL5</f>
        <v>1854</v>
      </c>
      <c r="AM10" s="163">
        <f>AH10+AM5</f>
        <v>148.32</v>
      </c>
      <c r="AN10" s="302">
        <f t="shared" ref="AN10:AN26" si="21">AF10+AN5</f>
        <v>172.42</v>
      </c>
      <c r="AO10" s="7">
        <f>SUM(AH10:AH14)</f>
        <v>74.16</v>
      </c>
      <c r="AP10" s="7">
        <f>AE10</f>
        <v>927</v>
      </c>
      <c r="AQ10" s="7">
        <f>AP10*0.2125</f>
        <v>196.98749999999998</v>
      </c>
      <c r="AR10" s="7">
        <f>SUM(AE11:AE14)</f>
        <v>1035</v>
      </c>
      <c r="AS10" s="7">
        <f>ROUND(AR10*0.2375,2)-$AE13*0.01</f>
        <v>240.96</v>
      </c>
      <c r="AT10" s="7">
        <f>AK10</f>
        <v>907.65</v>
      </c>
      <c r="AU10" s="7">
        <f>ROUND(SUM(AK11:AK14),2)</f>
        <v>1087.81</v>
      </c>
      <c r="AV10" s="7">
        <f>ROUND(AP10*0.3125+AR10*0.3475,2)-$AE13*0.01</f>
        <v>644.5</v>
      </c>
      <c r="AW10" s="7">
        <f>AD10</f>
        <v>1068.02</v>
      </c>
      <c r="AX10" s="7">
        <f>SUM(AD11:AD14)</f>
        <v>1201.6599999999999</v>
      </c>
    </row>
    <row r="11" spans="1:51" s="73" customFormat="1">
      <c r="A11" s="66">
        <v>7</v>
      </c>
      <c r="B11" s="303">
        <f>B10</f>
        <v>40602</v>
      </c>
      <c r="C11" s="304">
        <v>2</v>
      </c>
      <c r="D11" s="305" t="str">
        <f ca="1">IF(N(C11)&gt;0,IF(N(C11)&lt;34,VLOOKUP('Tabela Final'!C11,' Pessoal'!$A$2:$B$34,2),""),"")</f>
        <v>Nuno</v>
      </c>
      <c r="E11" s="305" t="str">
        <f ca="1">IF(N(C11)&gt;0,IF(N(C11)&lt;34,VLOOKUP(C11,' Pessoal'!$A$2:$C$34,3),""),"")</f>
        <v>Ajud. Electricista</v>
      </c>
      <c r="F11" s="306">
        <v>0</v>
      </c>
      <c r="G11" s="307">
        <v>22</v>
      </c>
      <c r="H11" s="304">
        <f t="shared" si="11"/>
        <v>40</v>
      </c>
      <c r="I11" s="308">
        <f>IF(N(H11)&gt;0,(H11*52)/12,"")</f>
        <v>173.33333333333334</v>
      </c>
      <c r="J11" s="306">
        <f t="shared" si="0"/>
        <v>0</v>
      </c>
      <c r="K11" s="309"/>
      <c r="L11" s="308">
        <f t="shared" si="1"/>
        <v>0</v>
      </c>
      <c r="M11" s="309"/>
      <c r="N11" s="308">
        <f t="shared" si="2"/>
        <v>0</v>
      </c>
      <c r="O11" s="306">
        <f t="shared" si="3"/>
        <v>0</v>
      </c>
      <c r="P11" s="310"/>
      <c r="Q11" s="310"/>
      <c r="R11" s="310"/>
      <c r="S11" s="311" t="str">
        <f t="shared" si="4"/>
        <v/>
      </c>
      <c r="T11" s="311" t="str">
        <f t="shared" si="5"/>
        <v/>
      </c>
      <c r="U11" s="311" t="str">
        <f>IF(N(R11)&gt;0,R11*ROUND((J11+($R$4*J11)),2),"")</f>
        <v/>
      </c>
      <c r="V11" s="312">
        <f>IF(N(C11)&gt;0,SUM(S11:U11),"")</f>
        <v>0</v>
      </c>
      <c r="W11" s="313"/>
      <c r="X11" s="312">
        <f>IF(N(C11)&gt;0,V11+W11,"")</f>
        <v>0</v>
      </c>
      <c r="Y11" s="314">
        <f ca="1">IF(N(C11)&gt;0,VLOOKUP(C11,' Pessoal'!$A$2:$M$34,10),"")</f>
        <v>0</v>
      </c>
      <c r="Z11" s="314">
        <v>0</v>
      </c>
      <c r="AA11" s="314">
        <f>IF(N(C11)&gt;0,V11,"")</f>
        <v>0</v>
      </c>
      <c r="AB11" s="313"/>
      <c r="AC11" s="315">
        <f>IF(N(C11)&gt;0,V11,"")</f>
        <v>0</v>
      </c>
      <c r="AD11" s="314">
        <f>IF(N(C11)&gt;0,ROUND(SUM(X11+F11+Z11+AA11+AB11+AC11)-O11,2),"")</f>
        <v>0</v>
      </c>
      <c r="AE11" s="314">
        <f>IF(N(C11)&gt;0,(ROUND(IF((Y11)&gt;6.41,((Y11-6.41)*G12+F11+AA11+AB11+AC11-O11),F11+AA11+AB11+AC11-O11),2))," ")</f>
        <v>0</v>
      </c>
      <c r="AF11" s="314">
        <f ca="1">IF(N(C11)&gt;0,ROUND(AE11*VLOOKUP(C11,' Pessoal'!$A$2:$M$34,9),2),"")</f>
        <v>0</v>
      </c>
      <c r="AG11" s="316">
        <v>0</v>
      </c>
      <c r="AH11" s="314">
        <f t="shared" si="10"/>
        <v>0</v>
      </c>
      <c r="AI11" s="317">
        <v>0</v>
      </c>
      <c r="AJ11" s="314">
        <f t="shared" si="8"/>
        <v>0</v>
      </c>
      <c r="AK11" s="314">
        <f t="shared" si="9"/>
        <v>0</v>
      </c>
      <c r="AL11" s="314">
        <f t="shared" si="20"/>
        <v>0</v>
      </c>
      <c r="AM11" s="318">
        <f t="shared" ref="AM11:AM26" si="22">AH11+AM6</f>
        <v>0</v>
      </c>
      <c r="AN11" s="319">
        <f t="shared" si="21"/>
        <v>0</v>
      </c>
      <c r="AO11" s="7"/>
      <c r="AP11" s="7"/>
      <c r="AQ11" s="7"/>
      <c r="AR11" s="7"/>
      <c r="AS11" s="7"/>
      <c r="AT11" s="7"/>
      <c r="AU11" s="7"/>
      <c r="AV11" s="7"/>
      <c r="AW11" s="7"/>
      <c r="AX11" s="7"/>
    </row>
    <row r="12" spans="1:51" s="73" customFormat="1">
      <c r="A12" s="66">
        <v>8</v>
      </c>
      <c r="B12" s="303">
        <f>B11</f>
        <v>40602</v>
      </c>
      <c r="C12" s="304">
        <v>3</v>
      </c>
      <c r="D12" s="305" t="str">
        <f ca="1">IF(N(C12)&gt;0,IF(N(C12)&lt;34,VLOOKUP('Tabela Final'!C12,' Pessoal'!$A$2:$B$34,2),""),"")</f>
        <v>Fábio</v>
      </c>
      <c r="E12" s="305" t="str">
        <f ca="1">IF(N(C12)&gt;0,IF(N(C12)&lt;34,VLOOKUP(C12,' Pessoal'!$A$2:$C$34,3),""),"")</f>
        <v>Ajud. Electricista</v>
      </c>
      <c r="F12" s="306">
        <v>0</v>
      </c>
      <c r="G12" s="307">
        <v>22</v>
      </c>
      <c r="H12" s="304">
        <f t="shared" si="11"/>
        <v>40</v>
      </c>
      <c r="I12" s="308">
        <f>IF(N(H12)&gt;0,(H12*52)/12,"")</f>
        <v>173.33333333333334</v>
      </c>
      <c r="J12" s="306">
        <f t="shared" si="0"/>
        <v>0</v>
      </c>
      <c r="K12" s="309"/>
      <c r="L12" s="308">
        <f t="shared" si="1"/>
        <v>0</v>
      </c>
      <c r="M12" s="309"/>
      <c r="N12" s="308">
        <f t="shared" si="2"/>
        <v>0</v>
      </c>
      <c r="O12" s="306">
        <f t="shared" si="3"/>
        <v>0</v>
      </c>
      <c r="P12" s="310"/>
      <c r="Q12" s="310"/>
      <c r="R12" s="310"/>
      <c r="S12" s="311" t="str">
        <f t="shared" si="4"/>
        <v/>
      </c>
      <c r="T12" s="311" t="str">
        <f t="shared" si="5"/>
        <v/>
      </c>
      <c r="U12" s="311" t="str">
        <f>IF(N(R12)&gt;0,R12*ROUND((J12+($R$4*J12)),2),"")</f>
        <v/>
      </c>
      <c r="V12" s="312">
        <f>IF(N(C12)&gt;0,SUM(S12:U12),"")</f>
        <v>0</v>
      </c>
      <c r="W12" s="313"/>
      <c r="X12" s="312">
        <f>IF(N(C12)&gt;0,V12+W12,"")</f>
        <v>0</v>
      </c>
      <c r="Y12" s="314">
        <f ca="1">IF(N(C12)&gt;0,VLOOKUP(C12,' Pessoal'!$A$2:$M$34,10),"")</f>
        <v>0</v>
      </c>
      <c r="Z12" s="314">
        <v>0</v>
      </c>
      <c r="AA12" s="314">
        <f>IF(N(C12)&gt;0,V12,"")</f>
        <v>0</v>
      </c>
      <c r="AB12" s="313"/>
      <c r="AC12" s="315">
        <f>IF(N(C12)&gt;0,V12,"")</f>
        <v>0</v>
      </c>
      <c r="AD12" s="314">
        <f>IF(N(C12)&gt;0,ROUND(SUM(X12+F12+Z12+AA12+AB12+AC12)-O12,2),"")</f>
        <v>0</v>
      </c>
      <c r="AE12" s="314">
        <f>IF(N(C12)&gt;0,(ROUND(IF((Y12)&gt;6.41,((Y12-6.41)*G13+F12+AA12+AB12+AC12-O12),F12+AA12+AB12+AC12-O12),2))," ")</f>
        <v>0</v>
      </c>
      <c r="AF12" s="314">
        <f ca="1">IF(N(C12)&gt;0,ROUND(AE12*VLOOKUP(C12,' Pessoal'!$A$2:$M$34,9),2),"")</f>
        <v>0</v>
      </c>
      <c r="AG12" s="316">
        <v>0</v>
      </c>
      <c r="AH12" s="314">
        <f t="shared" si="10"/>
        <v>0</v>
      </c>
      <c r="AI12" s="317">
        <v>0</v>
      </c>
      <c r="AJ12" s="314">
        <f t="shared" si="8"/>
        <v>0</v>
      </c>
      <c r="AK12" s="314">
        <f t="shared" si="9"/>
        <v>0</v>
      </c>
      <c r="AL12" s="314">
        <f t="shared" si="20"/>
        <v>0</v>
      </c>
      <c r="AM12" s="318">
        <f t="shared" si="22"/>
        <v>0</v>
      </c>
      <c r="AN12" s="319">
        <f t="shared" si="21"/>
        <v>0</v>
      </c>
      <c r="AO12" s="67"/>
      <c r="AP12" s="67"/>
      <c r="AQ12" s="67"/>
      <c r="AR12" s="67"/>
      <c r="AS12" s="67"/>
      <c r="AT12" s="67"/>
      <c r="AU12" s="67"/>
      <c r="AV12" s="67"/>
      <c r="AW12" s="67"/>
      <c r="AX12" s="67"/>
    </row>
    <row r="13" spans="1:51">
      <c r="A13" s="45">
        <v>9</v>
      </c>
      <c r="B13" s="164">
        <f>B12</f>
        <v>40602</v>
      </c>
      <c r="C13" s="165">
        <v>4</v>
      </c>
      <c r="D13" s="166" t="str">
        <f ca="1">IF(N(C13)&gt;0,IF(N(C13)&lt;34,VLOOKUP('Tabela Final'!C13,' Pessoal'!$A$2:$B$34,2),""),"")</f>
        <v>Carlos</v>
      </c>
      <c r="E13" s="166" t="str">
        <f ca="1">IF(N(C13)&gt;0,IF(N(C13)&lt;34,VLOOKUP(C13,' Pessoal'!$A$2:$C$34,3),""),"")</f>
        <v>Ajud. Electricista</v>
      </c>
      <c r="F13" s="167">
        <f ca="1">IF(N(C13)&gt;0,IF(N(C13)&lt;34,VLOOKUP(C13,' Pessoal'!$A$2:$M$34,4)),"")</f>
        <v>485</v>
      </c>
      <c r="G13" s="168">
        <f>22-17</f>
        <v>5</v>
      </c>
      <c r="H13" s="165">
        <f t="shared" si="11"/>
        <v>40</v>
      </c>
      <c r="I13" s="169">
        <f>IF(N(H13)&gt;0,(H13*52)/12,"")</f>
        <v>173.33333333333334</v>
      </c>
      <c r="J13" s="167">
        <f t="shared" si="0"/>
        <v>2.8</v>
      </c>
      <c r="K13" s="170"/>
      <c r="L13" s="169">
        <f t="shared" si="1"/>
        <v>0</v>
      </c>
      <c r="M13" s="170"/>
      <c r="N13" s="169">
        <f t="shared" si="2"/>
        <v>0</v>
      </c>
      <c r="O13" s="167">
        <f t="shared" si="3"/>
        <v>0</v>
      </c>
      <c r="P13" s="171"/>
      <c r="Q13" s="171"/>
      <c r="R13" s="171"/>
      <c r="S13" s="172" t="str">
        <f t="shared" si="4"/>
        <v/>
      </c>
      <c r="T13" s="172" t="str">
        <f t="shared" si="5"/>
        <v/>
      </c>
      <c r="U13" s="172" t="str">
        <f>IF(N(R13)&gt;0,R13*ROUND((J13+($R$4*J13)),2),"")</f>
        <v/>
      </c>
      <c r="V13" s="173">
        <f>IF(N(C13)&gt;0,SUM(S13:U13),"")</f>
        <v>0</v>
      </c>
      <c r="W13" s="174"/>
      <c r="X13" s="173">
        <f>IF(N(C13)&gt;0,V13+W13,"")</f>
        <v>0</v>
      </c>
      <c r="Y13" s="175">
        <f ca="1">IF(N(C13)&gt;0,VLOOKUP(C13,' Pessoal'!$A$2:$M$34,10),"")</f>
        <v>6.41</v>
      </c>
      <c r="Z13" s="175">
        <f>IF(N(C13)&gt;0,(G13*Y13),"")</f>
        <v>32.049999999999997</v>
      </c>
      <c r="AA13" s="175">
        <f>IF(N(C13)&gt;0,V13,"")</f>
        <v>0</v>
      </c>
      <c r="AB13" s="174"/>
      <c r="AC13" s="320">
        <v>0</v>
      </c>
      <c r="AD13" s="175">
        <f>IF(N(C13)&gt;0,ROUND(SUM(X13+F13+Z13+AA13+AB13+AC13)-O13,2),"")</f>
        <v>517.04999999999995</v>
      </c>
      <c r="AE13" s="175">
        <f>IF(N(C13)&gt;0,(ROUND(IF((Y13)&gt;6.41,((Y13-6.41)*G14+F13+AA13+AB13+AC13-O13),F13+AA13+AB13+AC13-O13),2))," ")</f>
        <v>485</v>
      </c>
      <c r="AF13" s="175">
        <f ca="1">IF(N(C13)&gt;0,ROUND(AE13*VLOOKUP(C13,' Pessoal'!$A$2:$M$34,9),2),"")</f>
        <v>53.35</v>
      </c>
      <c r="AG13" s="176">
        <v>0</v>
      </c>
      <c r="AH13" s="175">
        <f t="shared" si="10"/>
        <v>0</v>
      </c>
      <c r="AI13" s="321">
        <v>0</v>
      </c>
      <c r="AJ13" s="175">
        <f t="shared" si="8"/>
        <v>53.35</v>
      </c>
      <c r="AK13" s="175">
        <f t="shared" si="9"/>
        <v>463.69999999999993</v>
      </c>
      <c r="AL13" s="175">
        <f t="shared" si="20"/>
        <v>1010</v>
      </c>
      <c r="AM13" s="177">
        <f t="shared" si="22"/>
        <v>0</v>
      </c>
      <c r="AN13" s="322">
        <f t="shared" si="21"/>
        <v>111.1</v>
      </c>
      <c r="AO13" s="7"/>
      <c r="AP13" s="7"/>
      <c r="AQ13" s="7"/>
      <c r="AR13" s="7"/>
      <c r="AS13" s="7"/>
      <c r="AT13" s="7"/>
      <c r="AU13" s="7"/>
      <c r="AV13" s="7"/>
      <c r="AW13" s="7"/>
      <c r="AX13" s="7"/>
    </row>
    <row r="14" spans="1:51" s="193" customFormat="1" ht="12" thickBot="1">
      <c r="A14" s="69">
        <v>10</v>
      </c>
      <c r="B14" s="179">
        <f>B13</f>
        <v>40602</v>
      </c>
      <c r="C14" s="180">
        <v>5</v>
      </c>
      <c r="D14" s="181" t="str">
        <f ca="1">IF(N(C14)&gt;0,IF(N(C14)&lt;34,VLOOKUP('Tabela Final'!C14,' Pessoal'!$A$2:$B$34,2),""),"")</f>
        <v>André</v>
      </c>
      <c r="E14" s="181" t="str">
        <f ca="1">IF(N(C14)&gt;0,IF(N(C14)&lt;34,VLOOKUP(C14,' Pessoal'!$A$2:$C$34,3),""),"")</f>
        <v>Ajud. Electricista</v>
      </c>
      <c r="F14" s="182">
        <f ca="1">IF(N(C14)&gt;0,IF(N(C14)&lt;34,VLOOKUP(C14,' Pessoal'!$A$2:$M$34,4)),"")</f>
        <v>550</v>
      </c>
      <c r="G14" s="183">
        <f>22-1</f>
        <v>21</v>
      </c>
      <c r="H14" s="180">
        <f t="shared" si="11"/>
        <v>40</v>
      </c>
      <c r="I14" s="184">
        <f>IF(N(H14)&gt;0,(H14*52)/12,"")</f>
        <v>173.33333333333334</v>
      </c>
      <c r="J14" s="182">
        <f t="shared" si="0"/>
        <v>3.17</v>
      </c>
      <c r="K14" s="185"/>
      <c r="L14" s="184">
        <f t="shared" si="1"/>
        <v>0</v>
      </c>
      <c r="M14" s="185"/>
      <c r="N14" s="184">
        <f t="shared" si="2"/>
        <v>0</v>
      </c>
      <c r="O14" s="182">
        <f t="shared" si="3"/>
        <v>0</v>
      </c>
      <c r="P14" s="186"/>
      <c r="Q14" s="186"/>
      <c r="R14" s="186"/>
      <c r="S14" s="187" t="str">
        <f t="shared" si="4"/>
        <v/>
      </c>
      <c r="T14" s="187" t="str">
        <f t="shared" si="5"/>
        <v/>
      </c>
      <c r="U14" s="187" t="str">
        <f>IF(N(R14)&gt;0,R14*ROUND((J14+($R$4*J14)),2),"")</f>
        <v/>
      </c>
      <c r="V14" s="188">
        <f>IF(N(C14)&gt;0,SUM(S14:U14),"")</f>
        <v>0</v>
      </c>
      <c r="W14" s="189"/>
      <c r="X14" s="188">
        <f>IF(N(C14)&gt;0,V14+W14,"")</f>
        <v>0</v>
      </c>
      <c r="Y14" s="161">
        <f ca="1">IF(N(C14)&gt;0,VLOOKUP(C14,' Pessoal'!$A$2:$M$34,10),"")</f>
        <v>6.41</v>
      </c>
      <c r="Z14" s="161">
        <f>IF(N(C14)&gt;0,(G14*Y14),"")</f>
        <v>134.61000000000001</v>
      </c>
      <c r="AA14" s="161">
        <f>IF(N(C14)&gt;0,V14,"")</f>
        <v>0</v>
      </c>
      <c r="AB14" s="189"/>
      <c r="AC14" s="323">
        <f>IF(N(C14)&gt;0,V14,"")</f>
        <v>0</v>
      </c>
      <c r="AD14" s="161">
        <f>IF(N(C14)&gt;0,ROUND(SUM(X14+F14+Z14+AA14+AB14+AC14)-O14,2),"")</f>
        <v>684.61</v>
      </c>
      <c r="AE14" s="161">
        <f>IF(N(C14)&gt;0,(ROUND(IF((Y14)&gt;6.41,((Y14-6.41)*G15+F14+AA14+AB14+AC14-O14),F14+AA14+AB14+AC14-O14),2))," ")</f>
        <v>550</v>
      </c>
      <c r="AF14" s="161">
        <f ca="1">IF(N(C14)&gt;0,ROUND(AE14*VLOOKUP(C14,' Pessoal'!$A$2:$M$34,9),2),"")</f>
        <v>60.5</v>
      </c>
      <c r="AG14" s="190">
        <v>0</v>
      </c>
      <c r="AH14" s="161">
        <f t="shared" si="10"/>
        <v>0</v>
      </c>
      <c r="AI14" s="324">
        <v>0</v>
      </c>
      <c r="AJ14" s="161">
        <f t="shared" si="8"/>
        <v>60.5</v>
      </c>
      <c r="AK14" s="161">
        <f t="shared" si="9"/>
        <v>624.11</v>
      </c>
      <c r="AL14" s="161">
        <f t="shared" si="20"/>
        <v>1100</v>
      </c>
      <c r="AM14" s="191">
        <f t="shared" si="22"/>
        <v>0</v>
      </c>
      <c r="AN14" s="325">
        <f t="shared" si="21"/>
        <v>121</v>
      </c>
      <c r="AO14" s="192"/>
      <c r="AP14" s="192"/>
      <c r="AQ14" s="192"/>
      <c r="AR14" s="192"/>
      <c r="AS14" s="192"/>
      <c r="AT14" s="192"/>
      <c r="AU14" s="192"/>
      <c r="AV14" s="192"/>
      <c r="AW14" s="192"/>
      <c r="AX14" s="192"/>
    </row>
    <row r="15" spans="1:51">
      <c r="A15" s="68">
        <v>11</v>
      </c>
      <c r="B15" s="219">
        <v>40633</v>
      </c>
      <c r="C15" s="220">
        <v>1</v>
      </c>
      <c r="D15" s="221" t="str">
        <f ca="1">IF(N(C15)&gt;0,IF(N(C15)&lt;34,VLOOKUP('Tabela Final'!C15,' Pessoal'!$A$2:$B$34,2),""),"")</f>
        <v>Susana</v>
      </c>
      <c r="E15" s="221" t="str">
        <f ca="1">IF(N(C15)&gt;0,IF(N(C15)&lt;34,VLOOKUP(C15,' Pessoal'!$A$2:$C$34,3),""),"")</f>
        <v>Gerente</v>
      </c>
      <c r="F15" s="222">
        <f ca="1">IF(N(C15)&gt;0,IF(N(C15)&lt;34,VLOOKUP(C15,' Pessoal'!$A$2:$M$34,4)),"")</f>
        <v>927</v>
      </c>
      <c r="G15" s="217">
        <v>22</v>
      </c>
      <c r="H15" s="220">
        <f t="shared" si="11"/>
        <v>40</v>
      </c>
      <c r="I15" s="225">
        <f t="shared" si="12"/>
        <v>173.33333333333334</v>
      </c>
      <c r="J15" s="222">
        <f t="shared" si="0"/>
        <v>5.35</v>
      </c>
      <c r="K15" s="226"/>
      <c r="L15" s="225">
        <f t="shared" si="1"/>
        <v>0</v>
      </c>
      <c r="M15" s="226"/>
      <c r="N15" s="225">
        <f t="shared" si="2"/>
        <v>0</v>
      </c>
      <c r="O15" s="222">
        <f t="shared" si="3"/>
        <v>0</v>
      </c>
      <c r="P15" s="227"/>
      <c r="Q15" s="227"/>
      <c r="R15" s="227"/>
      <c r="S15" s="228" t="str">
        <f t="shared" ref="S15:S35" si="23">IF(N(P15)&gt;0,P15*ROUND((J15+($P$4*J15)),2),"")</f>
        <v/>
      </c>
      <c r="T15" s="228" t="str">
        <f t="shared" si="5"/>
        <v/>
      </c>
      <c r="U15" s="228" t="str">
        <f t="shared" si="13"/>
        <v/>
      </c>
      <c r="V15" s="229">
        <f t="shared" si="14"/>
        <v>0</v>
      </c>
      <c r="W15" s="230"/>
      <c r="X15" s="229">
        <f t="shared" si="15"/>
        <v>0</v>
      </c>
      <c r="Y15" s="231">
        <f ca="1">IF(N(C15)&gt;0,VLOOKUP(C15,' Pessoal'!$A$2:$M$34,10),"")</f>
        <v>6.41</v>
      </c>
      <c r="Z15" s="231">
        <f t="shared" si="6"/>
        <v>141.02000000000001</v>
      </c>
      <c r="AA15" s="231">
        <f t="shared" si="16"/>
        <v>0</v>
      </c>
      <c r="AB15" s="230"/>
      <c r="AC15" s="290">
        <f t="shared" si="17"/>
        <v>0</v>
      </c>
      <c r="AD15" s="231">
        <f t="shared" si="18"/>
        <v>1068.02</v>
      </c>
      <c r="AE15" s="231">
        <f t="shared" si="19"/>
        <v>927</v>
      </c>
      <c r="AF15" s="231">
        <f ca="1">IF(N(C15)&gt;0,ROUND(AE15*VLOOKUP(C15,' Pessoal'!$A$2:$M$34,9),2),"")</f>
        <v>86.21</v>
      </c>
      <c r="AG15" s="233">
        <v>0.08</v>
      </c>
      <c r="AH15" s="231">
        <f t="shared" si="7"/>
        <v>74.16</v>
      </c>
      <c r="AI15" s="234">
        <v>0</v>
      </c>
      <c r="AJ15" s="231">
        <f t="shared" si="8"/>
        <v>160.37</v>
      </c>
      <c r="AK15" s="231">
        <f t="shared" si="9"/>
        <v>907.65</v>
      </c>
      <c r="AL15" s="231">
        <f t="shared" si="20"/>
        <v>2781</v>
      </c>
      <c r="AM15" s="235">
        <f>AH15+AM10</f>
        <v>222.48</v>
      </c>
      <c r="AN15" s="236">
        <f t="shared" si="21"/>
        <v>258.63</v>
      </c>
      <c r="AO15" s="7">
        <f>SUM(AH15:AH19)</f>
        <v>74.16</v>
      </c>
      <c r="AP15" s="7">
        <f>AE15</f>
        <v>927</v>
      </c>
      <c r="AQ15" s="7">
        <f>AP15*0.2125</f>
        <v>196.98749999999998</v>
      </c>
      <c r="AR15" s="7">
        <f>SUM(AE16:AE19)</f>
        <v>1035</v>
      </c>
      <c r="AS15" s="7">
        <f>ROUND(AR15*0.2375,2)-$AE18*0.01</f>
        <v>240.96</v>
      </c>
      <c r="AT15" s="7">
        <f>AK15</f>
        <v>907.65</v>
      </c>
      <c r="AU15" s="7">
        <f>ROUND(SUM(AK16:AK19),2)</f>
        <v>1190.3699999999999</v>
      </c>
      <c r="AV15" s="7">
        <f>ROUND(AP15*0.3125+AR15*0.3475,2)-$AE18*0.01</f>
        <v>644.5</v>
      </c>
      <c r="AW15" s="7">
        <f>AD15</f>
        <v>1068.02</v>
      </c>
      <c r="AX15" s="7">
        <f>SUM(AD16:AD19)</f>
        <v>1304.22</v>
      </c>
    </row>
    <row r="16" spans="1:51" s="73" customFormat="1">
      <c r="A16" s="66">
        <v>12</v>
      </c>
      <c r="B16" s="237">
        <f>B15</f>
        <v>40633</v>
      </c>
      <c r="C16" s="238">
        <v>2</v>
      </c>
      <c r="D16" s="239" t="str">
        <f ca="1">IF(N(C16)&gt;0,IF(N(C16)&lt;34,VLOOKUP('Tabela Final'!C16,' Pessoal'!$A$2:$B$34,2),""),"")</f>
        <v>Nuno</v>
      </c>
      <c r="E16" s="239" t="str">
        <f ca="1">IF(N(C16)&gt;0,IF(N(C16)&lt;34,VLOOKUP(C16,' Pessoal'!$A$2:$C$34,3),""),"")</f>
        <v>Ajud. Electricista</v>
      </c>
      <c r="F16" s="240">
        <v>0</v>
      </c>
      <c r="G16" s="241">
        <v>22</v>
      </c>
      <c r="H16" s="238">
        <f t="shared" si="11"/>
        <v>40</v>
      </c>
      <c r="I16" s="242">
        <f>IF(N(H16)&gt;0,(H16*52)/12,"")</f>
        <v>173.33333333333334</v>
      </c>
      <c r="J16" s="240">
        <f t="shared" si="0"/>
        <v>0</v>
      </c>
      <c r="K16" s="243"/>
      <c r="L16" s="242">
        <f t="shared" si="1"/>
        <v>0</v>
      </c>
      <c r="M16" s="243"/>
      <c r="N16" s="242">
        <f t="shared" si="2"/>
        <v>0</v>
      </c>
      <c r="O16" s="240">
        <f t="shared" si="3"/>
        <v>0</v>
      </c>
      <c r="P16" s="244"/>
      <c r="Q16" s="244"/>
      <c r="R16" s="244"/>
      <c r="S16" s="245" t="str">
        <f>IF(N(P16)&gt;0,P16*ROUND((J16+($P$4*J16)),2),"")</f>
        <v/>
      </c>
      <c r="T16" s="245" t="str">
        <f t="shared" si="5"/>
        <v/>
      </c>
      <c r="U16" s="245" t="str">
        <f>IF(N(R16)&gt;0,R16*ROUND((J16+($R$4*J16)),2),"")</f>
        <v/>
      </c>
      <c r="V16" s="246">
        <f>IF(N(C16)&gt;0,SUM(S16:U16),"")</f>
        <v>0</v>
      </c>
      <c r="W16" s="247"/>
      <c r="X16" s="246">
        <f>IF(N(C16)&gt;0,V16+W16,"")</f>
        <v>0</v>
      </c>
      <c r="Y16" s="248">
        <f ca="1">IF(N(C16)&gt;0,VLOOKUP(C16,' Pessoal'!$A$2:$M$34,10),"")</f>
        <v>0</v>
      </c>
      <c r="Z16" s="248">
        <v>0</v>
      </c>
      <c r="AA16" s="248">
        <f>IF(N(C16)&gt;0,V16,"")</f>
        <v>0</v>
      </c>
      <c r="AB16" s="247"/>
      <c r="AC16" s="249">
        <f>IF(N(C16)&gt;0,V16,"")</f>
        <v>0</v>
      </c>
      <c r="AD16" s="248">
        <f>IF(N(C16)&gt;0,ROUND(SUM(X16+F16+Z16+AA16+AB16+AC16)-O16,2),"")</f>
        <v>0</v>
      </c>
      <c r="AE16" s="248">
        <f>IF(N(C16)&gt;0,(ROUND(IF((Y16)&gt;6.41,((Y16-6.41)*G17+F16+AA16+AB16+AC16-O16),F16+AA16+AB16+AC16-O16),2))," ")</f>
        <v>0</v>
      </c>
      <c r="AF16" s="248">
        <f ca="1">IF(N(C16)&gt;0,ROUND(AE16*VLOOKUP(C16,' Pessoal'!$A$2:$M$34,9),2),"")</f>
        <v>0</v>
      </c>
      <c r="AG16" s="250">
        <v>0</v>
      </c>
      <c r="AH16" s="248">
        <f>IF(N(C16)&gt;0,ROUND(AE16*AG16,2),"")</f>
        <v>0</v>
      </c>
      <c r="AI16" s="251">
        <v>0</v>
      </c>
      <c r="AJ16" s="248">
        <f t="shared" si="8"/>
        <v>0</v>
      </c>
      <c r="AK16" s="248">
        <f t="shared" si="9"/>
        <v>0</v>
      </c>
      <c r="AL16" s="248">
        <f t="shared" si="20"/>
        <v>0</v>
      </c>
      <c r="AM16" s="255">
        <f t="shared" si="22"/>
        <v>0</v>
      </c>
      <c r="AN16" s="254">
        <f t="shared" si="21"/>
        <v>0</v>
      </c>
      <c r="AO16" s="7"/>
      <c r="AP16" s="7"/>
      <c r="AQ16" s="7"/>
      <c r="AR16" s="7"/>
      <c r="AS16" s="7"/>
      <c r="AT16" s="7"/>
      <c r="AU16" s="7"/>
      <c r="AV16" s="7"/>
      <c r="AW16" s="7"/>
      <c r="AX16" s="7"/>
    </row>
    <row r="17" spans="1:50" s="73" customFormat="1">
      <c r="A17" s="66">
        <v>13</v>
      </c>
      <c r="B17" s="237">
        <f>B16</f>
        <v>40633</v>
      </c>
      <c r="C17" s="238">
        <v>3</v>
      </c>
      <c r="D17" s="239" t="str">
        <f ca="1">IF(N(C17)&gt;0,IF(N(C17)&lt;34,VLOOKUP('Tabela Final'!C17,' Pessoal'!$A$2:$B$34,2),""),"")</f>
        <v>Fábio</v>
      </c>
      <c r="E17" s="239" t="str">
        <f ca="1">IF(N(C17)&gt;0,IF(N(C17)&lt;34,VLOOKUP(C17,' Pessoal'!$A$2:$C$34,3),""),"")</f>
        <v>Ajud. Electricista</v>
      </c>
      <c r="F17" s="240">
        <v>0</v>
      </c>
      <c r="G17" s="241">
        <v>22</v>
      </c>
      <c r="H17" s="238">
        <f t="shared" si="11"/>
        <v>40</v>
      </c>
      <c r="I17" s="242">
        <f>IF(N(H17)&gt;0,(H17*52)/12,"")</f>
        <v>173.33333333333334</v>
      </c>
      <c r="J17" s="240">
        <f t="shared" si="0"/>
        <v>0</v>
      </c>
      <c r="K17" s="243"/>
      <c r="L17" s="242">
        <f t="shared" si="1"/>
        <v>0</v>
      </c>
      <c r="M17" s="243"/>
      <c r="N17" s="242">
        <f t="shared" si="2"/>
        <v>0</v>
      </c>
      <c r="O17" s="240">
        <f t="shared" si="3"/>
        <v>0</v>
      </c>
      <c r="P17" s="244"/>
      <c r="Q17" s="244"/>
      <c r="R17" s="244"/>
      <c r="S17" s="245" t="str">
        <f>IF(N(P17)&gt;0,P17*ROUND((J17+($P$4*J17)),2),"")</f>
        <v/>
      </c>
      <c r="T17" s="245" t="str">
        <f t="shared" si="5"/>
        <v/>
      </c>
      <c r="U17" s="245" t="str">
        <f>IF(N(R17)&gt;0,R17*ROUND((J17+($R$4*J17)),2),"")</f>
        <v/>
      </c>
      <c r="V17" s="246">
        <f>IF(N(C17)&gt;0,SUM(S17:U17),"")</f>
        <v>0</v>
      </c>
      <c r="W17" s="247"/>
      <c r="X17" s="246">
        <f>IF(N(C17)&gt;0,V17+W17,"")</f>
        <v>0</v>
      </c>
      <c r="Y17" s="248">
        <f ca="1">IF(N(C17)&gt;0,VLOOKUP(C17,' Pessoal'!$A$2:$M$34,10),"")</f>
        <v>0</v>
      </c>
      <c r="Z17" s="248">
        <v>0</v>
      </c>
      <c r="AA17" s="248">
        <f>IF(N(C17)&gt;0,V17,"")</f>
        <v>0</v>
      </c>
      <c r="AB17" s="247"/>
      <c r="AC17" s="249">
        <f>IF(N(C17)&gt;0,V17,"")</f>
        <v>0</v>
      </c>
      <c r="AD17" s="248">
        <f>IF(N(C17)&gt;0,ROUND(SUM(X17+F17+Z17+AA17+AB17+AC17)-O17,2),"")</f>
        <v>0</v>
      </c>
      <c r="AE17" s="248">
        <f>IF(N(C17)&gt;0,(ROUND(IF((Y17)&gt;6.41,((Y17-6.41)*G18+F17+AA17+AB17+AC17-O17),F17+AA17+AB17+AC17-O17),2))," ")</f>
        <v>0</v>
      </c>
      <c r="AF17" s="248">
        <f ca="1">IF(N(C17)&gt;0,ROUND(AE17*VLOOKUP(C17,' Pessoal'!$A$2:$M$34,9),2),"")</f>
        <v>0</v>
      </c>
      <c r="AG17" s="250">
        <v>0</v>
      </c>
      <c r="AH17" s="248">
        <f>IF(N(C17)&gt;0,ROUND(AE17*AG17,2),"")</f>
        <v>0</v>
      </c>
      <c r="AI17" s="251">
        <v>0</v>
      </c>
      <c r="AJ17" s="248">
        <f t="shared" si="8"/>
        <v>0</v>
      </c>
      <c r="AK17" s="248">
        <f t="shared" si="9"/>
        <v>0</v>
      </c>
      <c r="AL17" s="248">
        <f t="shared" si="20"/>
        <v>0</v>
      </c>
      <c r="AM17" s="255">
        <f t="shared" si="22"/>
        <v>0</v>
      </c>
      <c r="AN17" s="254">
        <f t="shared" si="21"/>
        <v>0</v>
      </c>
      <c r="AO17" s="67"/>
      <c r="AP17" s="67"/>
      <c r="AQ17" s="67"/>
      <c r="AR17" s="67"/>
      <c r="AS17" s="67"/>
      <c r="AT17" s="67"/>
      <c r="AU17" s="67"/>
      <c r="AV17" s="67"/>
      <c r="AW17" s="67"/>
      <c r="AX17" s="67"/>
    </row>
    <row r="18" spans="1:50">
      <c r="A18" s="45">
        <v>14</v>
      </c>
      <c r="B18" s="256">
        <f>B17</f>
        <v>40633</v>
      </c>
      <c r="C18" s="257">
        <v>4</v>
      </c>
      <c r="D18" s="258" t="str">
        <f ca="1">IF(N(C18)&gt;0,IF(N(C18)&lt;34,VLOOKUP('Tabela Final'!C18,' Pessoal'!$A$2:$B$34,2),""),"")</f>
        <v>Carlos</v>
      </c>
      <c r="E18" s="258" t="str">
        <f ca="1">IF(N(C18)&gt;0,IF(N(C18)&lt;34,VLOOKUP(C18,' Pessoal'!$A$2:$C$34,3),""),"")</f>
        <v>Ajud. Electricista</v>
      </c>
      <c r="F18" s="259">
        <f ca="1">IF(N(C18)&gt;0,IF(N(C18)&lt;34,VLOOKUP(C18,' Pessoal'!$A$2:$M$34,4)),"")</f>
        <v>485</v>
      </c>
      <c r="G18" s="241">
        <v>20</v>
      </c>
      <c r="H18" s="257">
        <f t="shared" si="11"/>
        <v>40</v>
      </c>
      <c r="I18" s="261">
        <f>IF(N(H18)&gt;0,(H18*52)/12,"")</f>
        <v>173.33333333333334</v>
      </c>
      <c r="J18" s="259">
        <f t="shared" si="0"/>
        <v>2.8</v>
      </c>
      <c r="K18" s="262"/>
      <c r="L18" s="261">
        <f t="shared" si="1"/>
        <v>0</v>
      </c>
      <c r="M18" s="262"/>
      <c r="N18" s="261">
        <f t="shared" si="2"/>
        <v>0</v>
      </c>
      <c r="O18" s="259">
        <f t="shared" si="3"/>
        <v>0</v>
      </c>
      <c r="P18" s="263"/>
      <c r="Q18" s="263"/>
      <c r="R18" s="263"/>
      <c r="S18" s="264" t="str">
        <f>IF(N(P18)&gt;0,P18*ROUND((J18+($P$4*J18)),2),"")</f>
        <v/>
      </c>
      <c r="T18" s="264" t="str">
        <f t="shared" si="5"/>
        <v/>
      </c>
      <c r="U18" s="264" t="str">
        <f>IF(N(R18)&gt;0,R18*ROUND((J18+($R$4*J18)),2),"")</f>
        <v/>
      </c>
      <c r="V18" s="265">
        <f>IF(N(C18)&gt;0,SUM(S18:U18),"")</f>
        <v>0</v>
      </c>
      <c r="W18" s="266"/>
      <c r="X18" s="265">
        <f>IF(N(C18)&gt;0,V18+W18,"")</f>
        <v>0</v>
      </c>
      <c r="Y18" s="267">
        <f ca="1">IF(N(C18)&gt;0,VLOOKUP(C18,' Pessoal'!$A$2:$M$34,10),"")</f>
        <v>6.41</v>
      </c>
      <c r="Z18" s="267">
        <f>IF(N(C18)&gt;0,(G18*Y18),"")</f>
        <v>128.19999999999999</v>
      </c>
      <c r="AA18" s="267">
        <f>IF(N(C18)&gt;0,V18,"")</f>
        <v>0</v>
      </c>
      <c r="AB18" s="266"/>
      <c r="AC18" s="268">
        <v>0</v>
      </c>
      <c r="AD18" s="267">
        <f>IF(N(C18)&gt;0,ROUND(SUM(X18+F18+Z18+AA18+AB18+AC18)-O18,2),"")</f>
        <v>613.20000000000005</v>
      </c>
      <c r="AE18" s="267">
        <f>IF(N(C18)&gt;0,(ROUND(IF((Y18)&gt;6.41,((Y18-6.41)*G19+F18+AA18+AB18+AC18-O18),F18+AA18+AB18+AC18-O18),2))," ")</f>
        <v>485</v>
      </c>
      <c r="AF18" s="267">
        <f ca="1">IF(N(C18)&gt;0,ROUND(AE18*VLOOKUP(C18,' Pessoal'!$A$2:$M$34,9),2),"")</f>
        <v>53.35</v>
      </c>
      <c r="AG18" s="269">
        <v>0</v>
      </c>
      <c r="AH18" s="267">
        <f>IF(N(C18)&gt;0,ROUND(AE18*AG18,2),"")</f>
        <v>0</v>
      </c>
      <c r="AI18" s="270">
        <v>0</v>
      </c>
      <c r="AJ18" s="267">
        <f t="shared" si="8"/>
        <v>53.35</v>
      </c>
      <c r="AK18" s="267">
        <f t="shared" si="9"/>
        <v>559.85</v>
      </c>
      <c r="AL18" s="267">
        <f t="shared" si="20"/>
        <v>1495</v>
      </c>
      <c r="AM18" s="271">
        <f t="shared" si="22"/>
        <v>0</v>
      </c>
      <c r="AN18" s="272">
        <f t="shared" si="21"/>
        <v>164.45</v>
      </c>
      <c r="AO18" s="7"/>
      <c r="AP18" s="7"/>
      <c r="AQ18" s="7"/>
      <c r="AR18" s="7"/>
      <c r="AS18" s="7"/>
      <c r="AT18" s="7"/>
      <c r="AU18" s="7"/>
      <c r="AV18" s="7"/>
      <c r="AW18" s="7"/>
      <c r="AX18" s="7"/>
    </row>
    <row r="19" spans="1:50" s="193" customFormat="1" ht="12" thickBot="1">
      <c r="A19" s="69">
        <v>15</v>
      </c>
      <c r="B19" s="273">
        <f>B18</f>
        <v>40633</v>
      </c>
      <c r="C19" s="274">
        <v>5</v>
      </c>
      <c r="D19" s="275" t="str">
        <f ca="1">IF(N(C19)&gt;0,IF(N(C19)&lt;34,VLOOKUP('Tabela Final'!C19,' Pessoal'!$A$2:$B$34,2),""),"")</f>
        <v>André</v>
      </c>
      <c r="E19" s="275" t="str">
        <f ca="1">IF(N(C19)&gt;0,IF(N(C19)&lt;34,VLOOKUP(C19,' Pessoal'!$A$2:$C$34,3),""),"")</f>
        <v>Ajud. Electricista</v>
      </c>
      <c r="F19" s="276">
        <f ca="1">IF(N(C19)&gt;0,IF(N(C19)&lt;34,VLOOKUP(C19,' Pessoal'!$A$2:$M$34,4)),"")</f>
        <v>550</v>
      </c>
      <c r="G19" s="298">
        <v>22</v>
      </c>
      <c r="H19" s="274">
        <f t="shared" si="11"/>
        <v>40</v>
      </c>
      <c r="I19" s="278">
        <f>IF(N(H19)&gt;0,(H19*52)/12,"")</f>
        <v>173.33333333333334</v>
      </c>
      <c r="J19" s="276">
        <f t="shared" si="0"/>
        <v>3.17</v>
      </c>
      <c r="K19" s="279"/>
      <c r="L19" s="278">
        <f t="shared" si="1"/>
        <v>0</v>
      </c>
      <c r="M19" s="279"/>
      <c r="N19" s="278">
        <f t="shared" si="2"/>
        <v>0</v>
      </c>
      <c r="O19" s="276">
        <f t="shared" si="3"/>
        <v>0</v>
      </c>
      <c r="P19" s="280"/>
      <c r="Q19" s="280"/>
      <c r="R19" s="280"/>
      <c r="S19" s="281" t="str">
        <f>IF(N(P19)&gt;0,P19*ROUND((J19+($P$4*J19)),2),"")</f>
        <v/>
      </c>
      <c r="T19" s="281" t="str">
        <f t="shared" si="5"/>
        <v/>
      </c>
      <c r="U19" s="281" t="str">
        <f>IF(N(R19)&gt;0,R19*ROUND((J19+($R$4*J19)),2),"")</f>
        <v/>
      </c>
      <c r="V19" s="282">
        <f>IF(N(C19)&gt;0,SUM(S19:U19),"")</f>
        <v>0</v>
      </c>
      <c r="W19" s="283"/>
      <c r="X19" s="282">
        <f>IF(N(C19)&gt;0,V19+W19,"")</f>
        <v>0</v>
      </c>
      <c r="Y19" s="284">
        <f ca="1">IF(N(C19)&gt;0,VLOOKUP(C19,' Pessoal'!$A$2:$M$34,10),"")</f>
        <v>6.41</v>
      </c>
      <c r="Z19" s="284">
        <f>IF(N(C19)&gt;0,(G19*Y19),"")</f>
        <v>141.02000000000001</v>
      </c>
      <c r="AA19" s="284">
        <f>IF(N(C19)&gt;0,V19,"")</f>
        <v>0</v>
      </c>
      <c r="AB19" s="283"/>
      <c r="AC19" s="285">
        <v>0</v>
      </c>
      <c r="AD19" s="284">
        <f>IF(N(C19)&gt;0,ROUND(SUM(X19+F19+Z19+AA19+AB19+AC19)-O19,2),"")</f>
        <v>691.02</v>
      </c>
      <c r="AE19" s="284">
        <f>IF(N(C19)&gt;0,(ROUND(IF((Y19)&gt;6.41,((Y19-6.41)*G20+F19+AA19+AB19+AC19-O19),F19+AA19+AB19+AC19-O19),2))," ")</f>
        <v>550</v>
      </c>
      <c r="AF19" s="284">
        <f ca="1">IF(N(C19)&gt;0,ROUND(AE19*VLOOKUP(C19,' Pessoal'!$A$2:$M$34,9),2),"")</f>
        <v>60.5</v>
      </c>
      <c r="AG19" s="286">
        <v>0</v>
      </c>
      <c r="AH19" s="284">
        <f>IF(N(C19)&gt;0,ROUND(AE19*AG19,2),"")</f>
        <v>0</v>
      </c>
      <c r="AI19" s="287">
        <v>0</v>
      </c>
      <c r="AJ19" s="284">
        <f t="shared" si="8"/>
        <v>60.5</v>
      </c>
      <c r="AK19" s="284">
        <f t="shared" si="9"/>
        <v>630.52</v>
      </c>
      <c r="AL19" s="284">
        <f t="shared" si="20"/>
        <v>1650</v>
      </c>
      <c r="AM19" s="288">
        <f t="shared" si="22"/>
        <v>0</v>
      </c>
      <c r="AN19" s="289">
        <f t="shared" si="21"/>
        <v>181.5</v>
      </c>
      <c r="AO19" s="192"/>
      <c r="AP19" s="192"/>
      <c r="AQ19" s="192"/>
      <c r="AR19" s="192"/>
      <c r="AS19" s="192"/>
      <c r="AT19" s="192"/>
      <c r="AU19" s="192"/>
      <c r="AV19" s="192"/>
      <c r="AW19" s="192"/>
      <c r="AX19" s="192"/>
    </row>
    <row r="20" spans="1:50">
      <c r="A20" s="68">
        <v>16</v>
      </c>
      <c r="B20" s="149">
        <v>40663</v>
      </c>
      <c r="C20" s="150">
        <v>1</v>
      </c>
      <c r="D20" s="151" t="str">
        <f ca="1">IF(N(C20)&gt;0,IF(N(C20)&lt;34,VLOOKUP('Tabela Final'!C20,' Pessoal'!$A$2:$B$34,2),""),"")</f>
        <v>Susana</v>
      </c>
      <c r="E20" s="151" t="str">
        <f ca="1">IF(N(C20)&gt;0,IF(N(C20)&lt;34,VLOOKUP(C20,' Pessoal'!$A$2:$C$34,3),""),"")</f>
        <v>Gerente</v>
      </c>
      <c r="F20" s="152">
        <f ca="1">IF(N(C20)&gt;0,IF(N(C20)&lt;34,VLOOKUP(C20,' Pessoal'!$A$2:$M$34,4)),"")</f>
        <v>927</v>
      </c>
      <c r="G20" s="299">
        <v>22</v>
      </c>
      <c r="H20" s="150">
        <f t="shared" si="11"/>
        <v>40</v>
      </c>
      <c r="I20" s="154">
        <f t="shared" si="12"/>
        <v>173.33333333333334</v>
      </c>
      <c r="J20" s="152">
        <f t="shared" si="0"/>
        <v>5.35</v>
      </c>
      <c r="K20" s="155"/>
      <c r="L20" s="154">
        <f t="shared" si="1"/>
        <v>0</v>
      </c>
      <c r="M20" s="155"/>
      <c r="N20" s="154">
        <f t="shared" si="2"/>
        <v>0</v>
      </c>
      <c r="O20" s="152">
        <f t="shared" si="3"/>
        <v>0</v>
      </c>
      <c r="P20" s="156"/>
      <c r="Q20" s="156"/>
      <c r="R20" s="156"/>
      <c r="S20" s="157" t="str">
        <f t="shared" si="23"/>
        <v/>
      </c>
      <c r="T20" s="157" t="str">
        <f t="shared" ref="T20:T35" si="24">IF(N(Q20)&gt;0,Q20*ROUND((J20+($Q$4*J20)),2),"")</f>
        <v/>
      </c>
      <c r="U20" s="157" t="str">
        <f t="shared" si="13"/>
        <v/>
      </c>
      <c r="V20" s="158">
        <f t="shared" si="14"/>
        <v>0</v>
      </c>
      <c r="W20" s="159"/>
      <c r="X20" s="158">
        <f t="shared" si="15"/>
        <v>0</v>
      </c>
      <c r="Y20" s="160">
        <f ca="1">IF(N(C20)&gt;0,VLOOKUP(C20,' Pessoal'!$A$2:$M$34,10),"")</f>
        <v>6.41</v>
      </c>
      <c r="Z20" s="160">
        <f t="shared" si="6"/>
        <v>141.02000000000001</v>
      </c>
      <c r="AA20" s="160">
        <f t="shared" si="16"/>
        <v>0</v>
      </c>
      <c r="AB20" s="159"/>
      <c r="AC20" s="300">
        <f t="shared" si="17"/>
        <v>0</v>
      </c>
      <c r="AD20" s="160">
        <f t="shared" si="18"/>
        <v>1068.02</v>
      </c>
      <c r="AE20" s="160">
        <f t="shared" si="19"/>
        <v>927</v>
      </c>
      <c r="AF20" s="160">
        <f ca="1">IF(N(C20)&gt;0,ROUND(AE20*VLOOKUP(C20,' Pessoal'!$A$2:$M$34,9),2),"")</f>
        <v>86.21</v>
      </c>
      <c r="AG20" s="162">
        <v>0.08</v>
      </c>
      <c r="AH20" s="160">
        <f t="shared" si="7"/>
        <v>74.16</v>
      </c>
      <c r="AI20" s="301">
        <v>0</v>
      </c>
      <c r="AJ20" s="160">
        <f t="shared" si="8"/>
        <v>160.37</v>
      </c>
      <c r="AK20" s="160">
        <f t="shared" si="9"/>
        <v>907.65</v>
      </c>
      <c r="AL20" s="160">
        <f t="shared" si="20"/>
        <v>3708</v>
      </c>
      <c r="AM20" s="163">
        <f>AH20+AM15</f>
        <v>296.64</v>
      </c>
      <c r="AN20" s="302">
        <f t="shared" si="21"/>
        <v>344.84</v>
      </c>
      <c r="AO20" s="7">
        <f>SUM(AH20:AH24)</f>
        <v>74.16</v>
      </c>
      <c r="AP20" s="7">
        <f>AE20</f>
        <v>927</v>
      </c>
      <c r="AQ20" s="7">
        <f>AP20*0.2125</f>
        <v>196.98749999999998</v>
      </c>
      <c r="AR20" s="7">
        <f>SUM(AE21:AE24)</f>
        <v>1035</v>
      </c>
      <c r="AS20" s="7">
        <f>ROUND(AR20*0.2375,2)-$AE23*0.01</f>
        <v>240.96</v>
      </c>
      <c r="AT20" s="7">
        <f>AK20</f>
        <v>907.65</v>
      </c>
      <c r="AU20" s="7">
        <f>ROUND(SUM(AK21:AK24),2)</f>
        <v>1203.19</v>
      </c>
      <c r="AV20" s="7">
        <f>ROUND(AP20*0.3125+AR20*0.3475,2)-$AE23*0.01</f>
        <v>644.5</v>
      </c>
      <c r="AW20" s="7">
        <f>AD20</f>
        <v>1068.02</v>
      </c>
      <c r="AX20" s="7">
        <f>SUM(AD21:AD24)</f>
        <v>1317.04</v>
      </c>
    </row>
    <row r="21" spans="1:50" s="73" customFormat="1">
      <c r="A21" s="66">
        <v>17</v>
      </c>
      <c r="B21" s="303">
        <f>B20</f>
        <v>40663</v>
      </c>
      <c r="C21" s="304">
        <v>2</v>
      </c>
      <c r="D21" s="305" t="str">
        <f ca="1">IF(N(C21)&gt;0,IF(N(C21)&lt;34,VLOOKUP('Tabela Final'!C21,' Pessoal'!$A$2:$B$34,2),""),"")</f>
        <v>Nuno</v>
      </c>
      <c r="E21" s="305" t="str">
        <f ca="1">IF(N(C21)&gt;0,IF(N(C21)&lt;34,VLOOKUP(C21,' Pessoal'!$A$2:$C$34,3),""),"")</f>
        <v>Ajud. Electricista</v>
      </c>
      <c r="F21" s="306">
        <v>0</v>
      </c>
      <c r="G21" s="307">
        <v>22</v>
      </c>
      <c r="H21" s="304">
        <f t="shared" si="11"/>
        <v>40</v>
      </c>
      <c r="I21" s="308">
        <f>IF(N(H21)&gt;0,(H21*52)/12,"")</f>
        <v>173.33333333333334</v>
      </c>
      <c r="J21" s="306">
        <f t="shared" si="0"/>
        <v>0</v>
      </c>
      <c r="K21" s="309"/>
      <c r="L21" s="308">
        <f t="shared" si="1"/>
        <v>0</v>
      </c>
      <c r="M21" s="309"/>
      <c r="N21" s="308">
        <f t="shared" si="2"/>
        <v>0</v>
      </c>
      <c r="O21" s="306">
        <f t="shared" si="3"/>
        <v>0</v>
      </c>
      <c r="P21" s="310"/>
      <c r="Q21" s="310"/>
      <c r="R21" s="310"/>
      <c r="S21" s="311" t="str">
        <f>IF(N(P21)&gt;0,P21*ROUND((J21+($P$4*J21)),2),"")</f>
        <v/>
      </c>
      <c r="T21" s="311" t="str">
        <f>IF(N(Q21)&gt;0,Q21*ROUND((J21+($Q$4*J21)),2),"")</f>
        <v/>
      </c>
      <c r="U21" s="311" t="str">
        <f>IF(N(R21)&gt;0,R21*ROUND((J21+($R$4*J21)),2),"")</f>
        <v/>
      </c>
      <c r="V21" s="312">
        <f>IF(N(C21)&gt;0,SUM(S21:U21),"")</f>
        <v>0</v>
      </c>
      <c r="W21" s="313"/>
      <c r="X21" s="312">
        <f>IF(N(C21)&gt;0,V21+W21,"")</f>
        <v>0</v>
      </c>
      <c r="Y21" s="314">
        <f ca="1">IF(N(C21)&gt;0,VLOOKUP(C21,' Pessoal'!$A$2:$M$34,10),"")</f>
        <v>0</v>
      </c>
      <c r="Z21" s="314">
        <v>0</v>
      </c>
      <c r="AA21" s="314">
        <f>IF(N(C21)&gt;0,V21,"")</f>
        <v>0</v>
      </c>
      <c r="AB21" s="313"/>
      <c r="AC21" s="315">
        <f>IF(N(C21)&gt;0,V21,"")</f>
        <v>0</v>
      </c>
      <c r="AD21" s="314">
        <f t="shared" ref="AD21:AD26" si="25">IF(N(C21)&gt;0,ROUND(SUM(X21+F21+Z21+AA21+AB21+AC21)-O21,2),"")</f>
        <v>0</v>
      </c>
      <c r="AE21" s="314">
        <f>IF(N(C21)&gt;0,(ROUND(IF((Y21)&gt;6.41,((Y21-6.41)*G22+F21+AA21+AB21+AC21-O21),F21+AA21+AB21+AC21-O21),2))," ")</f>
        <v>0</v>
      </c>
      <c r="AF21" s="314">
        <f ca="1">IF(N(C21)&gt;0,ROUND(AE21*VLOOKUP(C21,' Pessoal'!$A$2:$M$34,9),2),"")</f>
        <v>0</v>
      </c>
      <c r="AG21" s="316">
        <v>0</v>
      </c>
      <c r="AH21" s="314">
        <f>IF(N(C21)&gt;0,ROUND(AE21*AG21,2),"")</f>
        <v>0</v>
      </c>
      <c r="AI21" s="317">
        <v>0</v>
      </c>
      <c r="AJ21" s="314">
        <f t="shared" si="8"/>
        <v>0</v>
      </c>
      <c r="AK21" s="314">
        <f t="shared" si="9"/>
        <v>0</v>
      </c>
      <c r="AL21" s="314">
        <f t="shared" si="20"/>
        <v>0</v>
      </c>
      <c r="AM21" s="318">
        <f t="shared" si="22"/>
        <v>0</v>
      </c>
      <c r="AN21" s="319">
        <f t="shared" si="21"/>
        <v>0</v>
      </c>
      <c r="AO21" s="7"/>
      <c r="AP21" s="7"/>
      <c r="AQ21" s="7"/>
      <c r="AR21" s="7"/>
      <c r="AS21" s="7"/>
      <c r="AT21" s="7"/>
      <c r="AU21" s="7"/>
      <c r="AV21" s="7"/>
      <c r="AW21" s="7"/>
      <c r="AX21" s="7"/>
    </row>
    <row r="22" spans="1:50" s="73" customFormat="1">
      <c r="A22" s="66">
        <v>18</v>
      </c>
      <c r="B22" s="303">
        <f>B21</f>
        <v>40663</v>
      </c>
      <c r="C22" s="304">
        <v>3</v>
      </c>
      <c r="D22" s="305" t="str">
        <f ca="1">IF(N(C22)&gt;0,IF(N(C22)&lt;34,VLOOKUP('Tabela Final'!C22,' Pessoal'!$A$2:$B$34,2),""),"")</f>
        <v>Fábio</v>
      </c>
      <c r="E22" s="305" t="str">
        <f ca="1">IF(N(C22)&gt;0,IF(N(C22)&lt;34,VLOOKUP(C22,' Pessoal'!$A$2:$C$34,3),""),"")</f>
        <v>Ajud. Electricista</v>
      </c>
      <c r="F22" s="306">
        <v>0</v>
      </c>
      <c r="G22" s="307">
        <v>22</v>
      </c>
      <c r="H22" s="304">
        <f t="shared" si="11"/>
        <v>40</v>
      </c>
      <c r="I22" s="308">
        <f>IF(N(H22)&gt;0,(H22*52)/12,"")</f>
        <v>173.33333333333334</v>
      </c>
      <c r="J22" s="306">
        <f t="shared" si="0"/>
        <v>0</v>
      </c>
      <c r="K22" s="309"/>
      <c r="L22" s="308">
        <f t="shared" si="1"/>
        <v>0</v>
      </c>
      <c r="M22" s="309"/>
      <c r="N22" s="308">
        <f t="shared" si="2"/>
        <v>0</v>
      </c>
      <c r="O22" s="306">
        <f t="shared" si="3"/>
        <v>0</v>
      </c>
      <c r="P22" s="310"/>
      <c r="Q22" s="310"/>
      <c r="R22" s="310"/>
      <c r="S22" s="311" t="str">
        <f>IF(N(P22)&gt;0,P22*ROUND((J22+($P$4*J22)),2),"")</f>
        <v/>
      </c>
      <c r="T22" s="311" t="str">
        <f>IF(N(Q22)&gt;0,Q22*ROUND((J22+($Q$4*J22)),2),"")</f>
        <v/>
      </c>
      <c r="U22" s="311" t="str">
        <f>IF(N(R22)&gt;0,R22*ROUND((J22+($R$4*J22)),2),"")</f>
        <v/>
      </c>
      <c r="V22" s="312">
        <f>IF(N(C22)&gt;0,SUM(S22:U22),"")</f>
        <v>0</v>
      </c>
      <c r="W22" s="313"/>
      <c r="X22" s="312">
        <f>IF(N(C22)&gt;0,V22+W22,"")</f>
        <v>0</v>
      </c>
      <c r="Y22" s="314">
        <f ca="1">IF(N(C22)&gt;0,VLOOKUP(C22,' Pessoal'!$A$2:$M$34,10),"")</f>
        <v>0</v>
      </c>
      <c r="Z22" s="314">
        <v>0</v>
      </c>
      <c r="AA22" s="314">
        <f>IF(N(C22)&gt;0,V22,"")</f>
        <v>0</v>
      </c>
      <c r="AB22" s="313"/>
      <c r="AC22" s="315">
        <f>IF(N(C22)&gt;0,V22,"")</f>
        <v>0</v>
      </c>
      <c r="AD22" s="314">
        <f t="shared" si="25"/>
        <v>0</v>
      </c>
      <c r="AE22" s="314">
        <f>IF(N(C22)&gt;0,(ROUND(IF((Y22)&gt;6.41,((Y22-6.41)*G23+F22+AA22+AB22+AC22-O22),F22+AA22+AB22+AC22-O22),2))," ")</f>
        <v>0</v>
      </c>
      <c r="AF22" s="314">
        <f ca="1">IF(N(C22)&gt;0,ROUND(AE22*VLOOKUP(C22,' Pessoal'!$A$2:$M$34,9),2),"")</f>
        <v>0</v>
      </c>
      <c r="AG22" s="316">
        <v>0</v>
      </c>
      <c r="AH22" s="314">
        <f>IF(N(C22)&gt;0,ROUND(AE22*AG22,2),"")</f>
        <v>0</v>
      </c>
      <c r="AI22" s="317">
        <v>0</v>
      </c>
      <c r="AJ22" s="314">
        <f t="shared" si="8"/>
        <v>0</v>
      </c>
      <c r="AK22" s="314">
        <f t="shared" si="9"/>
        <v>0</v>
      </c>
      <c r="AL22" s="314">
        <f t="shared" si="20"/>
        <v>0</v>
      </c>
      <c r="AM22" s="318">
        <f t="shared" si="22"/>
        <v>0</v>
      </c>
      <c r="AN22" s="319">
        <f t="shared" si="21"/>
        <v>0</v>
      </c>
      <c r="AO22" s="67"/>
      <c r="AP22" s="67"/>
      <c r="AQ22" s="67"/>
      <c r="AR22" s="67"/>
      <c r="AS22" s="67"/>
      <c r="AT22" s="67"/>
      <c r="AU22" s="67"/>
      <c r="AV22" s="67"/>
      <c r="AW22" s="67"/>
      <c r="AX22" s="67"/>
    </row>
    <row r="23" spans="1:50">
      <c r="A23" s="45">
        <v>19</v>
      </c>
      <c r="B23" s="164">
        <f>B22</f>
        <v>40663</v>
      </c>
      <c r="C23" s="165">
        <v>4</v>
      </c>
      <c r="D23" s="166" t="str">
        <f ca="1">IF(N(C23)&gt;0,IF(N(C23)&lt;34,VLOOKUP('Tabela Final'!C23,' Pessoal'!$A$2:$B$34,2),""),"")</f>
        <v>Carlos</v>
      </c>
      <c r="E23" s="166" t="str">
        <f ca="1">IF(N(C23)&gt;0,IF(N(C23)&lt;34,VLOOKUP(C23,' Pessoal'!$A$2:$C$34,3),""),"")</f>
        <v>Ajud. Electricista</v>
      </c>
      <c r="F23" s="167">
        <f ca="1">IF(N(C23)&gt;0,IF(N(C23)&lt;34,VLOOKUP(C23,' Pessoal'!$A$2:$M$34,4)),"")</f>
        <v>485</v>
      </c>
      <c r="G23" s="168">
        <v>22</v>
      </c>
      <c r="H23" s="165">
        <f t="shared" si="11"/>
        <v>40</v>
      </c>
      <c r="I23" s="169">
        <f>IF(N(H23)&gt;0,(H23*52)/12,"")</f>
        <v>173.33333333333334</v>
      </c>
      <c r="J23" s="167">
        <f t="shared" si="0"/>
        <v>2.8</v>
      </c>
      <c r="K23" s="170"/>
      <c r="L23" s="169">
        <f t="shared" si="1"/>
        <v>0</v>
      </c>
      <c r="M23" s="170"/>
      <c r="N23" s="169">
        <f t="shared" si="2"/>
        <v>0</v>
      </c>
      <c r="O23" s="167">
        <f t="shared" si="3"/>
        <v>0</v>
      </c>
      <c r="P23" s="171"/>
      <c r="Q23" s="171"/>
      <c r="R23" s="171"/>
      <c r="S23" s="172" t="str">
        <f>IF(N(P23)&gt;0,P23*ROUND((J23+($P$4*J23)),2),"")</f>
        <v/>
      </c>
      <c r="T23" s="172" t="str">
        <f>IF(N(Q23)&gt;0,Q23*ROUND((J23+($Q$4*J23)),2),"")</f>
        <v/>
      </c>
      <c r="U23" s="172" t="str">
        <f>IF(N(R23)&gt;0,R23*ROUND((J23+($R$4*J23)),2),"")</f>
        <v/>
      </c>
      <c r="V23" s="173">
        <f>IF(N(C23)&gt;0,SUM(S23:U23),"")</f>
        <v>0</v>
      </c>
      <c r="W23" s="174"/>
      <c r="X23" s="173">
        <f>IF(N(C23)&gt;0,V23+W23,"")</f>
        <v>0</v>
      </c>
      <c r="Y23" s="175">
        <f ca="1">IF(N(C23)&gt;0,VLOOKUP(C23,' Pessoal'!$A$2:$M$34,10),"")</f>
        <v>6.41</v>
      </c>
      <c r="Z23" s="175">
        <f>IF(N(C23)&gt;0,(G23*Y23),"")</f>
        <v>141.02000000000001</v>
      </c>
      <c r="AA23" s="175">
        <f>IF(N(C23)&gt;0,V23,"")</f>
        <v>0</v>
      </c>
      <c r="AB23" s="174"/>
      <c r="AC23" s="320">
        <f>IF(N(C23)&gt;0,V23,"")</f>
        <v>0</v>
      </c>
      <c r="AD23" s="175">
        <f t="shared" si="25"/>
        <v>626.02</v>
      </c>
      <c r="AE23" s="175">
        <f>IF(N(C23)&gt;0,(ROUND(IF((Y23)&gt;6.41,((Y23-6.41)*G24+F23+AA23+AB23+AC23-O23),F23+AA23+AB23+AC23-O23),2))," ")</f>
        <v>485</v>
      </c>
      <c r="AF23" s="175">
        <f ca="1">IF(N(C23)&gt;0,ROUND(AE23*VLOOKUP(C23,' Pessoal'!$A$2:$M$34,9),2),"")</f>
        <v>53.35</v>
      </c>
      <c r="AG23" s="176">
        <v>0</v>
      </c>
      <c r="AH23" s="175">
        <f>IF(N(C23)&gt;0,ROUND(AE23*AG23,2),"")</f>
        <v>0</v>
      </c>
      <c r="AI23" s="321">
        <v>0</v>
      </c>
      <c r="AJ23" s="175">
        <f t="shared" si="8"/>
        <v>53.35</v>
      </c>
      <c r="AK23" s="175">
        <f t="shared" si="9"/>
        <v>572.66999999999996</v>
      </c>
      <c r="AL23" s="175">
        <f t="shared" si="20"/>
        <v>1980</v>
      </c>
      <c r="AM23" s="177">
        <f t="shared" si="22"/>
        <v>0</v>
      </c>
      <c r="AN23" s="322">
        <f t="shared" si="21"/>
        <v>217.79999999999998</v>
      </c>
      <c r="AO23" s="7"/>
      <c r="AP23" s="7"/>
      <c r="AQ23" s="7"/>
      <c r="AR23" s="7"/>
      <c r="AS23" s="7"/>
      <c r="AT23" s="7"/>
      <c r="AU23" s="7"/>
      <c r="AV23" s="7"/>
      <c r="AW23" s="7"/>
      <c r="AX23" s="7"/>
    </row>
    <row r="24" spans="1:50" s="193" customFormat="1" ht="12" thickBot="1">
      <c r="A24" s="69">
        <v>20</v>
      </c>
      <c r="B24" s="179">
        <f>B23</f>
        <v>40663</v>
      </c>
      <c r="C24" s="180">
        <v>5</v>
      </c>
      <c r="D24" s="181" t="str">
        <f ca="1">IF(N(C24)&gt;0,IF(N(C24)&lt;34,VLOOKUP('Tabela Final'!C24,' Pessoal'!$A$2:$B$34,2),""),"")</f>
        <v>André</v>
      </c>
      <c r="E24" s="181" t="str">
        <f ca="1">IF(N(C24)&gt;0,IF(N(C24)&lt;34,VLOOKUP(C24,' Pessoal'!$A$2:$C$34,3),""),"")</f>
        <v>Ajud. Electricista</v>
      </c>
      <c r="F24" s="182">
        <f ca="1">IF(N(C24)&gt;0,IF(N(C24)&lt;34,VLOOKUP(C24,' Pessoal'!$A$2:$M$34,4)),"")</f>
        <v>550</v>
      </c>
      <c r="G24" s="183">
        <v>22</v>
      </c>
      <c r="H24" s="180">
        <f t="shared" si="11"/>
        <v>40</v>
      </c>
      <c r="I24" s="184">
        <f>IF(N(H24)&gt;0,(H24*52)/12,"")</f>
        <v>173.33333333333334</v>
      </c>
      <c r="J24" s="182">
        <f t="shared" si="0"/>
        <v>3.17</v>
      </c>
      <c r="K24" s="185"/>
      <c r="L24" s="184">
        <f t="shared" si="1"/>
        <v>0</v>
      </c>
      <c r="M24" s="185"/>
      <c r="N24" s="184">
        <f t="shared" si="2"/>
        <v>0</v>
      </c>
      <c r="O24" s="182">
        <f t="shared" si="3"/>
        <v>0</v>
      </c>
      <c r="P24" s="186"/>
      <c r="Q24" s="186"/>
      <c r="R24" s="186"/>
      <c r="S24" s="187" t="str">
        <f>IF(N(P24)&gt;0,P24*ROUND((J24+($P$4*J24)),2),"")</f>
        <v/>
      </c>
      <c r="T24" s="187" t="str">
        <f>IF(N(Q24)&gt;0,Q24*ROUND((J24+($Q$4*J24)),2),"")</f>
        <v/>
      </c>
      <c r="U24" s="187" t="str">
        <f>IF(N(R24)&gt;0,R24*ROUND((J24+($R$4*J24)),2),"")</f>
        <v/>
      </c>
      <c r="V24" s="188">
        <f>IF(N(C24)&gt;0,SUM(S24:U24),"")</f>
        <v>0</v>
      </c>
      <c r="W24" s="189"/>
      <c r="X24" s="188">
        <f>IF(N(C24)&gt;0,V24+W24,"")</f>
        <v>0</v>
      </c>
      <c r="Y24" s="161">
        <f ca="1">IF(N(C24)&gt;0,VLOOKUP(C24,' Pessoal'!$A$2:$M$34,10),"")</f>
        <v>6.41</v>
      </c>
      <c r="Z24" s="161">
        <f>IF(N(C24)&gt;0,(G24*Y24),"")</f>
        <v>141.02000000000001</v>
      </c>
      <c r="AA24" s="161">
        <f>IF(N(C24)&gt;0,V24,"")</f>
        <v>0</v>
      </c>
      <c r="AB24" s="189"/>
      <c r="AC24" s="323">
        <f>IF(N(C24)&gt;0,V24,"")</f>
        <v>0</v>
      </c>
      <c r="AD24" s="161">
        <f t="shared" si="25"/>
        <v>691.02</v>
      </c>
      <c r="AE24" s="161">
        <f>IF(N(C24)&gt;0,(ROUND(IF((Y24)&gt;6.41,((Y24-6.41)*G25+F24+AA24+AB24+AC24-O24),F24+AA24+AB24+AC24-O24),2))," ")</f>
        <v>550</v>
      </c>
      <c r="AF24" s="161">
        <f ca="1">IF(N(C24)&gt;0,ROUND(AE24*VLOOKUP(C24,' Pessoal'!$A$2:$M$34,9),2),"")</f>
        <v>60.5</v>
      </c>
      <c r="AG24" s="190">
        <v>0</v>
      </c>
      <c r="AH24" s="161">
        <f>IF(N(C24)&gt;0,ROUND(AE24*AG24,2),"")</f>
        <v>0</v>
      </c>
      <c r="AI24" s="324">
        <v>0</v>
      </c>
      <c r="AJ24" s="161">
        <f t="shared" si="8"/>
        <v>60.5</v>
      </c>
      <c r="AK24" s="161">
        <f t="shared" si="9"/>
        <v>630.52</v>
      </c>
      <c r="AL24" s="161">
        <f t="shared" si="20"/>
        <v>2200</v>
      </c>
      <c r="AM24" s="191">
        <f t="shared" si="22"/>
        <v>0</v>
      </c>
      <c r="AN24" s="325">
        <f t="shared" si="21"/>
        <v>242</v>
      </c>
      <c r="AO24" s="192"/>
      <c r="AP24" s="192"/>
      <c r="AQ24" s="192"/>
      <c r="AR24" s="192"/>
      <c r="AS24" s="192"/>
      <c r="AT24" s="192"/>
      <c r="AU24" s="192"/>
      <c r="AV24" s="192"/>
      <c r="AW24" s="192"/>
      <c r="AX24" s="192"/>
    </row>
    <row r="25" spans="1:50">
      <c r="A25" s="68">
        <v>21</v>
      </c>
      <c r="B25" s="219">
        <v>40694</v>
      </c>
      <c r="C25" s="220">
        <v>1</v>
      </c>
      <c r="D25" s="221" t="str">
        <f ca="1">IF(N(C25)&gt;0,IF(N(C25)&lt;34,VLOOKUP('Tabela Final'!C25,' Pessoal'!$A$2:$B$34,2),""),"")</f>
        <v>Susana</v>
      </c>
      <c r="E25" s="221" t="str">
        <f ca="1">IF(N(C25)&gt;0,IF(N(C25)&lt;34,VLOOKUP(C25,' Pessoal'!$A$2:$C$34,3),""),"")</f>
        <v>Gerente</v>
      </c>
      <c r="F25" s="222">
        <f ca="1">IF(N(C25)&gt;0,IF(N(C25)&lt;34,VLOOKUP(C25,' Pessoal'!$A$2:$M$34,4)),"")</f>
        <v>927</v>
      </c>
      <c r="G25" s="223">
        <v>22</v>
      </c>
      <c r="H25" s="220">
        <f t="shared" si="11"/>
        <v>40</v>
      </c>
      <c r="I25" s="225">
        <f t="shared" si="12"/>
        <v>173.33333333333334</v>
      </c>
      <c r="J25" s="222">
        <f t="shared" si="0"/>
        <v>5.35</v>
      </c>
      <c r="K25" s="226"/>
      <c r="L25" s="225">
        <f t="shared" si="1"/>
        <v>0</v>
      </c>
      <c r="M25" s="226"/>
      <c r="N25" s="225">
        <f t="shared" si="2"/>
        <v>0</v>
      </c>
      <c r="O25" s="222">
        <f t="shared" si="3"/>
        <v>0</v>
      </c>
      <c r="P25" s="227"/>
      <c r="Q25" s="227"/>
      <c r="R25" s="227"/>
      <c r="S25" s="228" t="str">
        <f t="shared" si="23"/>
        <v/>
      </c>
      <c r="T25" s="228" t="str">
        <f t="shared" si="24"/>
        <v/>
      </c>
      <c r="U25" s="228" t="str">
        <f t="shared" si="13"/>
        <v/>
      </c>
      <c r="V25" s="229">
        <f t="shared" si="14"/>
        <v>0</v>
      </c>
      <c r="W25" s="230"/>
      <c r="X25" s="229">
        <f t="shared" si="15"/>
        <v>0</v>
      </c>
      <c r="Y25" s="231">
        <f ca="1">IF(N(C25)&gt;0,VLOOKUP(C25,' Pessoal'!$A$2:$M$34,10),"")</f>
        <v>6.41</v>
      </c>
      <c r="Z25" s="231">
        <f t="shared" si="6"/>
        <v>141.02000000000001</v>
      </c>
      <c r="AA25" s="231">
        <f t="shared" si="16"/>
        <v>0</v>
      </c>
      <c r="AB25" s="230"/>
      <c r="AC25" s="290">
        <f t="shared" si="17"/>
        <v>0</v>
      </c>
      <c r="AD25" s="231">
        <f t="shared" si="25"/>
        <v>1068.02</v>
      </c>
      <c r="AE25" s="231">
        <f t="shared" si="19"/>
        <v>927</v>
      </c>
      <c r="AF25" s="231">
        <f ca="1">IF(N(C25)&gt;0,ROUND(AE25*VLOOKUP(C25,' Pessoal'!$A$2:$M$34,9),2),"")</f>
        <v>86.21</v>
      </c>
      <c r="AG25" s="233">
        <v>0.08</v>
      </c>
      <c r="AH25" s="231">
        <f t="shared" si="7"/>
        <v>74.16</v>
      </c>
      <c r="AI25" s="234">
        <v>0</v>
      </c>
      <c r="AJ25" s="231">
        <f t="shared" si="8"/>
        <v>160.37</v>
      </c>
      <c r="AK25" s="231">
        <f t="shared" si="9"/>
        <v>907.65</v>
      </c>
      <c r="AL25" s="231">
        <f t="shared" si="20"/>
        <v>4635</v>
      </c>
      <c r="AM25" s="235">
        <f>AH25+AM20+AH65</f>
        <v>444.95999999999992</v>
      </c>
      <c r="AN25" s="236">
        <f>AF25+AN20</f>
        <v>431.04999999999995</v>
      </c>
      <c r="AO25" s="7">
        <f>SUM(AH25:AH29)</f>
        <v>74.16</v>
      </c>
      <c r="AP25" s="7">
        <f>AE25</f>
        <v>927</v>
      </c>
      <c r="AQ25" s="7">
        <f>AP25*0.2125</f>
        <v>196.98749999999998</v>
      </c>
      <c r="AR25" s="7">
        <f>SUM(AE26:AE29)</f>
        <v>1035</v>
      </c>
      <c r="AS25" s="7">
        <f>ROUND(AR25*0.2375,2)-$AE28*0.01</f>
        <v>240.96</v>
      </c>
      <c r="AT25" s="7">
        <f>AK25</f>
        <v>907.65</v>
      </c>
      <c r="AU25" s="7">
        <f>ROUND(SUM(AK26:AK29),2)</f>
        <v>1203.19</v>
      </c>
      <c r="AV25" s="7">
        <f>ROUND(AP25*0.3125+AR25*0.3475,2)-$AE28*0.01</f>
        <v>644.5</v>
      </c>
      <c r="AW25" s="7">
        <f>AD25</f>
        <v>1068.02</v>
      </c>
      <c r="AX25" s="7">
        <f>SUM(AD26:AD29)</f>
        <v>1317.04</v>
      </c>
    </row>
    <row r="26" spans="1:50" s="73" customFormat="1">
      <c r="A26" s="66">
        <v>22</v>
      </c>
      <c r="B26" s="237">
        <f>B25</f>
        <v>40694</v>
      </c>
      <c r="C26" s="238">
        <v>2</v>
      </c>
      <c r="D26" s="239" t="str">
        <f ca="1">IF(N(C26)&gt;0,IF(N(C26)&lt;34,VLOOKUP('Tabela Final'!C26,' Pessoal'!$A$2:$B$34,2),""),"")</f>
        <v>Nuno</v>
      </c>
      <c r="E26" s="239" t="str">
        <f ca="1">IF(N(C26)&gt;0,IF(N(C26)&lt;34,VLOOKUP(C26,' Pessoal'!$A$2:$C$34,3),""),"")</f>
        <v>Ajud. Electricista</v>
      </c>
      <c r="F26" s="240">
        <f ca="1">IF(N(C26)&gt;0,IF(N(C26)&lt;34,VLOOKUP(C26,' Pessoal'!$A$2:$M$34,4)),"")</f>
        <v>0</v>
      </c>
      <c r="G26" s="241">
        <v>22</v>
      </c>
      <c r="H26" s="238">
        <f t="shared" si="11"/>
        <v>40</v>
      </c>
      <c r="I26" s="242">
        <f t="shared" si="12"/>
        <v>173.33333333333334</v>
      </c>
      <c r="J26" s="240">
        <f t="shared" si="0"/>
        <v>0</v>
      </c>
      <c r="K26" s="243"/>
      <c r="L26" s="242">
        <f t="shared" si="1"/>
        <v>0</v>
      </c>
      <c r="M26" s="243"/>
      <c r="N26" s="242">
        <f t="shared" si="2"/>
        <v>0</v>
      </c>
      <c r="O26" s="240">
        <f t="shared" si="3"/>
        <v>0</v>
      </c>
      <c r="P26" s="244"/>
      <c r="Q26" s="244"/>
      <c r="R26" s="244"/>
      <c r="S26" s="245" t="str">
        <f t="shared" si="23"/>
        <v/>
      </c>
      <c r="T26" s="245" t="str">
        <f t="shared" si="24"/>
        <v/>
      </c>
      <c r="U26" s="245" t="str">
        <f t="shared" si="13"/>
        <v/>
      </c>
      <c r="V26" s="246">
        <f t="shared" si="14"/>
        <v>0</v>
      </c>
      <c r="W26" s="247"/>
      <c r="X26" s="246">
        <f t="shared" si="15"/>
        <v>0</v>
      </c>
      <c r="Y26" s="248">
        <f ca="1">IF(N(C26)&gt;0,VLOOKUP(C26,' Pessoal'!$A$2:$M$34,10),"")</f>
        <v>0</v>
      </c>
      <c r="Z26" s="248">
        <f t="shared" si="6"/>
        <v>0</v>
      </c>
      <c r="AA26" s="248">
        <f t="shared" si="16"/>
        <v>0</v>
      </c>
      <c r="AB26" s="247"/>
      <c r="AC26" s="249">
        <f t="shared" si="17"/>
        <v>0</v>
      </c>
      <c r="AD26" s="248">
        <f t="shared" si="25"/>
        <v>0</v>
      </c>
      <c r="AE26" s="248">
        <f t="shared" si="19"/>
        <v>0</v>
      </c>
      <c r="AF26" s="248">
        <f ca="1">IF(N(C26)&gt;0,ROUND(AE26*VLOOKUP(C26,' Pessoal'!$A$2:$M$34,9),2),"")</f>
        <v>0</v>
      </c>
      <c r="AG26" s="250">
        <v>0</v>
      </c>
      <c r="AH26" s="248">
        <f t="shared" si="7"/>
        <v>0</v>
      </c>
      <c r="AI26" s="251">
        <v>0</v>
      </c>
      <c r="AJ26" s="248">
        <f t="shared" si="8"/>
        <v>0</v>
      </c>
      <c r="AK26" s="248">
        <f t="shared" si="9"/>
        <v>0</v>
      </c>
      <c r="AL26" s="248">
        <f t="shared" si="20"/>
        <v>0</v>
      </c>
      <c r="AM26" s="255">
        <f t="shared" si="22"/>
        <v>0</v>
      </c>
      <c r="AN26" s="254">
        <f t="shared" si="21"/>
        <v>0</v>
      </c>
      <c r="AO26" s="67"/>
      <c r="AP26" s="67"/>
      <c r="AQ26" s="67"/>
      <c r="AR26" s="67"/>
      <c r="AS26" s="67"/>
      <c r="AT26" s="67"/>
      <c r="AU26" s="67"/>
      <c r="AV26" s="67"/>
      <c r="AW26" s="67"/>
      <c r="AX26" s="67"/>
    </row>
    <row r="27" spans="1:50" s="73" customFormat="1">
      <c r="A27" s="66">
        <v>23</v>
      </c>
      <c r="B27" s="237">
        <f>B26</f>
        <v>40694</v>
      </c>
      <c r="C27" s="238">
        <v>3</v>
      </c>
      <c r="D27" s="239" t="str">
        <f ca="1">IF(N(C27)&gt;0,IF(N(C27)&lt;34,VLOOKUP('Tabela Final'!C27,' Pessoal'!$A$2:$B$34,2),""),"")</f>
        <v>Fábio</v>
      </c>
      <c r="E27" s="239" t="str">
        <f ca="1">IF(N(C27)&gt;0,IF(N(C27)&lt;34,VLOOKUP(C27,' Pessoal'!$A$2:$C$34,3),""),"")</f>
        <v>Ajud. Electricista</v>
      </c>
      <c r="F27" s="240">
        <f ca="1">IF(N(C27)&gt;0,IF(N(C27)&lt;34,VLOOKUP(C27,' Pessoal'!$A$2:$M$34,4)),"")</f>
        <v>0</v>
      </c>
      <c r="G27" s="241">
        <v>22</v>
      </c>
      <c r="H27" s="238">
        <f t="shared" ref="H27:H39" si="26">IF(N(C27)&gt;0,$H$5,"")</f>
        <v>40</v>
      </c>
      <c r="I27" s="242">
        <f>IF(N(H27)&gt;0,(H27*52)/12,"")</f>
        <v>173.33333333333334</v>
      </c>
      <c r="J27" s="240">
        <f t="shared" ref="J27:J39" si="27">IF(N(C27)&gt;0,ROUND((F27/I27),2),"")</f>
        <v>0</v>
      </c>
      <c r="K27" s="243"/>
      <c r="L27" s="242">
        <f t="shared" ref="L27:L35" si="28">IF(N(C27)&gt;0,K27*((ROUND(I27/30,2)*J27)),"")</f>
        <v>0</v>
      </c>
      <c r="M27" s="243"/>
      <c r="N27" s="242">
        <f t="shared" ref="N27:N35" si="29">IF(N(C27)&gt;0,(M27*J27),"")</f>
        <v>0</v>
      </c>
      <c r="O27" s="240">
        <f t="shared" ref="O27:O35" si="30">IF(N(C27)&gt;0,ROUND(L27+N27,2),"")</f>
        <v>0</v>
      </c>
      <c r="P27" s="244"/>
      <c r="Q27" s="244"/>
      <c r="R27" s="244"/>
      <c r="S27" s="245" t="str">
        <f t="shared" si="23"/>
        <v/>
      </c>
      <c r="T27" s="245" t="str">
        <f t="shared" si="24"/>
        <v/>
      </c>
      <c r="U27" s="245" t="str">
        <f t="shared" si="13"/>
        <v/>
      </c>
      <c r="V27" s="246">
        <f t="shared" si="14"/>
        <v>0</v>
      </c>
      <c r="W27" s="247"/>
      <c r="X27" s="246">
        <f t="shared" si="15"/>
        <v>0</v>
      </c>
      <c r="Y27" s="248">
        <f ca="1">IF(N(C27)&gt;0,VLOOKUP(C27,' Pessoal'!$A$2:$M$34,10),"")</f>
        <v>0</v>
      </c>
      <c r="Z27" s="248">
        <f t="shared" si="6"/>
        <v>0</v>
      </c>
      <c r="AA27" s="248">
        <f t="shared" si="16"/>
        <v>0</v>
      </c>
      <c r="AB27" s="247"/>
      <c r="AC27" s="249">
        <f t="shared" si="17"/>
        <v>0</v>
      </c>
      <c r="AD27" s="248">
        <f t="shared" si="18"/>
        <v>0</v>
      </c>
      <c r="AE27" s="248">
        <f t="shared" si="19"/>
        <v>0</v>
      </c>
      <c r="AF27" s="248">
        <f ca="1">IF(N(C27)&gt;0,ROUND(AE27*VLOOKUP(C27,' Pessoal'!$A$2:$M$34,9),2),"")</f>
        <v>0</v>
      </c>
      <c r="AG27" s="250">
        <v>0</v>
      </c>
      <c r="AH27" s="248">
        <f t="shared" si="7"/>
        <v>0</v>
      </c>
      <c r="AI27" s="251">
        <v>0</v>
      </c>
      <c r="AJ27" s="248">
        <f t="shared" si="8"/>
        <v>0</v>
      </c>
      <c r="AK27" s="248">
        <f t="shared" si="9"/>
        <v>0</v>
      </c>
      <c r="AL27" s="248">
        <f t="shared" ref="AL27:AL40" si="31">AE27+AL22</f>
        <v>0</v>
      </c>
      <c r="AM27" s="255">
        <f t="shared" ref="AM27:AM40" si="32">AH27+AM22</f>
        <v>0</v>
      </c>
      <c r="AN27" s="254">
        <f t="shared" ref="AN27:AN40" si="33">AF27+AN22</f>
        <v>0</v>
      </c>
      <c r="AO27" s="67"/>
      <c r="AP27" s="67"/>
      <c r="AQ27" s="67"/>
      <c r="AR27" s="67"/>
      <c r="AS27" s="67"/>
      <c r="AT27" s="67"/>
      <c r="AU27" s="67"/>
      <c r="AV27" s="67"/>
      <c r="AW27" s="67"/>
      <c r="AX27" s="67"/>
    </row>
    <row r="28" spans="1:50">
      <c r="A28" s="45">
        <v>24</v>
      </c>
      <c r="B28" s="256">
        <f>B27</f>
        <v>40694</v>
      </c>
      <c r="C28" s="257">
        <v>4</v>
      </c>
      <c r="D28" s="258" t="str">
        <f ca="1">IF(N(C28)&gt;0,IF(N(C28)&lt;34,VLOOKUP('Tabela Final'!C28,' Pessoal'!$A$2:$B$34,2),""),"")</f>
        <v>Carlos</v>
      </c>
      <c r="E28" s="258" t="str">
        <f ca="1">IF(N(C28)&gt;0,IF(N(C28)&lt;34,VLOOKUP(C28,' Pessoal'!$A$2:$C$34,3),""),"")</f>
        <v>Ajud. Electricista</v>
      </c>
      <c r="F28" s="259">
        <f ca="1">IF(N(C28)&gt;0,IF(N(C28)&lt;34,VLOOKUP(C28,' Pessoal'!$A$2:$M$34,4)),"")</f>
        <v>485</v>
      </c>
      <c r="G28" s="260">
        <v>22</v>
      </c>
      <c r="H28" s="257">
        <f t="shared" si="26"/>
        <v>40</v>
      </c>
      <c r="I28" s="261">
        <f>IF(N(H28)&gt;0,(H28*52)/12,"")</f>
        <v>173.33333333333334</v>
      </c>
      <c r="J28" s="259">
        <f t="shared" si="27"/>
        <v>2.8</v>
      </c>
      <c r="K28" s="262"/>
      <c r="L28" s="261">
        <f t="shared" si="28"/>
        <v>0</v>
      </c>
      <c r="M28" s="262"/>
      <c r="N28" s="261">
        <f t="shared" si="29"/>
        <v>0</v>
      </c>
      <c r="O28" s="259">
        <f t="shared" si="30"/>
        <v>0</v>
      </c>
      <c r="P28" s="263"/>
      <c r="Q28" s="263"/>
      <c r="R28" s="263"/>
      <c r="S28" s="264" t="str">
        <f t="shared" si="23"/>
        <v/>
      </c>
      <c r="T28" s="264" t="str">
        <f t="shared" si="24"/>
        <v/>
      </c>
      <c r="U28" s="264" t="str">
        <f t="shared" si="13"/>
        <v/>
      </c>
      <c r="V28" s="265">
        <f t="shared" si="14"/>
        <v>0</v>
      </c>
      <c r="W28" s="266"/>
      <c r="X28" s="265">
        <f t="shared" si="15"/>
        <v>0</v>
      </c>
      <c r="Y28" s="267">
        <f ca="1">IF(N(C28)&gt;0,VLOOKUP(C28,' Pessoal'!$A$2:$M$34,10),"")</f>
        <v>6.41</v>
      </c>
      <c r="Z28" s="267">
        <f t="shared" si="6"/>
        <v>141.02000000000001</v>
      </c>
      <c r="AA28" s="267">
        <f t="shared" si="16"/>
        <v>0</v>
      </c>
      <c r="AB28" s="266"/>
      <c r="AC28" s="268">
        <f t="shared" si="17"/>
        <v>0</v>
      </c>
      <c r="AD28" s="267">
        <f t="shared" si="18"/>
        <v>626.02</v>
      </c>
      <c r="AE28" s="267">
        <f t="shared" si="19"/>
        <v>485</v>
      </c>
      <c r="AF28" s="267">
        <f ca="1">IF(N(C28)&gt;0,ROUND(AE28*VLOOKUP(C28,' Pessoal'!$A$2:$M$34,9),2),"")</f>
        <v>53.35</v>
      </c>
      <c r="AG28" s="269">
        <v>0</v>
      </c>
      <c r="AH28" s="267">
        <f t="shared" si="7"/>
        <v>0</v>
      </c>
      <c r="AI28" s="270">
        <v>0</v>
      </c>
      <c r="AJ28" s="267">
        <f t="shared" si="8"/>
        <v>53.35</v>
      </c>
      <c r="AK28" s="267">
        <f t="shared" si="9"/>
        <v>572.66999999999996</v>
      </c>
      <c r="AL28" s="267">
        <f t="shared" si="31"/>
        <v>2465</v>
      </c>
      <c r="AM28" s="271">
        <f t="shared" si="32"/>
        <v>0</v>
      </c>
      <c r="AN28" s="272">
        <f t="shared" si="33"/>
        <v>271.14999999999998</v>
      </c>
      <c r="AO28" s="7"/>
      <c r="AP28" s="7"/>
      <c r="AQ28" s="7"/>
      <c r="AR28" s="7"/>
      <c r="AS28" s="7"/>
      <c r="AT28" s="7"/>
      <c r="AU28" s="7"/>
      <c r="AV28" s="7"/>
      <c r="AW28" s="7"/>
      <c r="AX28" s="7"/>
    </row>
    <row r="29" spans="1:50" s="193" customFormat="1" ht="12" thickBot="1">
      <c r="A29" s="69">
        <v>25</v>
      </c>
      <c r="B29" s="273">
        <f>B28</f>
        <v>40694</v>
      </c>
      <c r="C29" s="274">
        <v>5</v>
      </c>
      <c r="D29" s="275" t="str">
        <f ca="1">IF(N(C29)&gt;0,IF(N(C29)&lt;34,VLOOKUP('Tabela Final'!C29,' Pessoal'!$A$2:$B$34,2),""),"")</f>
        <v>André</v>
      </c>
      <c r="E29" s="275" t="str">
        <f ca="1">IF(N(C29)&gt;0,IF(N(C29)&lt;34,VLOOKUP(C29,' Pessoal'!$A$2:$C$34,3),""),"")</f>
        <v>Ajud. Electricista</v>
      </c>
      <c r="F29" s="276">
        <f ca="1">IF(N(C29)&gt;0,IF(N(C29)&lt;34,VLOOKUP(C29,' Pessoal'!$A$2:$M$34,4)),"")</f>
        <v>550</v>
      </c>
      <c r="G29" s="277">
        <v>22</v>
      </c>
      <c r="H29" s="274">
        <f t="shared" si="26"/>
        <v>40</v>
      </c>
      <c r="I29" s="278">
        <f>IF(N(H29)&gt;0,(H29*52)/12,"")</f>
        <v>173.33333333333334</v>
      </c>
      <c r="J29" s="276">
        <f t="shared" si="27"/>
        <v>3.17</v>
      </c>
      <c r="K29" s="279"/>
      <c r="L29" s="278">
        <f t="shared" si="28"/>
        <v>0</v>
      </c>
      <c r="M29" s="279"/>
      <c r="N29" s="278">
        <f t="shared" si="29"/>
        <v>0</v>
      </c>
      <c r="O29" s="276">
        <f t="shared" si="30"/>
        <v>0</v>
      </c>
      <c r="P29" s="280"/>
      <c r="Q29" s="280"/>
      <c r="R29" s="280"/>
      <c r="S29" s="281" t="str">
        <f t="shared" si="23"/>
        <v/>
      </c>
      <c r="T29" s="281" t="str">
        <f t="shared" si="24"/>
        <v/>
      </c>
      <c r="U29" s="281" t="str">
        <f t="shared" si="13"/>
        <v/>
      </c>
      <c r="V29" s="282">
        <f t="shared" si="14"/>
        <v>0</v>
      </c>
      <c r="W29" s="283"/>
      <c r="X29" s="282">
        <f t="shared" si="15"/>
        <v>0</v>
      </c>
      <c r="Y29" s="284">
        <f ca="1">IF(N(C29)&gt;0,VLOOKUP(C29,' Pessoal'!$A$2:$M$34,10),"")</f>
        <v>6.41</v>
      </c>
      <c r="Z29" s="284">
        <f t="shared" si="6"/>
        <v>141.02000000000001</v>
      </c>
      <c r="AA29" s="284">
        <f t="shared" si="16"/>
        <v>0</v>
      </c>
      <c r="AB29" s="283"/>
      <c r="AC29" s="285">
        <f t="shared" si="17"/>
        <v>0</v>
      </c>
      <c r="AD29" s="284">
        <f t="shared" si="18"/>
        <v>691.02</v>
      </c>
      <c r="AE29" s="284">
        <f t="shared" si="19"/>
        <v>550</v>
      </c>
      <c r="AF29" s="284">
        <f ca="1">IF(N(C29)&gt;0,ROUND(AE29*VLOOKUP(C29,' Pessoal'!$A$2:$M$34,9),2),"")</f>
        <v>60.5</v>
      </c>
      <c r="AG29" s="286">
        <v>0</v>
      </c>
      <c r="AH29" s="284">
        <f t="shared" si="7"/>
        <v>0</v>
      </c>
      <c r="AI29" s="287">
        <v>0</v>
      </c>
      <c r="AJ29" s="284">
        <f t="shared" si="8"/>
        <v>60.5</v>
      </c>
      <c r="AK29" s="284">
        <f t="shared" si="9"/>
        <v>630.52</v>
      </c>
      <c r="AL29" s="284">
        <f t="shared" si="31"/>
        <v>2750</v>
      </c>
      <c r="AM29" s="288">
        <f t="shared" si="32"/>
        <v>0</v>
      </c>
      <c r="AN29" s="289">
        <f t="shared" si="33"/>
        <v>302.5</v>
      </c>
      <c r="AO29" s="192"/>
      <c r="AP29" s="192"/>
      <c r="AQ29" s="192"/>
      <c r="AR29" s="192"/>
      <c r="AS29" s="192"/>
      <c r="AT29" s="192"/>
      <c r="AU29" s="192"/>
      <c r="AV29" s="192"/>
      <c r="AW29" s="192"/>
      <c r="AX29" s="192"/>
    </row>
    <row r="30" spans="1:50">
      <c r="A30" s="68">
        <v>26</v>
      </c>
      <c r="B30" s="149">
        <v>40724</v>
      </c>
      <c r="C30" s="150">
        <v>1</v>
      </c>
      <c r="D30" s="151" t="str">
        <f ca="1">IF(N(C30)&gt;0,IF(N(C30)&lt;34,VLOOKUP('Tabela Final'!C30,' Pessoal'!$A$2:$B$34,2),""),"")</f>
        <v>Susana</v>
      </c>
      <c r="E30" s="151" t="str">
        <f ca="1">IF(N(C30)&gt;0,IF(N(C30)&lt;34,VLOOKUP(C30,' Pessoal'!$A$2:$C$34,3),""),"")</f>
        <v>Gerente</v>
      </c>
      <c r="F30" s="152">
        <f ca="1">IF(N(C30)&gt;0,IF(N(C30)&lt;34,VLOOKUP(C30,' Pessoal'!$A$2:$M$34,4)),"")</f>
        <v>927</v>
      </c>
      <c r="G30" s="307">
        <v>22</v>
      </c>
      <c r="H30" s="150">
        <f t="shared" si="26"/>
        <v>40</v>
      </c>
      <c r="I30" s="154">
        <f t="shared" si="12"/>
        <v>173.33333333333334</v>
      </c>
      <c r="J30" s="152">
        <f t="shared" si="27"/>
        <v>5.35</v>
      </c>
      <c r="K30" s="155"/>
      <c r="L30" s="154">
        <f t="shared" si="28"/>
        <v>0</v>
      </c>
      <c r="M30" s="155"/>
      <c r="N30" s="154">
        <f t="shared" si="29"/>
        <v>0</v>
      </c>
      <c r="O30" s="152">
        <f t="shared" si="30"/>
        <v>0</v>
      </c>
      <c r="P30" s="156"/>
      <c r="Q30" s="156"/>
      <c r="R30" s="156"/>
      <c r="S30" s="157" t="str">
        <f t="shared" si="23"/>
        <v/>
      </c>
      <c r="T30" s="157" t="str">
        <f t="shared" si="24"/>
        <v/>
      </c>
      <c r="U30" s="157" t="str">
        <f t="shared" si="13"/>
        <v/>
      </c>
      <c r="V30" s="158">
        <f t="shared" si="14"/>
        <v>0</v>
      </c>
      <c r="W30" s="159"/>
      <c r="X30" s="158">
        <f t="shared" si="15"/>
        <v>0</v>
      </c>
      <c r="Y30" s="160">
        <f ca="1">IF(N(C30)&gt;0,VLOOKUP(C30,' Pessoal'!$A$2:$M$34,10),"")</f>
        <v>6.41</v>
      </c>
      <c r="Z30" s="160">
        <f t="shared" si="6"/>
        <v>141.02000000000001</v>
      </c>
      <c r="AA30" s="160">
        <f t="shared" si="16"/>
        <v>0</v>
      </c>
      <c r="AB30" s="159"/>
      <c r="AC30" s="300">
        <f t="shared" si="17"/>
        <v>0</v>
      </c>
      <c r="AD30" s="160">
        <f t="shared" si="18"/>
        <v>1068.02</v>
      </c>
      <c r="AE30" s="160">
        <f t="shared" si="19"/>
        <v>927</v>
      </c>
      <c r="AF30" s="160">
        <f ca="1">IF(N(C30)&gt;0,ROUND(AE30*VLOOKUP(C30,' Pessoal'!$A$2:$M$34,9),2),"")</f>
        <v>86.21</v>
      </c>
      <c r="AG30" s="162">
        <v>0.08</v>
      </c>
      <c r="AH30" s="160">
        <f t="shared" si="7"/>
        <v>74.16</v>
      </c>
      <c r="AI30" s="301">
        <v>0</v>
      </c>
      <c r="AJ30" s="160">
        <f t="shared" si="8"/>
        <v>160.37</v>
      </c>
      <c r="AK30" s="160">
        <f t="shared" si="9"/>
        <v>907.65</v>
      </c>
      <c r="AL30" s="160">
        <f t="shared" si="31"/>
        <v>5562</v>
      </c>
      <c r="AM30" s="163">
        <f>AH30+AM25+AH65+AH68</f>
        <v>667.43999999999983</v>
      </c>
      <c r="AN30" s="302">
        <f>AF30+AN25</f>
        <v>517.26</v>
      </c>
      <c r="AO30" s="7">
        <f>SUM(AH30:AH34)</f>
        <v>74.16</v>
      </c>
      <c r="AP30" s="7">
        <f>AE30</f>
        <v>927</v>
      </c>
      <c r="AQ30" s="7">
        <f>AP30*0.2125</f>
        <v>196.98749999999998</v>
      </c>
      <c r="AR30" s="7">
        <f>SUM(AE31:AE34)</f>
        <v>1035</v>
      </c>
      <c r="AS30" s="7">
        <f>ROUND(AR30*0.2375,2)-$AE33*0.01</f>
        <v>240.96</v>
      </c>
      <c r="AT30" s="7">
        <f>AK30</f>
        <v>907.65</v>
      </c>
      <c r="AU30" s="7">
        <f>ROUND(SUM(AK31:AK34),2)</f>
        <v>1203.19</v>
      </c>
      <c r="AV30" s="7">
        <f>ROUND(AP30*0.3125+AR30*0.3475,2)-$AE33*0.01</f>
        <v>644.5</v>
      </c>
      <c r="AW30" s="7">
        <f>AD30</f>
        <v>1068.02</v>
      </c>
      <c r="AX30" s="7">
        <f>SUM(AD31:AD34)</f>
        <v>1317.04</v>
      </c>
    </row>
    <row r="31" spans="1:50" s="73" customFormat="1">
      <c r="A31" s="66">
        <v>27</v>
      </c>
      <c r="B31" s="303">
        <f>B30</f>
        <v>40724</v>
      </c>
      <c r="C31" s="304">
        <v>2</v>
      </c>
      <c r="D31" s="305" t="str">
        <f ca="1">IF(N(C31)&gt;0,IF(N(C31)&lt;34,VLOOKUP('Tabela Final'!C31,' Pessoal'!$A$2:$B$34,2),""),"")</f>
        <v>Nuno</v>
      </c>
      <c r="E31" s="305" t="str">
        <f ca="1">IF(N(C31)&gt;0,IF(N(C31)&lt;34,VLOOKUP(C31,' Pessoal'!$A$2:$C$34,3),""),"")</f>
        <v>Ajud. Electricista</v>
      </c>
      <c r="F31" s="306">
        <f ca="1">IF(N(C31)&gt;0,IF(N(C31)&lt;34,VLOOKUP(C31,' Pessoal'!$A$2:$M$34,4)),"")</f>
        <v>0</v>
      </c>
      <c r="G31" s="307">
        <v>22</v>
      </c>
      <c r="H31" s="304">
        <f t="shared" si="26"/>
        <v>40</v>
      </c>
      <c r="I31" s="308">
        <f t="shared" si="12"/>
        <v>173.33333333333334</v>
      </c>
      <c r="J31" s="306">
        <f t="shared" si="27"/>
        <v>0</v>
      </c>
      <c r="K31" s="309"/>
      <c r="L31" s="308">
        <f t="shared" si="28"/>
        <v>0</v>
      </c>
      <c r="M31" s="309"/>
      <c r="N31" s="308">
        <f t="shared" si="29"/>
        <v>0</v>
      </c>
      <c r="O31" s="306">
        <f t="shared" si="30"/>
        <v>0</v>
      </c>
      <c r="P31" s="310"/>
      <c r="Q31" s="310"/>
      <c r="R31" s="310"/>
      <c r="S31" s="311" t="str">
        <f t="shared" si="23"/>
        <v/>
      </c>
      <c r="T31" s="311" t="str">
        <f t="shared" si="24"/>
        <v/>
      </c>
      <c r="U31" s="311" t="str">
        <f t="shared" si="13"/>
        <v/>
      </c>
      <c r="V31" s="312">
        <f t="shared" si="14"/>
        <v>0</v>
      </c>
      <c r="W31" s="313"/>
      <c r="X31" s="312">
        <f t="shared" si="15"/>
        <v>0</v>
      </c>
      <c r="Y31" s="314">
        <f ca="1">IF(N(C31)&gt;0,VLOOKUP(C31,' Pessoal'!$A$2:$M$34,10),"")</f>
        <v>0</v>
      </c>
      <c r="Z31" s="314">
        <f t="shared" si="6"/>
        <v>0</v>
      </c>
      <c r="AA31" s="314">
        <f t="shared" si="16"/>
        <v>0</v>
      </c>
      <c r="AB31" s="313"/>
      <c r="AC31" s="315">
        <f t="shared" si="17"/>
        <v>0</v>
      </c>
      <c r="AD31" s="314">
        <f t="shared" si="18"/>
        <v>0</v>
      </c>
      <c r="AE31" s="314">
        <f t="shared" si="19"/>
        <v>0</v>
      </c>
      <c r="AF31" s="314">
        <f ca="1">IF(N(C31)&gt;0,ROUND(AE31*VLOOKUP(C31,' Pessoal'!$A$2:$M$34,9),2),"")</f>
        <v>0</v>
      </c>
      <c r="AG31" s="316">
        <v>0</v>
      </c>
      <c r="AH31" s="314">
        <f t="shared" si="7"/>
        <v>0</v>
      </c>
      <c r="AI31" s="317">
        <v>0</v>
      </c>
      <c r="AJ31" s="314">
        <f t="shared" si="8"/>
        <v>0</v>
      </c>
      <c r="AK31" s="314">
        <f t="shared" si="9"/>
        <v>0</v>
      </c>
      <c r="AL31" s="314">
        <f t="shared" si="31"/>
        <v>0</v>
      </c>
      <c r="AM31" s="318">
        <f t="shared" si="32"/>
        <v>0</v>
      </c>
      <c r="AN31" s="319">
        <f t="shared" si="33"/>
        <v>0</v>
      </c>
      <c r="AO31" s="67"/>
      <c r="AP31" s="67"/>
      <c r="AQ31" s="67"/>
      <c r="AR31" s="67"/>
      <c r="AS31" s="67"/>
      <c r="AT31" s="67"/>
      <c r="AU31" s="67"/>
      <c r="AV31" s="67"/>
      <c r="AW31" s="67"/>
      <c r="AX31" s="67"/>
    </row>
    <row r="32" spans="1:50" s="73" customFormat="1">
      <c r="A32" s="66">
        <v>28</v>
      </c>
      <c r="B32" s="303">
        <f>B31</f>
        <v>40724</v>
      </c>
      <c r="C32" s="304">
        <v>3</v>
      </c>
      <c r="D32" s="305" t="str">
        <f ca="1">IF(N(C32)&gt;0,IF(N(C32)&lt;34,VLOOKUP('Tabela Final'!C32,' Pessoal'!$A$2:$B$34,2),""),"")</f>
        <v>Fábio</v>
      </c>
      <c r="E32" s="305" t="str">
        <f ca="1">IF(N(C32)&gt;0,IF(N(C32)&lt;34,VLOOKUP(C32,' Pessoal'!$A$2:$C$34,3),""),"")</f>
        <v>Ajud. Electricista</v>
      </c>
      <c r="F32" s="306">
        <f ca="1">IF(N(C32)&gt;0,IF(N(C32)&lt;34,VLOOKUP(C32,' Pessoal'!$A$2:$M$34,4)),"")</f>
        <v>0</v>
      </c>
      <c r="G32" s="307">
        <v>22</v>
      </c>
      <c r="H32" s="304">
        <f t="shared" si="26"/>
        <v>40</v>
      </c>
      <c r="I32" s="308">
        <f>IF(N(H32)&gt;0,(H32*52)/12,"")</f>
        <v>173.33333333333334</v>
      </c>
      <c r="J32" s="306">
        <f t="shared" si="27"/>
        <v>0</v>
      </c>
      <c r="K32" s="309"/>
      <c r="L32" s="308">
        <f t="shared" si="28"/>
        <v>0</v>
      </c>
      <c r="M32" s="309"/>
      <c r="N32" s="308">
        <f t="shared" si="29"/>
        <v>0</v>
      </c>
      <c r="O32" s="306">
        <f t="shared" si="30"/>
        <v>0</v>
      </c>
      <c r="P32" s="310"/>
      <c r="Q32" s="310"/>
      <c r="R32" s="310"/>
      <c r="S32" s="311" t="str">
        <f t="shared" si="23"/>
        <v/>
      </c>
      <c r="T32" s="311" t="str">
        <f t="shared" si="24"/>
        <v/>
      </c>
      <c r="U32" s="311" t="str">
        <f t="shared" si="13"/>
        <v/>
      </c>
      <c r="V32" s="312">
        <f t="shared" si="14"/>
        <v>0</v>
      </c>
      <c r="W32" s="313"/>
      <c r="X32" s="312">
        <f t="shared" si="15"/>
        <v>0</v>
      </c>
      <c r="Y32" s="314">
        <f ca="1">IF(N(C32)&gt;0,VLOOKUP(C32,' Pessoal'!$A$2:$M$34,10),"")</f>
        <v>0</v>
      </c>
      <c r="Z32" s="314">
        <f t="shared" si="6"/>
        <v>0</v>
      </c>
      <c r="AA32" s="314">
        <f t="shared" si="16"/>
        <v>0</v>
      </c>
      <c r="AB32" s="313"/>
      <c r="AC32" s="315">
        <f t="shared" si="17"/>
        <v>0</v>
      </c>
      <c r="AD32" s="314">
        <f t="shared" si="18"/>
        <v>0</v>
      </c>
      <c r="AE32" s="314">
        <f t="shared" si="19"/>
        <v>0</v>
      </c>
      <c r="AF32" s="314">
        <f ca="1">IF(N(C32)&gt;0,ROUND(AE32*VLOOKUP(C32,' Pessoal'!$A$2:$M$34,9),2),"")</f>
        <v>0</v>
      </c>
      <c r="AG32" s="316">
        <v>0</v>
      </c>
      <c r="AH32" s="314">
        <f t="shared" si="7"/>
        <v>0</v>
      </c>
      <c r="AI32" s="317">
        <v>0</v>
      </c>
      <c r="AJ32" s="314">
        <f t="shared" si="8"/>
        <v>0</v>
      </c>
      <c r="AK32" s="314">
        <f t="shared" si="9"/>
        <v>0</v>
      </c>
      <c r="AL32" s="314">
        <f t="shared" si="31"/>
        <v>0</v>
      </c>
      <c r="AM32" s="318">
        <f t="shared" si="32"/>
        <v>0</v>
      </c>
      <c r="AN32" s="319">
        <f t="shared" si="33"/>
        <v>0</v>
      </c>
      <c r="AO32" s="67"/>
      <c r="AP32" s="67"/>
      <c r="AQ32" s="67"/>
      <c r="AR32" s="67"/>
      <c r="AS32" s="67"/>
      <c r="AT32" s="67"/>
      <c r="AU32" s="67"/>
      <c r="AV32" s="67"/>
      <c r="AW32" s="67"/>
      <c r="AX32" s="67"/>
    </row>
    <row r="33" spans="1:50">
      <c r="A33" s="45">
        <v>29</v>
      </c>
      <c r="B33" s="164">
        <f>B32</f>
        <v>40724</v>
      </c>
      <c r="C33" s="165">
        <v>4</v>
      </c>
      <c r="D33" s="166" t="str">
        <f ca="1">IF(N(C33)&gt;0,IF(N(C33)&lt;34,VLOOKUP('Tabela Final'!C33,' Pessoal'!$A$2:$B$34,2),""),"")</f>
        <v>Carlos</v>
      </c>
      <c r="E33" s="166" t="str">
        <f ca="1">IF(N(C33)&gt;0,IF(N(C33)&lt;34,VLOOKUP(C33,' Pessoal'!$A$2:$C$34,3),""),"")</f>
        <v>Ajud. Electricista</v>
      </c>
      <c r="F33" s="167">
        <f ca="1">IF(N(C33)&gt;0,IF(N(C33)&lt;34,VLOOKUP(C33,' Pessoal'!$A$2:$M$34,4)),"")</f>
        <v>485</v>
      </c>
      <c r="G33" s="168">
        <v>22</v>
      </c>
      <c r="H33" s="165">
        <f t="shared" si="26"/>
        <v>40</v>
      </c>
      <c r="I33" s="169">
        <f>IF(N(H33)&gt;0,(H33*52)/12,"")</f>
        <v>173.33333333333334</v>
      </c>
      <c r="J33" s="167">
        <f t="shared" si="27"/>
        <v>2.8</v>
      </c>
      <c r="K33" s="170"/>
      <c r="L33" s="169">
        <f t="shared" si="28"/>
        <v>0</v>
      </c>
      <c r="M33" s="170"/>
      <c r="N33" s="169">
        <f t="shared" si="29"/>
        <v>0</v>
      </c>
      <c r="O33" s="167">
        <f t="shared" si="30"/>
        <v>0</v>
      </c>
      <c r="P33" s="171"/>
      <c r="Q33" s="171"/>
      <c r="R33" s="171"/>
      <c r="S33" s="172" t="str">
        <f t="shared" si="23"/>
        <v/>
      </c>
      <c r="T33" s="172" t="str">
        <f t="shared" si="24"/>
        <v/>
      </c>
      <c r="U33" s="172" t="str">
        <f t="shared" si="13"/>
        <v/>
      </c>
      <c r="V33" s="173">
        <f t="shared" si="14"/>
        <v>0</v>
      </c>
      <c r="W33" s="174"/>
      <c r="X33" s="173">
        <f t="shared" si="15"/>
        <v>0</v>
      </c>
      <c r="Y33" s="175">
        <f ca="1">IF(N(C33)&gt;0,VLOOKUP(C33,' Pessoal'!$A$2:$M$34,10),"")</f>
        <v>6.41</v>
      </c>
      <c r="Z33" s="175">
        <f t="shared" si="6"/>
        <v>141.02000000000001</v>
      </c>
      <c r="AA33" s="175">
        <f t="shared" si="16"/>
        <v>0</v>
      </c>
      <c r="AB33" s="174"/>
      <c r="AC33" s="320">
        <f t="shared" si="17"/>
        <v>0</v>
      </c>
      <c r="AD33" s="175">
        <f t="shared" si="18"/>
        <v>626.02</v>
      </c>
      <c r="AE33" s="175">
        <f t="shared" si="19"/>
        <v>485</v>
      </c>
      <c r="AF33" s="175">
        <f ca="1">IF(N(C33)&gt;0,ROUND(AE33*VLOOKUP(C33,' Pessoal'!$A$2:$M$34,9),2),"")</f>
        <v>53.35</v>
      </c>
      <c r="AG33" s="176">
        <v>0</v>
      </c>
      <c r="AH33" s="175">
        <f t="shared" si="7"/>
        <v>0</v>
      </c>
      <c r="AI33" s="321">
        <v>0</v>
      </c>
      <c r="AJ33" s="175">
        <f t="shared" si="8"/>
        <v>53.35</v>
      </c>
      <c r="AK33" s="175">
        <f t="shared" si="9"/>
        <v>572.66999999999996</v>
      </c>
      <c r="AL33" s="175">
        <f t="shared" si="31"/>
        <v>2950</v>
      </c>
      <c r="AM33" s="177">
        <f t="shared" si="32"/>
        <v>0</v>
      </c>
      <c r="AN33" s="322">
        <f t="shared" si="33"/>
        <v>324.5</v>
      </c>
      <c r="AO33" s="7"/>
      <c r="AP33" s="7"/>
      <c r="AQ33" s="7"/>
      <c r="AR33" s="7"/>
      <c r="AS33" s="7"/>
      <c r="AT33" s="7"/>
      <c r="AU33" s="7"/>
      <c r="AV33" s="7"/>
      <c r="AW33" s="7"/>
      <c r="AX33" s="7"/>
    </row>
    <row r="34" spans="1:50" s="193" customFormat="1" ht="12" thickBot="1">
      <c r="A34" s="69">
        <v>30</v>
      </c>
      <c r="B34" s="179">
        <f>B33</f>
        <v>40724</v>
      </c>
      <c r="C34" s="180">
        <v>5</v>
      </c>
      <c r="D34" s="181" t="str">
        <f ca="1">IF(N(C34)&gt;0,IF(N(C34)&lt;34,VLOOKUP('Tabela Final'!C34,' Pessoal'!$A$2:$B$34,2),""),"")</f>
        <v>André</v>
      </c>
      <c r="E34" s="181" t="str">
        <f ca="1">IF(N(C34)&gt;0,IF(N(C34)&lt;34,VLOOKUP(C34,' Pessoal'!$A$2:$C$34,3),""),"")</f>
        <v>Ajud. Electricista</v>
      </c>
      <c r="F34" s="182">
        <f ca="1">IF(N(C34)&gt;0,IF(N(C34)&lt;34,VLOOKUP(C34,' Pessoal'!$A$2:$M$34,4)),"")</f>
        <v>550</v>
      </c>
      <c r="G34" s="183">
        <v>22</v>
      </c>
      <c r="H34" s="180">
        <f t="shared" si="26"/>
        <v>40</v>
      </c>
      <c r="I34" s="184">
        <f>IF(N(H34)&gt;0,(H34*52)/12,"")</f>
        <v>173.33333333333334</v>
      </c>
      <c r="J34" s="182">
        <f t="shared" si="27"/>
        <v>3.17</v>
      </c>
      <c r="K34" s="185"/>
      <c r="L34" s="184">
        <f t="shared" si="28"/>
        <v>0</v>
      </c>
      <c r="M34" s="185"/>
      <c r="N34" s="184">
        <f t="shared" si="29"/>
        <v>0</v>
      </c>
      <c r="O34" s="182">
        <f t="shared" si="30"/>
        <v>0</v>
      </c>
      <c r="P34" s="186"/>
      <c r="Q34" s="186"/>
      <c r="R34" s="186"/>
      <c r="S34" s="187" t="str">
        <f t="shared" si="23"/>
        <v/>
      </c>
      <c r="T34" s="187" t="str">
        <f t="shared" si="24"/>
        <v/>
      </c>
      <c r="U34" s="187" t="str">
        <f t="shared" si="13"/>
        <v/>
      </c>
      <c r="V34" s="188">
        <f t="shared" si="14"/>
        <v>0</v>
      </c>
      <c r="W34" s="189"/>
      <c r="X34" s="188">
        <f t="shared" si="15"/>
        <v>0</v>
      </c>
      <c r="Y34" s="161">
        <f ca="1">IF(N(C34)&gt;0,VLOOKUP(C34,' Pessoal'!$A$2:$M$34,10),"")</f>
        <v>6.41</v>
      </c>
      <c r="Z34" s="161">
        <f t="shared" si="6"/>
        <v>141.02000000000001</v>
      </c>
      <c r="AA34" s="161">
        <f t="shared" si="16"/>
        <v>0</v>
      </c>
      <c r="AB34" s="189"/>
      <c r="AC34" s="323">
        <f t="shared" si="17"/>
        <v>0</v>
      </c>
      <c r="AD34" s="161">
        <f t="shared" si="18"/>
        <v>691.02</v>
      </c>
      <c r="AE34" s="161">
        <f t="shared" si="19"/>
        <v>550</v>
      </c>
      <c r="AF34" s="161">
        <f ca="1">IF(N(C34)&gt;0,ROUND(AE34*VLOOKUP(C34,' Pessoal'!$A$2:$M$34,9),2),"")</f>
        <v>60.5</v>
      </c>
      <c r="AG34" s="190">
        <v>0</v>
      </c>
      <c r="AH34" s="161">
        <f t="shared" si="7"/>
        <v>0</v>
      </c>
      <c r="AI34" s="324">
        <v>0</v>
      </c>
      <c r="AJ34" s="161">
        <f t="shared" si="8"/>
        <v>60.5</v>
      </c>
      <c r="AK34" s="161">
        <f t="shared" si="9"/>
        <v>630.52</v>
      </c>
      <c r="AL34" s="161">
        <f t="shared" si="31"/>
        <v>3300</v>
      </c>
      <c r="AM34" s="191">
        <f t="shared" si="32"/>
        <v>0</v>
      </c>
      <c r="AN34" s="325">
        <f t="shared" si="33"/>
        <v>363</v>
      </c>
      <c r="AO34" s="192"/>
      <c r="AP34" s="192"/>
      <c r="AQ34" s="192"/>
      <c r="AR34" s="192"/>
      <c r="AS34" s="192"/>
      <c r="AT34" s="192"/>
      <c r="AU34" s="192"/>
      <c r="AV34" s="192"/>
      <c r="AW34" s="192"/>
      <c r="AX34" s="192"/>
    </row>
    <row r="35" spans="1:50">
      <c r="A35" s="68">
        <v>31</v>
      </c>
      <c r="B35" s="219">
        <v>40754</v>
      </c>
      <c r="C35" s="220">
        <v>1</v>
      </c>
      <c r="D35" s="221" t="str">
        <f ca="1">IF(N(C35)&gt;0,IF(N(C35)&lt;34,VLOOKUP('Tabela Final'!C35,' Pessoal'!$A$2:$B$34,2),""),"")</f>
        <v>Susana</v>
      </c>
      <c r="E35" s="221" t="str">
        <f ca="1">IF(N(C35)&gt;0,IF(N(C35)&lt;34,VLOOKUP(C35,' Pessoal'!$A$2:$C$34,3),""),"")</f>
        <v>Gerente</v>
      </c>
      <c r="F35" s="222">
        <f ca="1">IF(N(C35)&gt;0,IF(N(C35)&lt;34,VLOOKUP(C35,' Pessoal'!$A$2:$M$34,4)),"")</f>
        <v>927</v>
      </c>
      <c r="G35" s="223">
        <v>22</v>
      </c>
      <c r="H35" s="220">
        <f t="shared" si="26"/>
        <v>40</v>
      </c>
      <c r="I35" s="225">
        <f>IF(N(H35)&gt;0,(H35*52)/12,"")</f>
        <v>173.33333333333334</v>
      </c>
      <c r="J35" s="222">
        <f t="shared" si="27"/>
        <v>5.35</v>
      </c>
      <c r="K35" s="226"/>
      <c r="L35" s="225">
        <f t="shared" si="28"/>
        <v>0</v>
      </c>
      <c r="M35" s="226"/>
      <c r="N35" s="225">
        <f t="shared" si="29"/>
        <v>0</v>
      </c>
      <c r="O35" s="222">
        <f t="shared" si="30"/>
        <v>0</v>
      </c>
      <c r="P35" s="227"/>
      <c r="Q35" s="227"/>
      <c r="R35" s="227"/>
      <c r="S35" s="228" t="str">
        <f t="shared" si="23"/>
        <v/>
      </c>
      <c r="T35" s="228" t="str">
        <f t="shared" si="24"/>
        <v/>
      </c>
      <c r="U35" s="228" t="str">
        <f t="shared" si="13"/>
        <v/>
      </c>
      <c r="V35" s="229">
        <f t="shared" si="14"/>
        <v>0</v>
      </c>
      <c r="W35" s="230"/>
      <c r="X35" s="229">
        <f t="shared" si="15"/>
        <v>0</v>
      </c>
      <c r="Y35" s="231">
        <f ca="1">IF(N(C35)&gt;0,VLOOKUP(C35,' Pessoal'!$A$2:$M$34,10),"")</f>
        <v>6.41</v>
      </c>
      <c r="Z35" s="231">
        <f t="shared" si="6"/>
        <v>141.02000000000001</v>
      </c>
      <c r="AA35" s="231">
        <f t="shared" si="16"/>
        <v>0</v>
      </c>
      <c r="AB35" s="230"/>
      <c r="AC35" s="290">
        <f t="shared" si="17"/>
        <v>0</v>
      </c>
      <c r="AD35" s="231">
        <f t="shared" si="18"/>
        <v>1068.02</v>
      </c>
      <c r="AE35" s="231">
        <f t="shared" si="19"/>
        <v>927</v>
      </c>
      <c r="AF35" s="231">
        <f ca="1">IF(N(C35)&gt;0,ROUND(AE35*VLOOKUP(C35,' Pessoal'!$A$2:$M$34,9),2),"")</f>
        <v>86.21</v>
      </c>
      <c r="AG35" s="233">
        <v>0.08</v>
      </c>
      <c r="AH35" s="231">
        <f t="shared" si="7"/>
        <v>74.16</v>
      </c>
      <c r="AI35" s="234">
        <v>0</v>
      </c>
      <c r="AJ35" s="231">
        <f t="shared" si="8"/>
        <v>160.37</v>
      </c>
      <c r="AK35" s="231">
        <f t="shared" si="9"/>
        <v>907.65</v>
      </c>
      <c r="AL35" s="231">
        <f t="shared" si="31"/>
        <v>6489</v>
      </c>
      <c r="AM35" s="235">
        <f t="shared" si="32"/>
        <v>741.5999999999998</v>
      </c>
      <c r="AN35" s="236">
        <f t="shared" si="33"/>
        <v>603.47</v>
      </c>
      <c r="AO35" s="7">
        <f>SUM(AH35:AH39)</f>
        <v>74.16</v>
      </c>
      <c r="AP35" s="7">
        <f>AE35</f>
        <v>927</v>
      </c>
      <c r="AQ35" s="7">
        <f>AP35*0.2125</f>
        <v>196.98749999999998</v>
      </c>
      <c r="AR35" s="7">
        <f>SUM(AE36:AE39)</f>
        <v>1035</v>
      </c>
      <c r="AS35" s="7">
        <f>ROUND(AR35*0.2375,2)-$AE38*0.01</f>
        <v>240.96</v>
      </c>
      <c r="AT35" s="7">
        <f>AK35</f>
        <v>907.65</v>
      </c>
      <c r="AU35" s="7">
        <f>ROUND(SUM(AK36:AK39),2)</f>
        <v>1203.19</v>
      </c>
      <c r="AV35" s="7">
        <f>ROUND(AP35*0.3125+AR35*0.3475,2)-$AE38*0.01</f>
        <v>644.5</v>
      </c>
      <c r="AW35" s="7">
        <f>AD35</f>
        <v>1068.02</v>
      </c>
      <c r="AX35" s="7">
        <f>SUM(AD36:AD39)</f>
        <v>1317.04</v>
      </c>
    </row>
    <row r="36" spans="1:50" s="73" customFormat="1">
      <c r="A36" s="66">
        <v>32</v>
      </c>
      <c r="B36" s="237">
        <f>B35</f>
        <v>40754</v>
      </c>
      <c r="C36" s="238">
        <v>2</v>
      </c>
      <c r="D36" s="239" t="str">
        <f ca="1">IF(N(C36)&gt;0,IF(N(C36)&lt;34,VLOOKUP('Tabela Final'!C36,' Pessoal'!$A$2:$B$34,2),""),"")</f>
        <v>Nuno</v>
      </c>
      <c r="E36" s="239" t="str">
        <f ca="1">IF(N(C36)&gt;0,IF(N(C36)&lt;34,VLOOKUP(C36,' Pessoal'!$A$2:$C$34,3),""),"")</f>
        <v>Ajud. Electricista</v>
      </c>
      <c r="F36" s="240">
        <f ca="1">IF(N(C36)&gt;0,IF(N(C36)&lt;34,VLOOKUP(C36,' Pessoal'!$A$2:$M$34,4)),"")</f>
        <v>0</v>
      </c>
      <c r="G36" s="241">
        <v>22</v>
      </c>
      <c r="H36" s="238">
        <v>40</v>
      </c>
      <c r="I36" s="291">
        <f>IF(N(H36)&gt;0,(H36*52)/12,"")</f>
        <v>173.33333333333334</v>
      </c>
      <c r="J36" s="240">
        <f>IF(N(C36)&gt;0,ROUND((F36/I36),2),"")</f>
        <v>0</v>
      </c>
      <c r="K36" s="243"/>
      <c r="L36" s="242"/>
      <c r="M36" s="243"/>
      <c r="N36" s="242"/>
      <c r="O36" s="240"/>
      <c r="P36" s="244"/>
      <c r="Q36" s="244"/>
      <c r="R36" s="244"/>
      <c r="S36" s="245" t="str">
        <f t="shared" ref="S36:S44" si="34">IF(N(P36)&gt;0,P36*ROUND((J36+($P$4*J36)),2),"")</f>
        <v/>
      </c>
      <c r="T36" s="245" t="str">
        <f t="shared" ref="T36:T44" si="35">IF(N(Q36)&gt;0,Q36*ROUND((J36+($Q$4*J36)),2),"")</f>
        <v/>
      </c>
      <c r="U36" s="245" t="str">
        <f t="shared" ref="U36:U44" si="36">IF(N(R36)&gt;0,R36*ROUND((J36+($R$4*J36)),2),"")</f>
        <v/>
      </c>
      <c r="V36" s="246">
        <f t="shared" ref="V36:V44" si="37">IF(N(C36)&gt;0,SUM(S36:U36),"")</f>
        <v>0</v>
      </c>
      <c r="W36" s="247"/>
      <c r="X36" s="246">
        <f t="shared" ref="X36:X44" si="38">IF(N(C36)&gt;0,V36+W36,"")</f>
        <v>0</v>
      </c>
      <c r="Y36" s="248">
        <f ca="1">IF(N(C36)&gt;0,VLOOKUP(C36,' Pessoal'!$A$2:$M$34,10),"")</f>
        <v>0</v>
      </c>
      <c r="Z36" s="248">
        <f t="shared" ref="Z36:Z44" si="39">IF(N(C36)&gt;0,(G36*Y36),"")</f>
        <v>0</v>
      </c>
      <c r="AA36" s="248">
        <f t="shared" ref="AA36:AA44" si="40">IF(N(C36)&gt;0,V36,"")</f>
        <v>0</v>
      </c>
      <c r="AB36" s="247"/>
      <c r="AC36" s="249">
        <f t="shared" ref="AC36:AC44" si="41">IF(N(C36)&gt;0,V36,"")</f>
        <v>0</v>
      </c>
      <c r="AD36" s="248">
        <f t="shared" si="18"/>
        <v>0</v>
      </c>
      <c r="AE36" s="248">
        <f t="shared" si="19"/>
        <v>0</v>
      </c>
      <c r="AF36" s="248">
        <f ca="1">IF(N(C36)&gt;0,ROUND(AE36*VLOOKUP(C36,' Pessoal'!$A$2:$M$34,9),2),"")</f>
        <v>0</v>
      </c>
      <c r="AG36" s="250">
        <v>0</v>
      </c>
      <c r="AH36" s="248">
        <f t="shared" si="7"/>
        <v>0</v>
      </c>
      <c r="AI36" s="251">
        <v>0</v>
      </c>
      <c r="AJ36" s="248">
        <f t="shared" si="8"/>
        <v>0</v>
      </c>
      <c r="AK36" s="248">
        <f t="shared" si="9"/>
        <v>0</v>
      </c>
      <c r="AL36" s="248">
        <f t="shared" si="31"/>
        <v>0</v>
      </c>
      <c r="AM36" s="255">
        <f t="shared" si="32"/>
        <v>0</v>
      </c>
      <c r="AN36" s="254">
        <f t="shared" si="33"/>
        <v>0</v>
      </c>
      <c r="AO36" s="67"/>
      <c r="AP36" s="67"/>
      <c r="AQ36" s="67"/>
      <c r="AR36" s="67"/>
      <c r="AS36" s="67"/>
      <c r="AT36" s="67"/>
      <c r="AU36" s="67"/>
      <c r="AV36" s="67"/>
      <c r="AW36" s="67"/>
      <c r="AX36" s="67"/>
    </row>
    <row r="37" spans="1:50" s="73" customFormat="1">
      <c r="A37" s="66">
        <v>33</v>
      </c>
      <c r="B37" s="237">
        <f>B36</f>
        <v>40754</v>
      </c>
      <c r="C37" s="238">
        <v>3</v>
      </c>
      <c r="D37" s="239" t="str">
        <f ca="1">IF(N(C37)&gt;0,IF(N(C37)&lt;34,VLOOKUP('Tabela Final'!C37,' Pessoal'!$A$2:$B$34,2),""),"")</f>
        <v>Fábio</v>
      </c>
      <c r="E37" s="239" t="str">
        <f ca="1">IF(N(C37)&gt;0,IF(N(C37)&lt;34,VLOOKUP(C37,' Pessoal'!$A$2:$C$34,3),""),"")</f>
        <v>Ajud. Electricista</v>
      </c>
      <c r="F37" s="240">
        <f ca="1">IF(N(C37)&gt;0,IF(N(C37)&lt;34,VLOOKUP(C37,' Pessoal'!$A$2:$M$34,4)),"")</f>
        <v>0</v>
      </c>
      <c r="G37" s="241">
        <v>22</v>
      </c>
      <c r="H37" s="238">
        <v>40</v>
      </c>
      <c r="I37" s="291">
        <f t="shared" si="12"/>
        <v>173.33333333333334</v>
      </c>
      <c r="J37" s="240">
        <f t="shared" si="27"/>
        <v>0</v>
      </c>
      <c r="K37" s="243"/>
      <c r="L37" s="242">
        <f t="shared" ref="L37:L44" si="42">IF(N(C37)&gt;0,K37*((ROUND(I37/30,2)*J37)),"")</f>
        <v>0</v>
      </c>
      <c r="M37" s="243"/>
      <c r="N37" s="242">
        <f t="shared" ref="N37:N44" si="43">IF(N(C37)&gt;0,(M37*J37),"")</f>
        <v>0</v>
      </c>
      <c r="O37" s="240">
        <f t="shared" ref="O37:O44" si="44">IF(N(C37)&gt;0,ROUND(L37+N37,2),"")</f>
        <v>0</v>
      </c>
      <c r="P37" s="244"/>
      <c r="Q37" s="244"/>
      <c r="R37" s="244"/>
      <c r="S37" s="245" t="str">
        <f t="shared" si="34"/>
        <v/>
      </c>
      <c r="T37" s="245" t="str">
        <f t="shared" si="35"/>
        <v/>
      </c>
      <c r="U37" s="245" t="str">
        <f t="shared" si="36"/>
        <v/>
      </c>
      <c r="V37" s="246">
        <f t="shared" si="37"/>
        <v>0</v>
      </c>
      <c r="W37" s="247"/>
      <c r="X37" s="246">
        <f t="shared" si="38"/>
        <v>0</v>
      </c>
      <c r="Y37" s="248">
        <f ca="1">IF(N(C37)&gt;0,VLOOKUP(C37,' Pessoal'!$A$2:$M$34,10),"")</f>
        <v>0</v>
      </c>
      <c r="Z37" s="248">
        <f t="shared" si="39"/>
        <v>0</v>
      </c>
      <c r="AA37" s="248">
        <f t="shared" si="40"/>
        <v>0</v>
      </c>
      <c r="AB37" s="247"/>
      <c r="AC37" s="249">
        <f t="shared" si="41"/>
        <v>0</v>
      </c>
      <c r="AD37" s="248">
        <f t="shared" si="18"/>
        <v>0</v>
      </c>
      <c r="AE37" s="248">
        <f t="shared" si="19"/>
        <v>0</v>
      </c>
      <c r="AF37" s="248">
        <f ca="1">IF(N(C37)&gt;0,ROUND(AE37*VLOOKUP(C37,' Pessoal'!$A$2:$M$34,9),2),"")</f>
        <v>0</v>
      </c>
      <c r="AG37" s="250">
        <v>0</v>
      </c>
      <c r="AH37" s="248">
        <f t="shared" si="7"/>
        <v>0</v>
      </c>
      <c r="AI37" s="251">
        <v>0</v>
      </c>
      <c r="AJ37" s="248">
        <f t="shared" si="8"/>
        <v>0</v>
      </c>
      <c r="AK37" s="248">
        <f t="shared" si="9"/>
        <v>0</v>
      </c>
      <c r="AL37" s="248">
        <f t="shared" si="31"/>
        <v>0</v>
      </c>
      <c r="AM37" s="255">
        <f t="shared" si="32"/>
        <v>0</v>
      </c>
      <c r="AN37" s="254">
        <f t="shared" si="33"/>
        <v>0</v>
      </c>
      <c r="AO37" s="67"/>
      <c r="AP37" s="67"/>
      <c r="AQ37" s="67"/>
      <c r="AR37" s="67"/>
      <c r="AS37" s="67"/>
      <c r="AT37" s="67"/>
      <c r="AU37" s="67"/>
      <c r="AV37" s="67"/>
      <c r="AW37" s="67"/>
      <c r="AX37" s="67"/>
    </row>
    <row r="38" spans="1:50">
      <c r="A38" s="45">
        <v>34</v>
      </c>
      <c r="B38" s="256">
        <f>B37</f>
        <v>40754</v>
      </c>
      <c r="C38" s="257">
        <v>4</v>
      </c>
      <c r="D38" s="258" t="str">
        <f ca="1">IF(N(C38)&gt;0,IF(N(C38)&lt;34,VLOOKUP('Tabela Final'!C38,' Pessoal'!$A$2:$B$34,2),""),"")</f>
        <v>Carlos</v>
      </c>
      <c r="E38" s="258" t="str">
        <f ca="1">IF(N(C38)&gt;0,IF(N(C38)&lt;34,VLOOKUP(C38,' Pessoal'!$A$2:$C$34,3),""),"")</f>
        <v>Ajud. Electricista</v>
      </c>
      <c r="F38" s="259">
        <f ca="1">IF(N(C38)&gt;0,IF(N(C38)&lt;34,VLOOKUP(C38,' Pessoal'!$A$2:$M$34,4)),"")</f>
        <v>485</v>
      </c>
      <c r="G38" s="260">
        <v>22</v>
      </c>
      <c r="H38" s="257">
        <f t="shared" si="26"/>
        <v>40</v>
      </c>
      <c r="I38" s="225">
        <f t="shared" si="12"/>
        <v>173.33333333333334</v>
      </c>
      <c r="J38" s="259">
        <f t="shared" si="27"/>
        <v>2.8</v>
      </c>
      <c r="K38" s="262"/>
      <c r="L38" s="261"/>
      <c r="M38" s="262"/>
      <c r="N38" s="261"/>
      <c r="O38" s="259"/>
      <c r="P38" s="263"/>
      <c r="Q38" s="263"/>
      <c r="R38" s="263"/>
      <c r="S38" s="264" t="str">
        <f t="shared" si="34"/>
        <v/>
      </c>
      <c r="T38" s="264" t="str">
        <f t="shared" si="35"/>
        <v/>
      </c>
      <c r="U38" s="264" t="str">
        <f t="shared" si="36"/>
        <v/>
      </c>
      <c r="V38" s="265">
        <f t="shared" si="37"/>
        <v>0</v>
      </c>
      <c r="W38" s="266"/>
      <c r="X38" s="265">
        <f t="shared" si="38"/>
        <v>0</v>
      </c>
      <c r="Y38" s="267">
        <f ca="1">IF(N(C38)&gt;0,VLOOKUP(C38,' Pessoal'!$A$2:$M$34,10),"")</f>
        <v>6.41</v>
      </c>
      <c r="Z38" s="267">
        <f t="shared" si="39"/>
        <v>141.02000000000001</v>
      </c>
      <c r="AA38" s="267">
        <f t="shared" si="40"/>
        <v>0</v>
      </c>
      <c r="AB38" s="266"/>
      <c r="AC38" s="268">
        <f t="shared" si="41"/>
        <v>0</v>
      </c>
      <c r="AD38" s="267">
        <f t="shared" si="18"/>
        <v>626.02</v>
      </c>
      <c r="AE38" s="267">
        <f t="shared" si="19"/>
        <v>485</v>
      </c>
      <c r="AF38" s="267">
        <f ca="1">IF(N(C38)&gt;0,ROUND(AE38*VLOOKUP(C38,' Pessoal'!$A$2:$M$34,9),2),"")</f>
        <v>53.35</v>
      </c>
      <c r="AG38" s="269">
        <v>0</v>
      </c>
      <c r="AH38" s="267">
        <f t="shared" si="7"/>
        <v>0</v>
      </c>
      <c r="AI38" s="270">
        <v>0</v>
      </c>
      <c r="AJ38" s="267">
        <f t="shared" si="8"/>
        <v>53.35</v>
      </c>
      <c r="AK38" s="267">
        <f t="shared" si="9"/>
        <v>572.66999999999996</v>
      </c>
      <c r="AL38" s="267">
        <f t="shared" si="31"/>
        <v>3435</v>
      </c>
      <c r="AM38" s="271">
        <f t="shared" si="32"/>
        <v>0</v>
      </c>
      <c r="AN38" s="272">
        <f t="shared" si="33"/>
        <v>377.85</v>
      </c>
      <c r="AO38" s="7"/>
      <c r="AP38" s="7"/>
      <c r="AQ38" s="7"/>
      <c r="AR38" s="7"/>
      <c r="AS38" s="7"/>
      <c r="AT38" s="7"/>
      <c r="AU38" s="7"/>
      <c r="AV38" s="7"/>
      <c r="AW38" s="7"/>
      <c r="AX38" s="7"/>
    </row>
    <row r="39" spans="1:50" s="193" customFormat="1" ht="12" thickBot="1">
      <c r="A39" s="69">
        <v>35</v>
      </c>
      <c r="B39" s="273">
        <f>B38</f>
        <v>40754</v>
      </c>
      <c r="C39" s="274">
        <v>5</v>
      </c>
      <c r="D39" s="275" t="str">
        <f ca="1">IF(N(C39)&gt;0,IF(N(C39)&lt;34,VLOOKUP('Tabela Final'!C39,' Pessoal'!$A$2:$B$34,2),""),"")</f>
        <v>André</v>
      </c>
      <c r="E39" s="275" t="str">
        <f ca="1">IF(N(C39)&gt;0,IF(N(C39)&lt;34,VLOOKUP(C39,' Pessoal'!$A$2:$C$34,3),""),"")</f>
        <v>Ajud. Electricista</v>
      </c>
      <c r="F39" s="276">
        <f ca="1">IF(N(C39)&gt;0,IF(N(C39)&lt;34,VLOOKUP(C39,' Pessoal'!$A$2:$M$34,4)),"")</f>
        <v>550</v>
      </c>
      <c r="G39" s="277">
        <v>22</v>
      </c>
      <c r="H39" s="274">
        <f t="shared" si="26"/>
        <v>40</v>
      </c>
      <c r="I39" s="278">
        <f t="shared" si="12"/>
        <v>173.33333333333334</v>
      </c>
      <c r="J39" s="276">
        <f t="shared" si="27"/>
        <v>3.17</v>
      </c>
      <c r="K39" s="279"/>
      <c r="L39" s="278"/>
      <c r="M39" s="279"/>
      <c r="N39" s="278"/>
      <c r="O39" s="276"/>
      <c r="P39" s="280"/>
      <c r="Q39" s="280"/>
      <c r="R39" s="280"/>
      <c r="S39" s="281" t="str">
        <f t="shared" si="34"/>
        <v/>
      </c>
      <c r="T39" s="281" t="str">
        <f t="shared" si="35"/>
        <v/>
      </c>
      <c r="U39" s="281" t="str">
        <f t="shared" si="36"/>
        <v/>
      </c>
      <c r="V39" s="282">
        <f t="shared" si="37"/>
        <v>0</v>
      </c>
      <c r="W39" s="283"/>
      <c r="X39" s="282">
        <f t="shared" si="38"/>
        <v>0</v>
      </c>
      <c r="Y39" s="284">
        <f ca="1">IF(N(C39)&gt;0,VLOOKUP(C39,' Pessoal'!$A$2:$M$34,10),"")</f>
        <v>6.41</v>
      </c>
      <c r="Z39" s="284">
        <f t="shared" si="39"/>
        <v>141.02000000000001</v>
      </c>
      <c r="AA39" s="284">
        <f t="shared" si="40"/>
        <v>0</v>
      </c>
      <c r="AB39" s="283"/>
      <c r="AC39" s="285">
        <f t="shared" si="41"/>
        <v>0</v>
      </c>
      <c r="AD39" s="284">
        <f t="shared" si="18"/>
        <v>691.02</v>
      </c>
      <c r="AE39" s="284">
        <f t="shared" si="19"/>
        <v>550</v>
      </c>
      <c r="AF39" s="284">
        <f ca="1">IF(N(C39)&gt;0,ROUND(AE39*VLOOKUP(C39,' Pessoal'!$A$2:$M$34,9),2),"")</f>
        <v>60.5</v>
      </c>
      <c r="AG39" s="286">
        <v>0</v>
      </c>
      <c r="AH39" s="284">
        <f t="shared" si="7"/>
        <v>0</v>
      </c>
      <c r="AI39" s="287">
        <v>0</v>
      </c>
      <c r="AJ39" s="284">
        <f t="shared" si="8"/>
        <v>60.5</v>
      </c>
      <c r="AK39" s="284">
        <f t="shared" si="9"/>
        <v>630.52</v>
      </c>
      <c r="AL39" s="284">
        <f t="shared" si="31"/>
        <v>3850</v>
      </c>
      <c r="AM39" s="288">
        <f t="shared" si="32"/>
        <v>0</v>
      </c>
      <c r="AN39" s="289">
        <f t="shared" si="33"/>
        <v>423.5</v>
      </c>
      <c r="AO39" s="192"/>
      <c r="AP39" s="192"/>
      <c r="AQ39" s="192"/>
      <c r="AR39" s="192"/>
      <c r="AS39" s="192"/>
      <c r="AT39" s="192"/>
      <c r="AU39" s="192"/>
      <c r="AV39" s="192"/>
      <c r="AW39" s="192"/>
      <c r="AX39" s="192"/>
    </row>
    <row r="40" spans="1:50">
      <c r="A40" s="68">
        <v>36</v>
      </c>
      <c r="B40" s="149">
        <v>40786</v>
      </c>
      <c r="C40" s="150">
        <v>1</v>
      </c>
      <c r="D40" s="151" t="str">
        <f ca="1">IF(N(C40)&gt;0,IF(N(C40)&lt;34,VLOOKUP('Tabela Final'!C40,' Pessoal'!$A$2:$B$34,2),""),"")</f>
        <v>Susana</v>
      </c>
      <c r="E40" s="151" t="str">
        <f ca="1">IF(N(C40)&gt;0,IF(N(C40)&lt;34,VLOOKUP(C40,' Pessoal'!$A$2:$C$34,3),""),"")</f>
        <v>Gerente</v>
      </c>
      <c r="F40" s="152">
        <f ca="1">IF(N(C40)&gt;0,IF(N(C40)&lt;34,VLOOKUP(C40,' Pessoal'!$A$2:$M$34,4)),"")</f>
        <v>927</v>
      </c>
      <c r="G40" s="153">
        <v>22</v>
      </c>
      <c r="H40" s="150">
        <f>IF(N(C40)&gt;0,$H$5,"")</f>
        <v>40</v>
      </c>
      <c r="I40" s="154">
        <f t="shared" si="12"/>
        <v>173.33333333333334</v>
      </c>
      <c r="J40" s="152">
        <f>IF(N(C40)&gt;0,ROUND((F40/I40),2),"")</f>
        <v>5.35</v>
      </c>
      <c r="K40" s="155"/>
      <c r="L40" s="154">
        <f t="shared" si="42"/>
        <v>0</v>
      </c>
      <c r="M40" s="155"/>
      <c r="N40" s="154">
        <f t="shared" si="43"/>
        <v>0</v>
      </c>
      <c r="O40" s="152">
        <f t="shared" si="44"/>
        <v>0</v>
      </c>
      <c r="P40" s="156"/>
      <c r="Q40" s="156"/>
      <c r="R40" s="156"/>
      <c r="S40" s="157" t="str">
        <f t="shared" si="34"/>
        <v/>
      </c>
      <c r="T40" s="157" t="str">
        <f t="shared" si="35"/>
        <v/>
      </c>
      <c r="U40" s="157" t="str">
        <f t="shared" si="36"/>
        <v/>
      </c>
      <c r="V40" s="158">
        <f t="shared" si="37"/>
        <v>0</v>
      </c>
      <c r="W40" s="159"/>
      <c r="X40" s="158">
        <f t="shared" si="38"/>
        <v>0</v>
      </c>
      <c r="Y40" s="160">
        <f ca="1">IF(N(C40)&gt;0,VLOOKUP(C40,' Pessoal'!$A$2:$M$34,10),"")</f>
        <v>6.41</v>
      </c>
      <c r="Z40" s="160">
        <f t="shared" si="39"/>
        <v>141.02000000000001</v>
      </c>
      <c r="AA40" s="160">
        <f t="shared" si="40"/>
        <v>0</v>
      </c>
      <c r="AB40" s="159"/>
      <c r="AC40" s="300">
        <f t="shared" si="41"/>
        <v>0</v>
      </c>
      <c r="AD40" s="160">
        <f t="shared" si="18"/>
        <v>1068.02</v>
      </c>
      <c r="AE40" s="160">
        <f t="shared" si="19"/>
        <v>927</v>
      </c>
      <c r="AF40" s="160">
        <f ca="1">IF(N(C40)&gt;0,ROUND(AE40*VLOOKUP(C40,' Pessoal'!$A$2:$M$34,9),2),"")</f>
        <v>86.21</v>
      </c>
      <c r="AG40" s="162">
        <v>0.08</v>
      </c>
      <c r="AH40" s="160">
        <f t="shared" si="7"/>
        <v>74.16</v>
      </c>
      <c r="AI40" s="301">
        <v>0</v>
      </c>
      <c r="AJ40" s="160">
        <f t="shared" si="8"/>
        <v>160.37</v>
      </c>
      <c r="AK40" s="160">
        <f t="shared" si="9"/>
        <v>907.65</v>
      </c>
      <c r="AL40" s="160">
        <f t="shared" si="31"/>
        <v>7416</v>
      </c>
      <c r="AM40" s="163">
        <f t="shared" si="32"/>
        <v>815.75999999999976</v>
      </c>
      <c r="AN40" s="302">
        <f t="shared" si="33"/>
        <v>689.68000000000006</v>
      </c>
      <c r="AO40" s="7">
        <f>SUM(AH40:AH44)</f>
        <v>74.16</v>
      </c>
      <c r="AP40" s="7">
        <f>AE40</f>
        <v>927</v>
      </c>
      <c r="AQ40" s="7">
        <f>AP40*0.2125</f>
        <v>196.98749999999998</v>
      </c>
      <c r="AR40" s="7">
        <f>SUM(AE41:AE44)</f>
        <v>1035</v>
      </c>
      <c r="AS40" s="7">
        <f>ROUND(AR40*0.2375,2)-$AE43*0.01</f>
        <v>240.96</v>
      </c>
      <c r="AT40" s="7">
        <f>AK40</f>
        <v>907.65</v>
      </c>
      <c r="AU40" s="7">
        <f>ROUND(SUM(AK41:AK44),2)</f>
        <v>1203.19</v>
      </c>
      <c r="AV40" s="7">
        <f>ROUND(AP40*0.3125+AR40*0.3475,2)-$AE43*0.01</f>
        <v>644.5</v>
      </c>
      <c r="AW40" s="7">
        <f>AD40</f>
        <v>1068.02</v>
      </c>
      <c r="AX40" s="7">
        <f>SUM(AD41:AD44)</f>
        <v>1317.04</v>
      </c>
    </row>
    <row r="41" spans="1:50" s="73" customFormat="1">
      <c r="A41" s="66">
        <v>37</v>
      </c>
      <c r="B41" s="303">
        <f>B40</f>
        <v>40786</v>
      </c>
      <c r="C41" s="326">
        <v>2</v>
      </c>
      <c r="D41" s="327" t="str">
        <f ca="1">IF(N(C41)&gt;0,IF(N(C41)&lt;34,VLOOKUP('Tabela Final'!C41,' Pessoal'!$A$2:$B$34,2),""),"")</f>
        <v>Nuno</v>
      </c>
      <c r="E41" s="327" t="str">
        <f ca="1">IF(N(C41)&gt;0,IF(N(C41)&lt;34,VLOOKUP(C41,' Pessoal'!$A$2:$C$34,3),""),"")</f>
        <v>Ajud. Electricista</v>
      </c>
      <c r="F41" s="328">
        <f ca="1">IF(N(C41)&gt;0,IF(N(C41)&lt;34,VLOOKUP(C41,' Pessoal'!$A$2:$M$34,4)),"")</f>
        <v>0</v>
      </c>
      <c r="G41" s="307">
        <v>22</v>
      </c>
      <c r="H41" s="304">
        <v>40</v>
      </c>
      <c r="I41" s="308"/>
      <c r="J41" s="306"/>
      <c r="K41" s="309"/>
      <c r="L41" s="308"/>
      <c r="M41" s="309"/>
      <c r="N41" s="308"/>
      <c r="O41" s="306"/>
      <c r="P41" s="310"/>
      <c r="Q41" s="310"/>
      <c r="R41" s="310"/>
      <c r="S41" s="311" t="str">
        <f t="shared" si="34"/>
        <v/>
      </c>
      <c r="T41" s="311" t="str">
        <f t="shared" si="35"/>
        <v/>
      </c>
      <c r="U41" s="311" t="str">
        <f t="shared" si="36"/>
        <v/>
      </c>
      <c r="V41" s="312">
        <f t="shared" si="37"/>
        <v>0</v>
      </c>
      <c r="W41" s="313"/>
      <c r="X41" s="312">
        <f t="shared" si="38"/>
        <v>0</v>
      </c>
      <c r="Y41" s="314">
        <f ca="1">IF(N(C41)&gt;0,VLOOKUP(C41,' Pessoal'!$A$2:$M$34,10),"")</f>
        <v>0</v>
      </c>
      <c r="Z41" s="314">
        <f t="shared" si="39"/>
        <v>0</v>
      </c>
      <c r="AA41" s="314">
        <f t="shared" si="40"/>
        <v>0</v>
      </c>
      <c r="AB41" s="313"/>
      <c r="AC41" s="315">
        <f t="shared" si="41"/>
        <v>0</v>
      </c>
      <c r="AD41" s="314">
        <f t="shared" si="18"/>
        <v>0</v>
      </c>
      <c r="AE41" s="314">
        <f t="shared" si="19"/>
        <v>0</v>
      </c>
      <c r="AF41" s="314">
        <f ca="1">IF(N(C41)&gt;0,ROUND(AE41*VLOOKUP(C41,' Pessoal'!$A$2:$M$34,9),2),"")</f>
        <v>0</v>
      </c>
      <c r="AG41" s="316">
        <v>0</v>
      </c>
      <c r="AH41" s="314">
        <f t="shared" si="7"/>
        <v>0</v>
      </c>
      <c r="AI41" s="317">
        <v>0</v>
      </c>
      <c r="AJ41" s="314">
        <f t="shared" si="8"/>
        <v>0</v>
      </c>
      <c r="AK41" s="314">
        <f t="shared" si="9"/>
        <v>0</v>
      </c>
      <c r="AL41" s="314"/>
      <c r="AM41" s="318"/>
      <c r="AN41" s="319"/>
      <c r="AO41" s="67"/>
      <c r="AP41" s="67"/>
      <c r="AQ41" s="67"/>
      <c r="AR41" s="67"/>
      <c r="AS41" s="67"/>
      <c r="AT41" s="67"/>
      <c r="AU41" s="67"/>
      <c r="AV41" s="67"/>
      <c r="AW41" s="67"/>
      <c r="AX41" s="67"/>
    </row>
    <row r="42" spans="1:50" s="73" customFormat="1">
      <c r="A42" s="66">
        <v>38</v>
      </c>
      <c r="B42" s="303">
        <f>B41</f>
        <v>40786</v>
      </c>
      <c r="C42" s="326">
        <v>3</v>
      </c>
      <c r="D42" s="327" t="str">
        <f ca="1">IF(N(C42)&gt;0,IF(N(C42)&lt;34,VLOOKUP('Tabela Final'!C42,' Pessoal'!$A$2:$B$34,2),""),"")</f>
        <v>Fábio</v>
      </c>
      <c r="E42" s="327" t="str">
        <f ca="1">IF(N(C42)&gt;0,IF(N(C42)&lt;34,VLOOKUP(C42,' Pessoal'!$A$2:$C$34,3),""),"")</f>
        <v>Ajud. Electricista</v>
      </c>
      <c r="F42" s="328">
        <f ca="1">IF(N(C42)&gt;0,IF(N(C42)&lt;34,VLOOKUP(C42,' Pessoal'!$A$2:$M$34,4)),"")</f>
        <v>0</v>
      </c>
      <c r="G42" s="307">
        <v>22</v>
      </c>
      <c r="H42" s="304">
        <v>40</v>
      </c>
      <c r="I42" s="308">
        <f t="shared" si="12"/>
        <v>173.33333333333334</v>
      </c>
      <c r="J42" s="306">
        <f>IF(N(C42)&gt;0,ROUND((F42/I42),2),"")</f>
        <v>0</v>
      </c>
      <c r="K42" s="309"/>
      <c r="L42" s="308">
        <f t="shared" si="42"/>
        <v>0</v>
      </c>
      <c r="M42" s="309"/>
      <c r="N42" s="308">
        <f t="shared" si="43"/>
        <v>0</v>
      </c>
      <c r="O42" s="306">
        <f t="shared" si="44"/>
        <v>0</v>
      </c>
      <c r="P42" s="310"/>
      <c r="Q42" s="310"/>
      <c r="R42" s="310"/>
      <c r="S42" s="311" t="str">
        <f t="shared" si="34"/>
        <v/>
      </c>
      <c r="T42" s="311" t="str">
        <f t="shared" si="35"/>
        <v/>
      </c>
      <c r="U42" s="311" t="str">
        <f t="shared" si="36"/>
        <v/>
      </c>
      <c r="V42" s="312">
        <f t="shared" si="37"/>
        <v>0</v>
      </c>
      <c r="W42" s="313"/>
      <c r="X42" s="312">
        <f t="shared" si="38"/>
        <v>0</v>
      </c>
      <c r="Y42" s="314">
        <f ca="1">IF(N(C42)&gt;0,VLOOKUP(C42,' Pessoal'!$A$2:$M$34,10),"")</f>
        <v>0</v>
      </c>
      <c r="Z42" s="314">
        <f t="shared" si="39"/>
        <v>0</v>
      </c>
      <c r="AA42" s="314">
        <f t="shared" si="40"/>
        <v>0</v>
      </c>
      <c r="AB42" s="313"/>
      <c r="AC42" s="315">
        <f t="shared" si="41"/>
        <v>0</v>
      </c>
      <c r="AD42" s="314">
        <f t="shared" si="18"/>
        <v>0</v>
      </c>
      <c r="AE42" s="314">
        <f t="shared" si="19"/>
        <v>0</v>
      </c>
      <c r="AF42" s="314">
        <f ca="1">IF(N(C42)&gt;0,ROUND(AE42*VLOOKUP(C42,' Pessoal'!$A$2:$M$34,9),2),"")</f>
        <v>0</v>
      </c>
      <c r="AG42" s="316">
        <v>0</v>
      </c>
      <c r="AH42" s="314">
        <f t="shared" si="7"/>
        <v>0</v>
      </c>
      <c r="AI42" s="317">
        <v>0</v>
      </c>
      <c r="AJ42" s="314">
        <f t="shared" si="8"/>
        <v>0</v>
      </c>
      <c r="AK42" s="314">
        <f t="shared" si="9"/>
        <v>0</v>
      </c>
      <c r="AL42" s="314">
        <f t="shared" ref="AL42:AL54" si="45">AE42+AL37</f>
        <v>0</v>
      </c>
      <c r="AM42" s="318">
        <f t="shared" ref="AM42:AM54" si="46">AH42+AM37</f>
        <v>0</v>
      </c>
      <c r="AN42" s="319">
        <f t="shared" ref="AN42:AN54" si="47">AF42+AN37</f>
        <v>0</v>
      </c>
      <c r="AO42" s="67"/>
      <c r="AP42" s="67"/>
      <c r="AQ42" s="67"/>
      <c r="AR42" s="67"/>
      <c r="AS42" s="67"/>
      <c r="AT42" s="67"/>
      <c r="AU42" s="67"/>
      <c r="AV42" s="67"/>
      <c r="AW42" s="67"/>
      <c r="AX42" s="67"/>
    </row>
    <row r="43" spans="1:50">
      <c r="A43" s="48">
        <v>39</v>
      </c>
      <c r="B43" s="201">
        <f>B42</f>
        <v>40786</v>
      </c>
      <c r="C43" s="150">
        <v>4</v>
      </c>
      <c r="D43" s="151" t="str">
        <f ca="1">IF(N(C43)&gt;0,IF(N(C43)&lt;34,VLOOKUP('Tabela Final'!C43,' Pessoal'!$A$2:$B$34,2),""),"")</f>
        <v>Carlos</v>
      </c>
      <c r="E43" s="151" t="str">
        <f ca="1">IF(N(C43)&gt;0,IF(N(C43)&lt;34,VLOOKUP(C43,' Pessoal'!$A$2:$C$34,3),""),"")</f>
        <v>Ajud. Electricista</v>
      </c>
      <c r="F43" s="152">
        <f ca="1">IF(N(C43)&gt;0,IF(N(C43)&lt;34,VLOOKUP(C43,' Pessoal'!$A$2:$M$34,4)),"")</f>
        <v>485</v>
      </c>
      <c r="G43" s="168">
        <v>22</v>
      </c>
      <c r="H43" s="202">
        <f>IF(N(C43)&gt;0,$H$5,"")</f>
        <v>40</v>
      </c>
      <c r="I43" s="204">
        <f t="shared" si="12"/>
        <v>173.33333333333334</v>
      </c>
      <c r="J43" s="203">
        <f>IF(N(C43)&gt;0,ROUND((F43/I43),2),"")</f>
        <v>2.8</v>
      </c>
      <c r="K43" s="205"/>
      <c r="L43" s="204">
        <f t="shared" si="42"/>
        <v>0</v>
      </c>
      <c r="M43" s="205"/>
      <c r="N43" s="204">
        <f t="shared" si="43"/>
        <v>0</v>
      </c>
      <c r="O43" s="203">
        <f t="shared" si="44"/>
        <v>0</v>
      </c>
      <c r="P43" s="206"/>
      <c r="Q43" s="206"/>
      <c r="R43" s="206"/>
      <c r="S43" s="207" t="str">
        <f t="shared" si="34"/>
        <v/>
      </c>
      <c r="T43" s="207" t="str">
        <f t="shared" si="35"/>
        <v/>
      </c>
      <c r="U43" s="207" t="str">
        <f t="shared" si="36"/>
        <v/>
      </c>
      <c r="V43" s="208">
        <f t="shared" si="37"/>
        <v>0</v>
      </c>
      <c r="W43" s="209"/>
      <c r="X43" s="208">
        <f t="shared" si="38"/>
        <v>0</v>
      </c>
      <c r="Y43" s="210">
        <f ca="1">IF(N(C43)&gt;0,VLOOKUP(C43,' Pessoal'!$A$2:$M$34,10),"")</f>
        <v>6.41</v>
      </c>
      <c r="Z43" s="210">
        <f t="shared" si="39"/>
        <v>141.02000000000001</v>
      </c>
      <c r="AA43" s="210">
        <f t="shared" si="40"/>
        <v>0</v>
      </c>
      <c r="AB43" s="209"/>
      <c r="AC43" s="329">
        <f t="shared" si="41"/>
        <v>0</v>
      </c>
      <c r="AD43" s="210">
        <f t="shared" si="18"/>
        <v>626.02</v>
      </c>
      <c r="AE43" s="210">
        <f t="shared" si="19"/>
        <v>485</v>
      </c>
      <c r="AF43" s="210">
        <f ca="1">IF(N(C43)&gt;0,ROUND(AE43*VLOOKUP(C43,' Pessoal'!$A$2:$M$34,9),2),"")</f>
        <v>53.35</v>
      </c>
      <c r="AG43" s="176">
        <v>0</v>
      </c>
      <c r="AH43" s="210">
        <f t="shared" si="7"/>
        <v>0</v>
      </c>
      <c r="AI43" s="330">
        <v>0</v>
      </c>
      <c r="AJ43" s="210">
        <f t="shared" si="8"/>
        <v>53.35</v>
      </c>
      <c r="AK43" s="210">
        <f t="shared" si="9"/>
        <v>572.66999999999996</v>
      </c>
      <c r="AL43" s="175">
        <f t="shared" si="45"/>
        <v>3920</v>
      </c>
      <c r="AM43" s="177">
        <f t="shared" si="46"/>
        <v>0</v>
      </c>
      <c r="AN43" s="322">
        <f t="shared" si="47"/>
        <v>431.20000000000005</v>
      </c>
      <c r="AO43" s="7"/>
      <c r="AP43" s="7"/>
      <c r="AQ43" s="7"/>
      <c r="AR43" s="7"/>
      <c r="AS43" s="7"/>
      <c r="AT43" s="7"/>
      <c r="AU43" s="7"/>
      <c r="AV43" s="7"/>
      <c r="AW43" s="7"/>
      <c r="AX43" s="7"/>
    </row>
    <row r="44" spans="1:50" s="193" customFormat="1" ht="12" thickBot="1">
      <c r="A44" s="71">
        <v>40</v>
      </c>
      <c r="B44" s="179">
        <f>B43</f>
        <v>40786</v>
      </c>
      <c r="C44" s="331">
        <v>5</v>
      </c>
      <c r="D44" s="332" t="str">
        <f ca="1">IF(N(C44)&gt;0,IF(N(C44)&lt;34,VLOOKUP('Tabela Final'!C44,' Pessoal'!$A$2:$B$34,2),""),"")</f>
        <v>André</v>
      </c>
      <c r="E44" s="332" t="str">
        <f ca="1">IF(N(C44)&gt;0,IF(N(C44)&lt;34,VLOOKUP(C44,' Pessoal'!$A$2:$C$34,3),""),"")</f>
        <v>Ajud. Electricista</v>
      </c>
      <c r="F44" s="333">
        <f ca="1">IF(N(C44)&gt;0,IF(N(C44)&lt;34,VLOOKUP(C44,' Pessoal'!$A$2:$M$34,4)),"")</f>
        <v>550</v>
      </c>
      <c r="G44" s="183">
        <v>22</v>
      </c>
      <c r="H44" s="180">
        <f>IF(N(C44)&gt;0,$H$5,"")</f>
        <v>40</v>
      </c>
      <c r="I44" s="184">
        <f t="shared" si="12"/>
        <v>173.33333333333334</v>
      </c>
      <c r="J44" s="182">
        <f>IF(N(C44)&gt;0,ROUND((F44/I44),2),"")</f>
        <v>3.17</v>
      </c>
      <c r="K44" s="185"/>
      <c r="L44" s="184">
        <f t="shared" si="42"/>
        <v>0</v>
      </c>
      <c r="M44" s="185"/>
      <c r="N44" s="184">
        <f t="shared" si="43"/>
        <v>0</v>
      </c>
      <c r="O44" s="182">
        <f t="shared" si="44"/>
        <v>0</v>
      </c>
      <c r="P44" s="186"/>
      <c r="Q44" s="186"/>
      <c r="R44" s="186"/>
      <c r="S44" s="187" t="str">
        <f t="shared" si="34"/>
        <v/>
      </c>
      <c r="T44" s="187" t="str">
        <f t="shared" si="35"/>
        <v/>
      </c>
      <c r="U44" s="187" t="str">
        <f t="shared" si="36"/>
        <v/>
      </c>
      <c r="V44" s="188">
        <f t="shared" si="37"/>
        <v>0</v>
      </c>
      <c r="W44" s="189"/>
      <c r="X44" s="188">
        <f t="shared" si="38"/>
        <v>0</v>
      </c>
      <c r="Y44" s="161">
        <f ca="1">IF(N(C44)&gt;0,VLOOKUP(C44,' Pessoal'!$A$2:$M$34,10),"")</f>
        <v>6.41</v>
      </c>
      <c r="Z44" s="161">
        <f t="shared" si="39"/>
        <v>141.02000000000001</v>
      </c>
      <c r="AA44" s="161">
        <f t="shared" si="40"/>
        <v>0</v>
      </c>
      <c r="AB44" s="189"/>
      <c r="AC44" s="161">
        <f t="shared" si="41"/>
        <v>0</v>
      </c>
      <c r="AD44" s="161">
        <f t="shared" si="18"/>
        <v>691.02</v>
      </c>
      <c r="AE44" s="161">
        <f t="shared" si="19"/>
        <v>550</v>
      </c>
      <c r="AF44" s="161">
        <f ca="1">IF(N(C44)&gt;0,ROUND(AE44*VLOOKUP(C44,' Pessoal'!$A$2:$M$34,9),2),"")</f>
        <v>60.5</v>
      </c>
      <c r="AG44" s="190">
        <v>0</v>
      </c>
      <c r="AH44" s="161">
        <f t="shared" si="7"/>
        <v>0</v>
      </c>
      <c r="AI44" s="324">
        <v>0</v>
      </c>
      <c r="AJ44" s="161">
        <f t="shared" si="8"/>
        <v>60.5</v>
      </c>
      <c r="AK44" s="161">
        <f t="shared" si="9"/>
        <v>630.52</v>
      </c>
      <c r="AL44" s="161">
        <f>AE44+AL39</f>
        <v>4400</v>
      </c>
      <c r="AM44" s="191">
        <f t="shared" si="46"/>
        <v>0</v>
      </c>
      <c r="AN44" s="325">
        <f t="shared" si="47"/>
        <v>484</v>
      </c>
      <c r="AO44" s="192"/>
      <c r="AP44" s="192"/>
      <c r="AQ44" s="192"/>
      <c r="AR44" s="192"/>
      <c r="AS44" s="192"/>
      <c r="AT44" s="192"/>
      <c r="AU44" s="192"/>
      <c r="AV44" s="192"/>
      <c r="AW44" s="192"/>
      <c r="AX44" s="192"/>
    </row>
    <row r="45" spans="1:50">
      <c r="A45" s="70">
        <v>41</v>
      </c>
      <c r="B45" s="219">
        <v>40816</v>
      </c>
      <c r="C45" s="220">
        <v>1</v>
      </c>
      <c r="D45" s="221" t="str">
        <f ca="1">IF(N(C45)&gt;0,IF(N(C45)&lt;34,VLOOKUP('Tabela Final'!C45,' Pessoal'!$A$2:$B$34,2),""),"")</f>
        <v>Susana</v>
      </c>
      <c r="E45" s="221" t="str">
        <f ca="1">IF(N(C45)&gt;0,IF(N(C45)&lt;34,VLOOKUP(C45,' Pessoal'!$A$2:$C$34,3),""),"")</f>
        <v>Gerente</v>
      </c>
      <c r="F45" s="222">
        <f ca="1">IF(N(C45)&gt;0,IF(N(C45)&lt;34,VLOOKUP(C45,' Pessoal'!$A$2:$M$34,4)),"")</f>
        <v>927</v>
      </c>
      <c r="G45" s="223">
        <v>22</v>
      </c>
      <c r="H45" s="220">
        <f t="shared" ref="H45:H65" si="48">IF(N(C45)&gt;0,$H$5,"")</f>
        <v>40</v>
      </c>
      <c r="I45" s="225">
        <f t="shared" si="12"/>
        <v>173.33333333333334</v>
      </c>
      <c r="J45" s="222">
        <f t="shared" ref="J45:J65" si="49">IF(N(C45)&gt;0,ROUND((F45/I45),2),"")</f>
        <v>5.35</v>
      </c>
      <c r="K45" s="226"/>
      <c r="L45" s="225">
        <f t="shared" ref="L45:L65" si="50">IF(N(C45)&gt;0,K45*((ROUND(I45/30,2)*J45)),"")</f>
        <v>0</v>
      </c>
      <c r="M45" s="226"/>
      <c r="N45" s="225">
        <f>IF(N(C45)&gt;0,(M45*J45),"")</f>
        <v>0</v>
      </c>
      <c r="O45" s="222">
        <f>IF(N(C45)&gt;0,ROUND(L45+N45,2),"")</f>
        <v>0</v>
      </c>
      <c r="P45" s="227"/>
      <c r="Q45" s="227"/>
      <c r="R45" s="227"/>
      <c r="S45" s="228" t="str">
        <f t="shared" ref="S45:S65" si="51">IF(N(P45)&gt;0,P45*ROUND((J45+($P$4*J45)),2),"")</f>
        <v/>
      </c>
      <c r="T45" s="228" t="str">
        <f t="shared" ref="T45:T65" si="52">IF(N(Q45)&gt;0,Q45*ROUND((J45+($Q$4*J45)),2),"")</f>
        <v/>
      </c>
      <c r="U45" s="228" t="str">
        <f t="shared" ref="U45:U65" si="53">IF(N(R45)&gt;0,R45*ROUND((J45+($R$4*J45)),2),"")</f>
        <v/>
      </c>
      <c r="V45" s="229">
        <f t="shared" ref="V45:V65" si="54">IF(N(C45)&gt;0,SUM(S45:U45),"")</f>
        <v>0</v>
      </c>
      <c r="W45" s="230"/>
      <c r="X45" s="229">
        <f t="shared" ref="X45:X65" si="55">IF(N(C45)&gt;0,V45+W45,"")</f>
        <v>0</v>
      </c>
      <c r="Y45" s="231">
        <f ca="1">IF(N(C45)&gt;0,VLOOKUP(C45,' Pessoal'!$A$2:$M$34,10),"")</f>
        <v>6.41</v>
      </c>
      <c r="Z45" s="231">
        <f t="shared" ref="Z45:Z65" si="56">IF(N(C45)&gt;0,(G45*Y45),"")</f>
        <v>141.02000000000001</v>
      </c>
      <c r="AA45" s="231">
        <f t="shared" ref="AA45:AA65" si="57">IF(N(C45)&gt;0,V45,"")</f>
        <v>0</v>
      </c>
      <c r="AB45" s="230"/>
      <c r="AC45" s="231">
        <f t="shared" ref="AC45:AC65" si="58">IF(N(C45)&gt;0,V45,"")</f>
        <v>0</v>
      </c>
      <c r="AD45" s="231">
        <f t="shared" ref="AD45:AD65" si="59">IF(N(C45)&gt;0,ROUND(SUM(X45+F45+Z45+AA45+AB45+AC45)-O45,2),"")</f>
        <v>1068.02</v>
      </c>
      <c r="AE45" s="231">
        <f t="shared" si="19"/>
        <v>927</v>
      </c>
      <c r="AF45" s="231">
        <f ca="1">IF(N(C45)&gt;0,ROUND(AE45*VLOOKUP(C45,' Pessoal'!$A$2:$M$34,9),2),"")</f>
        <v>86.21</v>
      </c>
      <c r="AG45" s="233">
        <v>0.08</v>
      </c>
      <c r="AH45" s="231">
        <f t="shared" ref="AH45:AH65" si="60">IF(N(C45)&gt;0,ROUND(AE45*AG45,2),"")</f>
        <v>74.16</v>
      </c>
      <c r="AI45" s="233">
        <v>0</v>
      </c>
      <c r="AJ45" s="231">
        <f t="shared" ref="AJ45:AJ65" si="61">IF(N(C45)&gt;0,SUM(AF45+AH45)+(AD45*AI45),"")</f>
        <v>160.37</v>
      </c>
      <c r="AK45" s="231">
        <f t="shared" ref="AK45:AK65" si="62">IF(N(C45)&gt;0,(AD45-AJ45),"")</f>
        <v>907.65</v>
      </c>
      <c r="AL45" s="231">
        <f t="shared" si="45"/>
        <v>8343</v>
      </c>
      <c r="AM45" s="235">
        <f>AH45+AM40</f>
        <v>889.91999999999973</v>
      </c>
      <c r="AN45" s="236">
        <f t="shared" si="47"/>
        <v>775.8900000000001</v>
      </c>
      <c r="AO45" s="7">
        <f>SUM(AH45:AH49)</f>
        <v>74.16</v>
      </c>
      <c r="AP45" s="7">
        <f>AE45</f>
        <v>927</v>
      </c>
      <c r="AQ45" s="7">
        <f>AP45*0.2125</f>
        <v>196.98749999999998</v>
      </c>
      <c r="AR45" s="7">
        <f>SUM(AE46:AE49)</f>
        <v>1075</v>
      </c>
      <c r="AS45" s="7">
        <f>ROUND(AR45*0.2375,2)-$AE48*0.01</f>
        <v>250.06</v>
      </c>
      <c r="AT45" s="7">
        <f>AK45</f>
        <v>907.65</v>
      </c>
      <c r="AU45" s="7">
        <f>ROUND(SUM(AK46:AK49),2)</f>
        <v>1238.79</v>
      </c>
      <c r="AV45" s="7">
        <f>ROUND(AP45*0.3125+AR45*0.3475,2)-$AE48*0.01</f>
        <v>658</v>
      </c>
      <c r="AW45" s="7">
        <f>AD45</f>
        <v>1068.02</v>
      </c>
      <c r="AX45" s="7">
        <f>SUM(AD46:AD49)</f>
        <v>1357.04</v>
      </c>
    </row>
    <row r="46" spans="1:50" s="73" customFormat="1">
      <c r="A46" s="178">
        <v>42</v>
      </c>
      <c r="B46" s="237">
        <f>B45</f>
        <v>40816</v>
      </c>
      <c r="C46" s="238">
        <v>2</v>
      </c>
      <c r="D46" s="239" t="str">
        <f ca="1">IF(N(C46)&gt;0,IF(N(C46)&lt;34,VLOOKUP('Tabela Final'!C46,' Pessoal'!$A$2:$B$34,2),""),"")</f>
        <v>Nuno</v>
      </c>
      <c r="E46" s="239" t="str">
        <f ca="1">IF(N(C46)&gt;0,IF(N(C46)&lt;34,VLOOKUP(C46,' Pessoal'!$A$2:$C$34,3),""),"")</f>
        <v>Ajud. Electricista</v>
      </c>
      <c r="F46" s="240">
        <f ca="1">IF(N(C46)&gt;0,IF(N(C46)&lt;34,VLOOKUP(C46,' Pessoal'!$A$2:$M$34,4)),"")</f>
        <v>0</v>
      </c>
      <c r="G46" s="241">
        <v>22</v>
      </c>
      <c r="H46" s="238">
        <v>40</v>
      </c>
      <c r="I46" s="242"/>
      <c r="J46" s="240"/>
      <c r="K46" s="243"/>
      <c r="L46" s="242"/>
      <c r="M46" s="243"/>
      <c r="N46" s="242"/>
      <c r="O46" s="240"/>
      <c r="P46" s="244"/>
      <c r="Q46" s="244"/>
      <c r="R46" s="244"/>
      <c r="S46" s="245" t="str">
        <f t="shared" si="51"/>
        <v/>
      </c>
      <c r="T46" s="245" t="str">
        <f t="shared" si="52"/>
        <v/>
      </c>
      <c r="U46" s="245" t="str">
        <f t="shared" si="53"/>
        <v/>
      </c>
      <c r="V46" s="246">
        <f t="shared" si="54"/>
        <v>0</v>
      </c>
      <c r="W46" s="247"/>
      <c r="X46" s="246">
        <f t="shared" si="55"/>
        <v>0</v>
      </c>
      <c r="Y46" s="248">
        <f ca="1">IF(N(C46)&gt;0,VLOOKUP(C46,' Pessoal'!$A$2:$M$34,10),"")</f>
        <v>0</v>
      </c>
      <c r="Z46" s="248">
        <f t="shared" si="56"/>
        <v>0</v>
      </c>
      <c r="AA46" s="248">
        <f t="shared" si="57"/>
        <v>0</v>
      </c>
      <c r="AB46" s="247"/>
      <c r="AC46" s="248">
        <f t="shared" si="58"/>
        <v>0</v>
      </c>
      <c r="AD46" s="248">
        <f t="shared" si="59"/>
        <v>0</v>
      </c>
      <c r="AE46" s="248">
        <f t="shared" si="19"/>
        <v>0</v>
      </c>
      <c r="AF46" s="248">
        <f ca="1">IF(N(C46)&gt;0,ROUND(AE46*VLOOKUP(C46,' Pessoal'!$A$2:$M$34,9),2),"")</f>
        <v>0</v>
      </c>
      <c r="AG46" s="250">
        <v>0</v>
      </c>
      <c r="AH46" s="248">
        <f t="shared" si="60"/>
        <v>0</v>
      </c>
      <c r="AI46" s="250">
        <v>0</v>
      </c>
      <c r="AJ46" s="248">
        <f t="shared" si="61"/>
        <v>0</v>
      </c>
      <c r="AK46" s="248">
        <f t="shared" si="62"/>
        <v>0</v>
      </c>
      <c r="AL46" s="248">
        <f t="shared" si="45"/>
        <v>0</v>
      </c>
      <c r="AM46" s="255">
        <f t="shared" si="46"/>
        <v>0</v>
      </c>
      <c r="AN46" s="254">
        <f t="shared" si="47"/>
        <v>0</v>
      </c>
      <c r="AO46" s="67"/>
      <c r="AP46" s="67"/>
      <c r="AQ46" s="67"/>
      <c r="AR46" s="67"/>
      <c r="AS46" s="67"/>
      <c r="AT46" s="67"/>
      <c r="AU46" s="67"/>
      <c r="AV46" s="67"/>
      <c r="AW46" s="67"/>
      <c r="AX46" s="67"/>
    </row>
    <row r="47" spans="1:50" s="73" customFormat="1">
      <c r="A47" s="178">
        <v>43</v>
      </c>
      <c r="B47" s="237">
        <f>B46</f>
        <v>40816</v>
      </c>
      <c r="C47" s="238">
        <v>3</v>
      </c>
      <c r="D47" s="239" t="str">
        <f ca="1">IF(N(C47)&gt;0,IF(N(C47)&lt;34,VLOOKUP('Tabela Final'!C47,' Pessoal'!$A$2:$B$34,2),""),"")</f>
        <v>Fábio</v>
      </c>
      <c r="E47" s="239" t="str">
        <f ca="1">IF(N(C47)&gt;0,IF(N(C47)&lt;34,VLOOKUP(C47,' Pessoal'!$A$2:$C$34,3),""),"")</f>
        <v>Ajud. Electricista</v>
      </c>
      <c r="F47" s="240">
        <f ca="1">IF(N(C47)&gt;0,IF(N(C47)&lt;34,VLOOKUP(C47,' Pessoal'!$A$2:$M$34,4)),"")</f>
        <v>0</v>
      </c>
      <c r="G47" s="241">
        <v>22</v>
      </c>
      <c r="H47" s="238">
        <f t="shared" si="48"/>
        <v>40</v>
      </c>
      <c r="I47" s="242">
        <f t="shared" si="12"/>
        <v>173.33333333333334</v>
      </c>
      <c r="J47" s="240">
        <f t="shared" si="49"/>
        <v>0</v>
      </c>
      <c r="K47" s="243"/>
      <c r="L47" s="242">
        <f t="shared" si="50"/>
        <v>0</v>
      </c>
      <c r="M47" s="243"/>
      <c r="N47" s="242">
        <f>IF(N(C47)&gt;0,(M47*J47),"")</f>
        <v>0</v>
      </c>
      <c r="O47" s="240">
        <f>IF(N(C47)&gt;0,ROUND(L47+N47,2),"")</f>
        <v>0</v>
      </c>
      <c r="P47" s="244"/>
      <c r="Q47" s="244"/>
      <c r="R47" s="244"/>
      <c r="S47" s="245" t="str">
        <f t="shared" si="51"/>
        <v/>
      </c>
      <c r="T47" s="245" t="str">
        <f t="shared" si="52"/>
        <v/>
      </c>
      <c r="U47" s="245" t="str">
        <f t="shared" si="53"/>
        <v/>
      </c>
      <c r="V47" s="246">
        <f t="shared" si="54"/>
        <v>0</v>
      </c>
      <c r="W47" s="247"/>
      <c r="X47" s="246">
        <f t="shared" si="55"/>
        <v>0</v>
      </c>
      <c r="Y47" s="248">
        <f ca="1">IF(N(C47)&gt;0,VLOOKUP(C47,' Pessoal'!$A$2:$M$34,10),"")</f>
        <v>0</v>
      </c>
      <c r="Z47" s="248">
        <f t="shared" si="56"/>
        <v>0</v>
      </c>
      <c r="AA47" s="248">
        <f t="shared" si="57"/>
        <v>0</v>
      </c>
      <c r="AB47" s="247"/>
      <c r="AC47" s="248">
        <f t="shared" si="58"/>
        <v>0</v>
      </c>
      <c r="AD47" s="248">
        <f t="shared" si="59"/>
        <v>0</v>
      </c>
      <c r="AE47" s="248">
        <f t="shared" si="19"/>
        <v>0</v>
      </c>
      <c r="AF47" s="248">
        <f ca="1">IF(N(C47)&gt;0,ROUND(AE47*VLOOKUP(C47,' Pessoal'!$A$2:$M$34,9),2),"")</f>
        <v>0</v>
      </c>
      <c r="AG47" s="250">
        <v>0</v>
      </c>
      <c r="AH47" s="248">
        <f t="shared" si="60"/>
        <v>0</v>
      </c>
      <c r="AI47" s="250">
        <v>0</v>
      </c>
      <c r="AJ47" s="248">
        <f t="shared" si="61"/>
        <v>0</v>
      </c>
      <c r="AK47" s="248">
        <f t="shared" si="62"/>
        <v>0</v>
      </c>
      <c r="AL47" s="248">
        <f t="shared" si="45"/>
        <v>0</v>
      </c>
      <c r="AM47" s="255">
        <f t="shared" si="46"/>
        <v>0</v>
      </c>
      <c r="AN47" s="254">
        <f t="shared" si="47"/>
        <v>0</v>
      </c>
      <c r="AO47" s="67"/>
      <c r="AP47" s="67"/>
      <c r="AQ47" s="67"/>
      <c r="AR47" s="67"/>
      <c r="AS47" s="67"/>
      <c r="AT47" s="67"/>
      <c r="AU47" s="67"/>
      <c r="AV47" s="67"/>
      <c r="AW47" s="67"/>
      <c r="AX47" s="67"/>
    </row>
    <row r="48" spans="1:50">
      <c r="A48" s="49">
        <v>44</v>
      </c>
      <c r="B48" s="256">
        <f>B47</f>
        <v>40816</v>
      </c>
      <c r="C48" s="257">
        <v>4</v>
      </c>
      <c r="D48" s="258" t="str">
        <f ca="1">IF(N(C48)&gt;0,IF(N(C48)&lt;34,VLOOKUP('Tabela Final'!C48,' Pessoal'!$A$2:$B$34,2),""),"")</f>
        <v>Carlos</v>
      </c>
      <c r="E48" s="258" t="str">
        <f ca="1">IF(N(C48)&gt;0,IF(N(C48)&lt;34,VLOOKUP(C48,' Pessoal'!$A$2:$C$34,3),""),"")</f>
        <v>Ajud. Electricista</v>
      </c>
      <c r="F48" s="259">
        <f ca="1">IF(N(C48)&gt;0,IF(N(C48)&lt;34,VLOOKUP(C48,' Pessoal'!$A$2:$M$34,4)),"")</f>
        <v>485</v>
      </c>
      <c r="G48" s="260">
        <v>22</v>
      </c>
      <c r="H48" s="257">
        <f t="shared" si="48"/>
        <v>40</v>
      </c>
      <c r="I48" s="261">
        <f t="shared" si="12"/>
        <v>173.33333333333334</v>
      </c>
      <c r="J48" s="259">
        <f t="shared" si="49"/>
        <v>2.8</v>
      </c>
      <c r="K48" s="262"/>
      <c r="L48" s="261">
        <f t="shared" si="50"/>
        <v>0</v>
      </c>
      <c r="M48" s="262"/>
      <c r="N48" s="261">
        <f>IF(N(C48)&gt;0,(M48*J48),"")</f>
        <v>0</v>
      </c>
      <c r="O48" s="259">
        <f>IF(N(C48)&gt;0,ROUND(L48+N48,2),"")</f>
        <v>0</v>
      </c>
      <c r="P48" s="263"/>
      <c r="Q48" s="263"/>
      <c r="R48" s="263"/>
      <c r="S48" s="264" t="str">
        <f t="shared" si="51"/>
        <v/>
      </c>
      <c r="T48" s="264" t="str">
        <f t="shared" si="52"/>
        <v/>
      </c>
      <c r="U48" s="264" t="str">
        <f t="shared" si="53"/>
        <v/>
      </c>
      <c r="V48" s="265">
        <f t="shared" si="54"/>
        <v>0</v>
      </c>
      <c r="W48" s="266"/>
      <c r="X48" s="265">
        <f t="shared" si="55"/>
        <v>0</v>
      </c>
      <c r="Y48" s="267">
        <f ca="1">IF(N(C48)&gt;0,VLOOKUP(C48,' Pessoal'!$A$2:$M$34,10),"")</f>
        <v>6.41</v>
      </c>
      <c r="Z48" s="267">
        <f t="shared" si="56"/>
        <v>141.02000000000001</v>
      </c>
      <c r="AA48" s="267">
        <f t="shared" si="57"/>
        <v>0</v>
      </c>
      <c r="AB48" s="266"/>
      <c r="AC48" s="267">
        <v>40</v>
      </c>
      <c r="AD48" s="267">
        <f>IF(N(C48)&gt;0,ROUND(SUM(X48+F48+Z48+AA48+AB48+AC48)-O48,2),"")</f>
        <v>666.02</v>
      </c>
      <c r="AE48" s="267">
        <f>IF(N(C48)&gt;0,(ROUND(IF((Y48)&gt;6.41,((Y48-6.41)*G49+F48+AA48+AB48+AC48-O48),F48+AA48+AB48+AC48-O48),2))," ")</f>
        <v>525</v>
      </c>
      <c r="AF48" s="267">
        <f ca="1">IF(N(C48)&gt;0,ROUND(AE48*VLOOKUP(C48,' Pessoal'!$A$2:$M$34,9),2),"")</f>
        <v>57.75</v>
      </c>
      <c r="AG48" s="269">
        <v>0</v>
      </c>
      <c r="AH48" s="267">
        <f t="shared" si="60"/>
        <v>0</v>
      </c>
      <c r="AI48" s="269">
        <v>0</v>
      </c>
      <c r="AJ48" s="267">
        <f t="shared" si="61"/>
        <v>57.75</v>
      </c>
      <c r="AK48" s="267">
        <f t="shared" si="62"/>
        <v>608.27</v>
      </c>
      <c r="AL48" s="267">
        <f t="shared" si="45"/>
        <v>4445</v>
      </c>
      <c r="AM48" s="271">
        <f t="shared" si="46"/>
        <v>0</v>
      </c>
      <c r="AN48" s="272">
        <f t="shared" si="47"/>
        <v>488.95000000000005</v>
      </c>
      <c r="AO48" s="7"/>
      <c r="AP48" s="7"/>
      <c r="AQ48" s="7"/>
      <c r="AR48" s="7"/>
      <c r="AS48" s="7"/>
      <c r="AT48" s="7"/>
      <c r="AU48" s="7"/>
      <c r="AV48" s="7"/>
      <c r="AW48" s="7"/>
      <c r="AX48" s="7"/>
    </row>
    <row r="49" spans="1:50" s="193" customFormat="1" ht="12" thickBot="1">
      <c r="A49" s="71">
        <v>45</v>
      </c>
      <c r="B49" s="273">
        <f>B48</f>
        <v>40816</v>
      </c>
      <c r="C49" s="274">
        <v>5</v>
      </c>
      <c r="D49" s="275" t="str">
        <f ca="1">IF(N(C49)&gt;0,IF(N(C49)&lt;34,VLOOKUP('Tabela Final'!C49,' Pessoal'!$A$2:$B$34,2),""),"")</f>
        <v>André</v>
      </c>
      <c r="E49" s="275" t="str">
        <f ca="1">IF(N(C49)&gt;0,IF(N(C49)&lt;34,VLOOKUP(C49,' Pessoal'!$A$2:$C$34,3),""),"")</f>
        <v>Ajud. Electricista</v>
      </c>
      <c r="F49" s="276">
        <f ca="1">IF(N(C49)&gt;0,IF(N(C49)&lt;34,VLOOKUP(C49,' Pessoal'!$A$2:$M$34,4)),"")</f>
        <v>550</v>
      </c>
      <c r="G49" s="277">
        <v>22</v>
      </c>
      <c r="H49" s="274">
        <f t="shared" si="48"/>
        <v>40</v>
      </c>
      <c r="I49" s="278">
        <f t="shared" si="12"/>
        <v>173.33333333333334</v>
      </c>
      <c r="J49" s="276">
        <f t="shared" si="49"/>
        <v>3.17</v>
      </c>
      <c r="K49" s="279"/>
      <c r="L49" s="278">
        <f t="shared" si="50"/>
        <v>0</v>
      </c>
      <c r="M49" s="279"/>
      <c r="N49" s="278">
        <f>IF(N(C49)&gt;0,(M49*J49),"")</f>
        <v>0</v>
      </c>
      <c r="O49" s="276">
        <f>IF(N(C49)&gt;0,ROUND(L49+N49,2),"")</f>
        <v>0</v>
      </c>
      <c r="P49" s="280"/>
      <c r="Q49" s="280"/>
      <c r="R49" s="280"/>
      <c r="S49" s="281" t="str">
        <f t="shared" si="51"/>
        <v/>
      </c>
      <c r="T49" s="281" t="str">
        <f t="shared" si="52"/>
        <v/>
      </c>
      <c r="U49" s="281" t="str">
        <f t="shared" si="53"/>
        <v/>
      </c>
      <c r="V49" s="282">
        <f t="shared" si="54"/>
        <v>0</v>
      </c>
      <c r="W49" s="283"/>
      <c r="X49" s="282">
        <f t="shared" si="55"/>
        <v>0</v>
      </c>
      <c r="Y49" s="284">
        <f ca="1">IF(N(C49)&gt;0,VLOOKUP(C49,' Pessoal'!$A$2:$M$34,10),"")</f>
        <v>6.41</v>
      </c>
      <c r="Z49" s="284">
        <f t="shared" si="56"/>
        <v>141.02000000000001</v>
      </c>
      <c r="AA49" s="284">
        <f t="shared" si="57"/>
        <v>0</v>
      </c>
      <c r="AB49" s="283"/>
      <c r="AC49" s="284">
        <f t="shared" si="58"/>
        <v>0</v>
      </c>
      <c r="AD49" s="284">
        <f t="shared" si="59"/>
        <v>691.02</v>
      </c>
      <c r="AE49" s="284">
        <f t="shared" si="19"/>
        <v>550</v>
      </c>
      <c r="AF49" s="284">
        <f ca="1">IF(N(C49)&gt;0,ROUND(AE49*VLOOKUP(C49,' Pessoal'!$A$2:$M$34,9),2),"")</f>
        <v>60.5</v>
      </c>
      <c r="AG49" s="286">
        <v>0</v>
      </c>
      <c r="AH49" s="284">
        <f t="shared" si="60"/>
        <v>0</v>
      </c>
      <c r="AI49" s="286">
        <v>0</v>
      </c>
      <c r="AJ49" s="284">
        <f t="shared" si="61"/>
        <v>60.5</v>
      </c>
      <c r="AK49" s="284">
        <f t="shared" si="62"/>
        <v>630.52</v>
      </c>
      <c r="AL49" s="284">
        <f t="shared" si="45"/>
        <v>4950</v>
      </c>
      <c r="AM49" s="288">
        <f t="shared" si="46"/>
        <v>0</v>
      </c>
      <c r="AN49" s="289">
        <f t="shared" si="47"/>
        <v>544.5</v>
      </c>
      <c r="AO49" s="192"/>
      <c r="AP49" s="192"/>
      <c r="AQ49" s="192"/>
      <c r="AR49" s="192"/>
      <c r="AS49" s="192"/>
      <c r="AT49" s="192"/>
      <c r="AU49" s="192"/>
      <c r="AV49" s="192"/>
      <c r="AW49" s="192"/>
      <c r="AX49" s="192"/>
    </row>
    <row r="50" spans="1:50">
      <c r="A50" s="70">
        <v>46</v>
      </c>
      <c r="B50" s="149">
        <v>40847</v>
      </c>
      <c r="C50" s="150">
        <v>1</v>
      </c>
      <c r="D50" s="151" t="str">
        <f ca="1">IF(N(C50)&gt;0,IF(N(C50)&lt;34,VLOOKUP('Tabela Final'!C50,' Pessoal'!$A$2:$B$34,2),""),"")</f>
        <v>Susana</v>
      </c>
      <c r="E50" s="151" t="str">
        <f ca="1">IF(N(C50)&gt;0,IF(N(C50)&lt;34,VLOOKUP(C50,' Pessoal'!$A$2:$C$34,3),""),"")</f>
        <v>Gerente</v>
      </c>
      <c r="F50" s="152">
        <f ca="1">IF(N(C50)&gt;0,IF(N(C50)&lt;34,VLOOKUP(C50,' Pessoal'!$A$2:$M$34,4)),"")</f>
        <v>927</v>
      </c>
      <c r="G50" s="153">
        <v>22</v>
      </c>
      <c r="H50" s="150">
        <f t="shared" si="48"/>
        <v>40</v>
      </c>
      <c r="I50" s="154">
        <f t="shared" si="12"/>
        <v>173.33333333333334</v>
      </c>
      <c r="J50" s="152">
        <f t="shared" si="49"/>
        <v>5.35</v>
      </c>
      <c r="K50" s="155"/>
      <c r="L50" s="154">
        <f t="shared" si="50"/>
        <v>0</v>
      </c>
      <c r="M50" s="155"/>
      <c r="N50" s="154">
        <f>IF(N(C50)&gt;0,(M50*J50),"")</f>
        <v>0</v>
      </c>
      <c r="O50" s="152">
        <f>IF(N(C50)&gt;0,ROUND(L50+N50,2),"")</f>
        <v>0</v>
      </c>
      <c r="P50" s="156"/>
      <c r="Q50" s="156"/>
      <c r="R50" s="156"/>
      <c r="S50" s="157" t="str">
        <f t="shared" si="51"/>
        <v/>
      </c>
      <c r="T50" s="157" t="str">
        <f t="shared" si="52"/>
        <v/>
      </c>
      <c r="U50" s="157" t="str">
        <f t="shared" si="53"/>
        <v/>
      </c>
      <c r="V50" s="158">
        <f t="shared" si="54"/>
        <v>0</v>
      </c>
      <c r="W50" s="159"/>
      <c r="X50" s="158">
        <f t="shared" si="55"/>
        <v>0</v>
      </c>
      <c r="Y50" s="160">
        <f ca="1">IF(N(C50)&gt;0,VLOOKUP(C50,' Pessoal'!$A$2:$M$34,10),"")</f>
        <v>6.41</v>
      </c>
      <c r="Z50" s="160">
        <f t="shared" si="56"/>
        <v>141.02000000000001</v>
      </c>
      <c r="AA50" s="160">
        <f t="shared" si="57"/>
        <v>0</v>
      </c>
      <c r="AB50" s="159"/>
      <c r="AC50" s="160">
        <f t="shared" si="58"/>
        <v>0</v>
      </c>
      <c r="AD50" s="160">
        <f t="shared" si="59"/>
        <v>1068.02</v>
      </c>
      <c r="AE50" s="160">
        <f t="shared" si="19"/>
        <v>927</v>
      </c>
      <c r="AF50" s="160">
        <f ca="1">IF(N(C50)&gt;0,ROUND(AE50*VLOOKUP(C50,' Pessoal'!$A$2:$M$34,9),2),"")</f>
        <v>86.21</v>
      </c>
      <c r="AG50" s="162">
        <v>0.08</v>
      </c>
      <c r="AH50" s="160">
        <f t="shared" si="60"/>
        <v>74.16</v>
      </c>
      <c r="AI50" s="162">
        <v>0</v>
      </c>
      <c r="AJ50" s="160">
        <f t="shared" si="61"/>
        <v>160.37</v>
      </c>
      <c r="AK50" s="160">
        <f t="shared" si="62"/>
        <v>907.65</v>
      </c>
      <c r="AL50" s="160">
        <f t="shared" si="45"/>
        <v>9270</v>
      </c>
      <c r="AM50" s="163">
        <f>AH50+AM45</f>
        <v>964.0799999999997</v>
      </c>
      <c r="AN50" s="302">
        <f t="shared" si="47"/>
        <v>862.10000000000014</v>
      </c>
      <c r="AO50" s="7">
        <f>SUM(AH50:AH54)</f>
        <v>74.16</v>
      </c>
      <c r="AP50" s="7">
        <f>AE50</f>
        <v>927</v>
      </c>
      <c r="AQ50" s="7">
        <f>AP50*0.2125</f>
        <v>196.98749999999998</v>
      </c>
      <c r="AR50" s="7">
        <f>SUM(AE51:AE54)</f>
        <v>1035</v>
      </c>
      <c r="AS50" s="7">
        <f>ROUND(AR50*0.2375,2)-$AE53*0.01</f>
        <v>240.96</v>
      </c>
      <c r="AT50" s="7">
        <f>AK50</f>
        <v>907.65</v>
      </c>
      <c r="AU50" s="7">
        <f>ROUND(SUM(AK51:AK54),2)</f>
        <v>1203.19</v>
      </c>
      <c r="AV50" s="7">
        <f>ROUND(AP50*0.3125+AR50*0.3475,2)-$AE53*0.01</f>
        <v>644.5</v>
      </c>
      <c r="AW50" s="7">
        <f>AD50</f>
        <v>1068.02</v>
      </c>
      <c r="AX50" s="7">
        <f>SUM(AD51:AD54)</f>
        <v>1317.04</v>
      </c>
    </row>
    <row r="51" spans="1:50" s="73" customFormat="1">
      <c r="A51" s="178">
        <v>47</v>
      </c>
      <c r="B51" s="303">
        <f>B50</f>
        <v>40847</v>
      </c>
      <c r="C51" s="304">
        <v>2</v>
      </c>
      <c r="D51" s="305" t="str">
        <f ca="1">IF(N(C51)&gt;0,IF(N(C51)&lt;34,VLOOKUP('Tabela Final'!C51,' Pessoal'!$A$2:$B$34,2),""),"")</f>
        <v>Nuno</v>
      </c>
      <c r="E51" s="305" t="str">
        <f ca="1">IF(N(C51)&gt;0,IF(N(C51)&lt;34,VLOOKUP(C51,' Pessoal'!$A$2:$C$34,3),""),"")</f>
        <v>Ajud. Electricista</v>
      </c>
      <c r="F51" s="306">
        <f ca="1">IF(N(C51)&gt;0,IF(N(C51)&lt;34,VLOOKUP(C51,' Pessoal'!$A$2:$M$34,4)),"")</f>
        <v>0</v>
      </c>
      <c r="G51" s="307">
        <v>22</v>
      </c>
      <c r="H51" s="304">
        <v>40</v>
      </c>
      <c r="I51" s="308"/>
      <c r="J51" s="306"/>
      <c r="K51" s="309"/>
      <c r="L51" s="308"/>
      <c r="M51" s="309"/>
      <c r="N51" s="308"/>
      <c r="O51" s="306"/>
      <c r="P51" s="310"/>
      <c r="Q51" s="310"/>
      <c r="R51" s="310"/>
      <c r="S51" s="311" t="str">
        <f t="shared" si="51"/>
        <v/>
      </c>
      <c r="T51" s="311" t="str">
        <f t="shared" si="52"/>
        <v/>
      </c>
      <c r="U51" s="311" t="str">
        <f t="shared" si="53"/>
        <v/>
      </c>
      <c r="V51" s="312">
        <f t="shared" si="54"/>
        <v>0</v>
      </c>
      <c r="W51" s="313"/>
      <c r="X51" s="312">
        <f t="shared" si="55"/>
        <v>0</v>
      </c>
      <c r="Y51" s="314">
        <f ca="1">IF(N(C51)&gt;0,VLOOKUP(C51,' Pessoal'!$A$2:$M$34,10),"")</f>
        <v>0</v>
      </c>
      <c r="Z51" s="314">
        <f t="shared" si="56"/>
        <v>0</v>
      </c>
      <c r="AA51" s="314">
        <f t="shared" si="57"/>
        <v>0</v>
      </c>
      <c r="AB51" s="313"/>
      <c r="AC51" s="314">
        <f t="shared" si="58"/>
        <v>0</v>
      </c>
      <c r="AD51" s="314">
        <f t="shared" si="59"/>
        <v>0</v>
      </c>
      <c r="AE51" s="314">
        <f t="shared" si="19"/>
        <v>0</v>
      </c>
      <c r="AF51" s="314">
        <f ca="1">IF(N(C51)&gt;0,ROUND(AE51*VLOOKUP(C51,' Pessoal'!$A$2:$M$34,9),2),"")</f>
        <v>0</v>
      </c>
      <c r="AG51" s="316">
        <v>0</v>
      </c>
      <c r="AH51" s="314">
        <f t="shared" si="60"/>
        <v>0</v>
      </c>
      <c r="AI51" s="316">
        <v>0</v>
      </c>
      <c r="AJ51" s="314">
        <f t="shared" si="61"/>
        <v>0</v>
      </c>
      <c r="AK51" s="314">
        <f t="shared" si="62"/>
        <v>0</v>
      </c>
      <c r="AL51" s="314">
        <f t="shared" si="45"/>
        <v>0</v>
      </c>
      <c r="AM51" s="318">
        <f t="shared" si="46"/>
        <v>0</v>
      </c>
      <c r="AN51" s="319">
        <f t="shared" si="47"/>
        <v>0</v>
      </c>
      <c r="AO51" s="67"/>
      <c r="AP51" s="67"/>
      <c r="AQ51" s="67"/>
      <c r="AR51" s="67"/>
      <c r="AS51" s="67"/>
      <c r="AT51" s="67"/>
      <c r="AU51" s="67"/>
      <c r="AV51" s="67"/>
      <c r="AW51" s="67"/>
      <c r="AX51" s="67"/>
    </row>
    <row r="52" spans="1:50" s="73" customFormat="1">
      <c r="A52" s="178">
        <v>48</v>
      </c>
      <c r="B52" s="303">
        <f>B51</f>
        <v>40847</v>
      </c>
      <c r="C52" s="304">
        <v>3</v>
      </c>
      <c r="D52" s="305" t="str">
        <f ca="1">IF(N(C52)&gt;0,IF(N(C52)&lt;34,VLOOKUP('Tabela Final'!C52,' Pessoal'!$A$2:$B$34,2),""),"")</f>
        <v>Fábio</v>
      </c>
      <c r="E52" s="305" t="str">
        <f ca="1">IF(N(C52)&gt;0,IF(N(C52)&lt;34,VLOOKUP(C52,' Pessoal'!$A$2:$C$34,3),""),"")</f>
        <v>Ajud. Electricista</v>
      </c>
      <c r="F52" s="306">
        <f ca="1">IF(N(C52)&gt;0,IF(N(C52)&lt;34,VLOOKUP(C52,' Pessoal'!$A$2:$M$34,4)),"")</f>
        <v>0</v>
      </c>
      <c r="G52" s="307">
        <v>22</v>
      </c>
      <c r="H52" s="304">
        <f t="shared" si="48"/>
        <v>40</v>
      </c>
      <c r="I52" s="308">
        <f t="shared" si="12"/>
        <v>173.33333333333334</v>
      </c>
      <c r="J52" s="306">
        <f t="shared" si="49"/>
        <v>0</v>
      </c>
      <c r="K52" s="309"/>
      <c r="L52" s="308">
        <f t="shared" si="50"/>
        <v>0</v>
      </c>
      <c r="M52" s="309"/>
      <c r="N52" s="308">
        <f t="shared" ref="N52:N65" si="63">IF(N(C52)&gt;0,(M52*J52),"")</f>
        <v>0</v>
      </c>
      <c r="O52" s="306">
        <f t="shared" ref="O52:O65" si="64">IF(N(C52)&gt;0,ROUND(L52+N52,2),"")</f>
        <v>0</v>
      </c>
      <c r="P52" s="310"/>
      <c r="Q52" s="310"/>
      <c r="R52" s="310"/>
      <c r="S52" s="311" t="str">
        <f t="shared" si="51"/>
        <v/>
      </c>
      <c r="T52" s="311" t="str">
        <f t="shared" si="52"/>
        <v/>
      </c>
      <c r="U52" s="311" t="str">
        <f t="shared" si="53"/>
        <v/>
      </c>
      <c r="V52" s="312">
        <f t="shared" si="54"/>
        <v>0</v>
      </c>
      <c r="W52" s="313"/>
      <c r="X52" s="312">
        <f t="shared" si="55"/>
        <v>0</v>
      </c>
      <c r="Y52" s="314">
        <f ca="1">IF(N(C52)&gt;0,VLOOKUP(C52,' Pessoal'!$A$2:$M$34,10),"")</f>
        <v>0</v>
      </c>
      <c r="Z52" s="314">
        <f t="shared" si="56"/>
        <v>0</v>
      </c>
      <c r="AA52" s="314">
        <f t="shared" si="57"/>
        <v>0</v>
      </c>
      <c r="AB52" s="313"/>
      <c r="AC52" s="314">
        <f t="shared" si="58"/>
        <v>0</v>
      </c>
      <c r="AD52" s="314">
        <f t="shared" si="59"/>
        <v>0</v>
      </c>
      <c r="AE52" s="314">
        <f t="shared" si="19"/>
        <v>0</v>
      </c>
      <c r="AF52" s="314">
        <f ca="1">IF(N(C52)&gt;0,ROUND(AE52*VLOOKUP(C52,' Pessoal'!$A$2:$M$34,9),2),"")</f>
        <v>0</v>
      </c>
      <c r="AG52" s="316">
        <v>0</v>
      </c>
      <c r="AH52" s="314">
        <f t="shared" si="60"/>
        <v>0</v>
      </c>
      <c r="AI52" s="316">
        <v>0</v>
      </c>
      <c r="AJ52" s="314">
        <f t="shared" si="61"/>
        <v>0</v>
      </c>
      <c r="AK52" s="314">
        <f t="shared" si="62"/>
        <v>0</v>
      </c>
      <c r="AL52" s="314">
        <f t="shared" si="45"/>
        <v>0</v>
      </c>
      <c r="AM52" s="318">
        <f t="shared" si="46"/>
        <v>0</v>
      </c>
      <c r="AN52" s="319">
        <f t="shared" si="47"/>
        <v>0</v>
      </c>
      <c r="AO52" s="67"/>
      <c r="AP52" s="67"/>
      <c r="AQ52" s="67"/>
      <c r="AR52" s="67"/>
      <c r="AS52" s="67"/>
      <c r="AT52" s="67"/>
      <c r="AU52" s="67"/>
      <c r="AV52" s="67"/>
      <c r="AW52" s="67"/>
      <c r="AX52" s="67"/>
    </row>
    <row r="53" spans="1:50">
      <c r="A53" s="49">
        <v>49</v>
      </c>
      <c r="B53" s="201">
        <f>B52</f>
        <v>40847</v>
      </c>
      <c r="C53" s="165">
        <v>4</v>
      </c>
      <c r="D53" s="166" t="str">
        <f ca="1">IF(N(C53)&gt;0,IF(N(C53)&lt;34,VLOOKUP('Tabela Final'!C53,' Pessoal'!$A$2:$B$34,2),""),"")</f>
        <v>Carlos</v>
      </c>
      <c r="E53" s="166" t="str">
        <f ca="1">IF(N(C53)&gt;0,IF(N(C53)&lt;34,VLOOKUP(C53,' Pessoal'!$A$2:$C$34,3),""),"")</f>
        <v>Ajud. Electricista</v>
      </c>
      <c r="F53" s="167">
        <f ca="1">IF(N(C53)&gt;0,IF(N(C53)&lt;34,VLOOKUP(C53,' Pessoal'!$A$2:$M$34,4)),"")</f>
        <v>485</v>
      </c>
      <c r="G53" s="168">
        <v>22</v>
      </c>
      <c r="H53" s="165">
        <f t="shared" si="48"/>
        <v>40</v>
      </c>
      <c r="I53" s="169">
        <f t="shared" si="12"/>
        <v>173.33333333333334</v>
      </c>
      <c r="J53" s="167">
        <f t="shared" si="49"/>
        <v>2.8</v>
      </c>
      <c r="K53" s="170"/>
      <c r="L53" s="169">
        <f t="shared" si="50"/>
        <v>0</v>
      </c>
      <c r="M53" s="170"/>
      <c r="N53" s="169">
        <f t="shared" si="63"/>
        <v>0</v>
      </c>
      <c r="O53" s="167">
        <f t="shared" si="64"/>
        <v>0</v>
      </c>
      <c r="P53" s="171"/>
      <c r="Q53" s="171"/>
      <c r="R53" s="171"/>
      <c r="S53" s="172" t="str">
        <f t="shared" si="51"/>
        <v/>
      </c>
      <c r="T53" s="172" t="str">
        <f t="shared" si="52"/>
        <v/>
      </c>
      <c r="U53" s="172" t="str">
        <f t="shared" si="53"/>
        <v/>
      </c>
      <c r="V53" s="173">
        <f t="shared" si="54"/>
        <v>0</v>
      </c>
      <c r="W53" s="174"/>
      <c r="X53" s="173">
        <f t="shared" si="55"/>
        <v>0</v>
      </c>
      <c r="Y53" s="175">
        <f ca="1">IF(N(C53)&gt;0,VLOOKUP(C53,' Pessoal'!$A$2:$M$34,10),"")</f>
        <v>6.41</v>
      </c>
      <c r="Z53" s="175">
        <f t="shared" si="56"/>
        <v>141.02000000000001</v>
      </c>
      <c r="AA53" s="175">
        <f t="shared" si="57"/>
        <v>0</v>
      </c>
      <c r="AB53" s="174"/>
      <c r="AC53" s="175">
        <f t="shared" si="58"/>
        <v>0</v>
      </c>
      <c r="AD53" s="175">
        <f t="shared" si="59"/>
        <v>626.02</v>
      </c>
      <c r="AE53" s="175">
        <f t="shared" si="19"/>
        <v>485</v>
      </c>
      <c r="AF53" s="175">
        <f ca="1">IF(N(C53)&gt;0,ROUND(AE53*VLOOKUP(C53,' Pessoal'!$A$2:$M$34,9),2),"")</f>
        <v>53.35</v>
      </c>
      <c r="AG53" s="176">
        <v>0</v>
      </c>
      <c r="AH53" s="175">
        <f t="shared" si="60"/>
        <v>0</v>
      </c>
      <c r="AI53" s="176">
        <v>0</v>
      </c>
      <c r="AJ53" s="175">
        <f t="shared" si="61"/>
        <v>53.35</v>
      </c>
      <c r="AK53" s="175">
        <f t="shared" si="62"/>
        <v>572.66999999999996</v>
      </c>
      <c r="AL53" s="175">
        <f t="shared" si="45"/>
        <v>4930</v>
      </c>
      <c r="AM53" s="177">
        <f t="shared" si="46"/>
        <v>0</v>
      </c>
      <c r="AN53" s="322">
        <f t="shared" si="47"/>
        <v>542.30000000000007</v>
      </c>
      <c r="AO53" s="7"/>
      <c r="AP53" s="7"/>
      <c r="AQ53" s="7"/>
      <c r="AR53" s="7"/>
      <c r="AS53" s="7"/>
      <c r="AT53" s="7"/>
      <c r="AU53" s="7"/>
      <c r="AV53" s="7"/>
      <c r="AW53" s="7"/>
      <c r="AX53" s="7"/>
    </row>
    <row r="54" spans="1:50" s="193" customFormat="1" ht="12" thickBot="1">
      <c r="A54" s="71">
        <v>50</v>
      </c>
      <c r="B54" s="179">
        <f>B53</f>
        <v>40847</v>
      </c>
      <c r="C54" s="180">
        <v>5</v>
      </c>
      <c r="D54" s="181" t="str">
        <f ca="1">IF(N(C54)&gt;0,IF(N(C54)&lt;34,VLOOKUP('Tabela Final'!C54,' Pessoal'!$A$2:$B$34,2),""),"")</f>
        <v>André</v>
      </c>
      <c r="E54" s="181" t="str">
        <f ca="1">IF(N(C54)&gt;0,IF(N(C54)&lt;34,VLOOKUP(C54,' Pessoal'!$A$2:$C$34,3),""),"")</f>
        <v>Ajud. Electricista</v>
      </c>
      <c r="F54" s="182">
        <f ca="1">IF(N(C54)&gt;0,IF(N(C54)&lt;34,VLOOKUP(C54,' Pessoal'!$A$2:$M$34,4)),"")</f>
        <v>550</v>
      </c>
      <c r="G54" s="183">
        <v>22</v>
      </c>
      <c r="H54" s="180">
        <f t="shared" si="48"/>
        <v>40</v>
      </c>
      <c r="I54" s="184">
        <f t="shared" si="12"/>
        <v>173.33333333333334</v>
      </c>
      <c r="J54" s="182">
        <f t="shared" si="49"/>
        <v>3.17</v>
      </c>
      <c r="K54" s="185"/>
      <c r="L54" s="184">
        <f t="shared" si="50"/>
        <v>0</v>
      </c>
      <c r="M54" s="185"/>
      <c r="N54" s="184">
        <f t="shared" si="63"/>
        <v>0</v>
      </c>
      <c r="O54" s="182">
        <f t="shared" si="64"/>
        <v>0</v>
      </c>
      <c r="P54" s="186"/>
      <c r="Q54" s="186"/>
      <c r="R54" s="186"/>
      <c r="S54" s="187" t="str">
        <f t="shared" si="51"/>
        <v/>
      </c>
      <c r="T54" s="187" t="str">
        <f t="shared" si="52"/>
        <v/>
      </c>
      <c r="U54" s="187" t="str">
        <f t="shared" si="53"/>
        <v/>
      </c>
      <c r="V54" s="188">
        <f t="shared" si="54"/>
        <v>0</v>
      </c>
      <c r="W54" s="189"/>
      <c r="X54" s="188">
        <f t="shared" si="55"/>
        <v>0</v>
      </c>
      <c r="Y54" s="161">
        <f ca="1">IF(N(C54)&gt;0,VLOOKUP(C54,' Pessoal'!$A$2:$M$34,10),"")</f>
        <v>6.41</v>
      </c>
      <c r="Z54" s="161">
        <f t="shared" si="56"/>
        <v>141.02000000000001</v>
      </c>
      <c r="AA54" s="161">
        <f t="shared" si="57"/>
        <v>0</v>
      </c>
      <c r="AB54" s="189"/>
      <c r="AC54" s="161">
        <f t="shared" si="58"/>
        <v>0</v>
      </c>
      <c r="AD54" s="161">
        <f t="shared" si="59"/>
        <v>691.02</v>
      </c>
      <c r="AE54" s="161">
        <f t="shared" si="19"/>
        <v>550</v>
      </c>
      <c r="AF54" s="161">
        <f ca="1">IF(N(C54)&gt;0,ROUND(AE54*VLOOKUP(C54,' Pessoal'!$A$2:$M$34,9),2),"")</f>
        <v>60.5</v>
      </c>
      <c r="AG54" s="190">
        <v>0</v>
      </c>
      <c r="AH54" s="161">
        <f t="shared" si="60"/>
        <v>0</v>
      </c>
      <c r="AI54" s="190">
        <v>0</v>
      </c>
      <c r="AJ54" s="161">
        <f t="shared" si="61"/>
        <v>60.5</v>
      </c>
      <c r="AK54" s="161">
        <f t="shared" si="62"/>
        <v>630.52</v>
      </c>
      <c r="AL54" s="161">
        <f t="shared" si="45"/>
        <v>5500</v>
      </c>
      <c r="AM54" s="191">
        <f t="shared" si="46"/>
        <v>0</v>
      </c>
      <c r="AN54" s="325">
        <f t="shared" si="47"/>
        <v>605</v>
      </c>
      <c r="AO54" s="192"/>
      <c r="AP54" s="192"/>
      <c r="AQ54" s="192"/>
      <c r="AR54" s="192"/>
      <c r="AS54" s="192"/>
      <c r="AT54" s="192"/>
      <c r="AU54" s="192"/>
      <c r="AV54" s="192"/>
      <c r="AW54" s="192"/>
      <c r="AX54" s="192"/>
    </row>
    <row r="55" spans="1:50">
      <c r="A55" s="70">
        <v>51</v>
      </c>
      <c r="B55" s="219">
        <v>40877</v>
      </c>
      <c r="C55" s="220">
        <v>1</v>
      </c>
      <c r="D55" s="221" t="str">
        <f ca="1">IF(N(C55)&gt;0,IF(N(C55)&lt;34,VLOOKUP('Tabela Final'!C55,' Pessoal'!$A$2:$B$34,2),""),"")</f>
        <v>Susana</v>
      </c>
      <c r="E55" s="221" t="str">
        <f ca="1">IF(N(C55)&gt;0,IF(N(C55)&lt;34,VLOOKUP(C55,' Pessoal'!$A$2:$C$34,3),""),"")</f>
        <v>Gerente</v>
      </c>
      <c r="F55" s="222">
        <f ca="1">IF(N(C55)&gt;0,IF(N(C55)&lt;34,VLOOKUP(C55,' Pessoal'!$A$2:$M$34,4)),"")</f>
        <v>927</v>
      </c>
      <c r="G55" s="217">
        <v>22</v>
      </c>
      <c r="H55" s="220">
        <f t="shared" si="48"/>
        <v>40</v>
      </c>
      <c r="I55" s="225">
        <f t="shared" si="12"/>
        <v>173.33333333333334</v>
      </c>
      <c r="J55" s="222">
        <f t="shared" si="49"/>
        <v>5.35</v>
      </c>
      <c r="K55" s="226"/>
      <c r="L55" s="225">
        <f t="shared" si="50"/>
        <v>0</v>
      </c>
      <c r="M55" s="226"/>
      <c r="N55" s="225">
        <f t="shared" si="63"/>
        <v>0</v>
      </c>
      <c r="O55" s="222">
        <f t="shared" si="64"/>
        <v>0</v>
      </c>
      <c r="P55" s="227"/>
      <c r="Q55" s="227"/>
      <c r="R55" s="227"/>
      <c r="S55" s="228" t="str">
        <f t="shared" si="51"/>
        <v/>
      </c>
      <c r="T55" s="228" t="str">
        <f t="shared" si="52"/>
        <v/>
      </c>
      <c r="U55" s="228" t="str">
        <f t="shared" si="53"/>
        <v/>
      </c>
      <c r="V55" s="229">
        <f t="shared" si="54"/>
        <v>0</v>
      </c>
      <c r="W55" s="230"/>
      <c r="X55" s="229">
        <f t="shared" si="55"/>
        <v>0</v>
      </c>
      <c r="Y55" s="231">
        <f ca="1">IF(N(C55)&gt;0,VLOOKUP(C55,' Pessoal'!$A$2:$M$34,10),"")</f>
        <v>6.41</v>
      </c>
      <c r="Z55" s="231">
        <f t="shared" si="56"/>
        <v>141.02000000000001</v>
      </c>
      <c r="AA55" s="231">
        <f t="shared" si="57"/>
        <v>0</v>
      </c>
      <c r="AB55" s="230"/>
      <c r="AC55" s="231">
        <f t="shared" si="58"/>
        <v>0</v>
      </c>
      <c r="AD55" s="231">
        <f t="shared" si="59"/>
        <v>1068.02</v>
      </c>
      <c r="AE55" s="231">
        <f t="shared" si="19"/>
        <v>927</v>
      </c>
      <c r="AF55" s="231">
        <f ca="1">IF(N(C55)&gt;0,ROUND(AE55*VLOOKUP(C55,' Pessoal'!$A$2:$M$34,9),2),"")</f>
        <v>86.21</v>
      </c>
      <c r="AG55" s="233">
        <v>0.08</v>
      </c>
      <c r="AH55" s="231">
        <f t="shared" si="60"/>
        <v>74.16</v>
      </c>
      <c r="AI55" s="233">
        <v>0</v>
      </c>
      <c r="AJ55" s="231">
        <f t="shared" si="61"/>
        <v>160.37</v>
      </c>
      <c r="AK55" s="231">
        <f t="shared" si="62"/>
        <v>907.65</v>
      </c>
      <c r="AL55" s="231">
        <f>AE55+AL50</f>
        <v>10197</v>
      </c>
      <c r="AM55" s="235">
        <f>AH55+AM50</f>
        <v>1038.2399999999998</v>
      </c>
      <c r="AN55" s="236">
        <f>AF55+AN50</f>
        <v>948.31000000000017</v>
      </c>
      <c r="AO55" s="7">
        <f>SUM(AH55:AH59)</f>
        <v>74.16</v>
      </c>
      <c r="AP55" s="7">
        <f>AE55</f>
        <v>927</v>
      </c>
      <c r="AQ55" s="7">
        <f>AP55*0.2125</f>
        <v>196.98749999999998</v>
      </c>
      <c r="AR55" s="7">
        <f>SUM(AE56:AE59)</f>
        <v>1035</v>
      </c>
      <c r="AS55" s="7">
        <f>ROUND(AR55*0.2375,2)-$AE58*0.01</f>
        <v>240.96</v>
      </c>
      <c r="AT55" s="7">
        <f>AK55</f>
        <v>907.65</v>
      </c>
      <c r="AU55" s="7">
        <f>ROUND(SUM(AK56:AK59),2)</f>
        <v>1203.19</v>
      </c>
      <c r="AV55" s="7">
        <f>ROUND(AP55*0.3125+AR55*0.3475,2)-$AE58*0.01</f>
        <v>644.5</v>
      </c>
      <c r="AW55" s="7">
        <f>AD55</f>
        <v>1068.02</v>
      </c>
      <c r="AX55" s="7">
        <f>SUM(AD56:AD59)</f>
        <v>1317.04</v>
      </c>
    </row>
    <row r="56" spans="1:50" s="73" customFormat="1">
      <c r="A56" s="178">
        <v>52</v>
      </c>
      <c r="B56" s="237">
        <f>B55</f>
        <v>40877</v>
      </c>
      <c r="C56" s="238">
        <v>2</v>
      </c>
      <c r="D56" s="292" t="str">
        <f ca="1">IF(N(C56)&gt;0,IF(N(C56)&lt;34,VLOOKUP('Tabela Final'!C56,' Pessoal'!$A$2:$B$34,2),""),"")</f>
        <v>Nuno</v>
      </c>
      <c r="E56" s="292" t="str">
        <f ca="1">IF(N(C56)&gt;0,IF(N(C56)&lt;34,VLOOKUP(C56,' Pessoal'!$A$2:$C$34,3),""),"")</f>
        <v>Ajud. Electricista</v>
      </c>
      <c r="F56" s="293">
        <f ca="1">IF(N(C56)&gt;0,IF(N(C56)&lt;34,VLOOKUP(C56,' Pessoal'!$A$2:$M$34,4)),"")</f>
        <v>0</v>
      </c>
      <c r="G56" s="218">
        <v>22</v>
      </c>
      <c r="H56" s="294">
        <f>IF(N(C56)&gt;0,$H$5,"")</f>
        <v>40</v>
      </c>
      <c r="I56" s="291">
        <f>IF(N(H56)&gt;0,(H56*52)/12,"")</f>
        <v>173.33333333333334</v>
      </c>
      <c r="J56" s="293">
        <f>IF(N(C56)&gt;0,ROUND((F56/I56),2),"")</f>
        <v>0</v>
      </c>
      <c r="K56" s="226"/>
      <c r="L56" s="291">
        <f t="shared" si="50"/>
        <v>0</v>
      </c>
      <c r="M56" s="243"/>
      <c r="N56" s="291">
        <f t="shared" si="63"/>
        <v>0</v>
      </c>
      <c r="O56" s="293">
        <f t="shared" si="64"/>
        <v>0</v>
      </c>
      <c r="P56" s="244"/>
      <c r="Q56" s="244"/>
      <c r="R56" s="244"/>
      <c r="S56" s="245" t="str">
        <f t="shared" si="51"/>
        <v/>
      </c>
      <c r="T56" s="245" t="str">
        <f t="shared" si="52"/>
        <v/>
      </c>
      <c r="U56" s="245" t="str">
        <f t="shared" si="53"/>
        <v/>
      </c>
      <c r="V56" s="246">
        <f t="shared" si="54"/>
        <v>0</v>
      </c>
      <c r="W56" s="247"/>
      <c r="X56" s="246">
        <f t="shared" si="55"/>
        <v>0</v>
      </c>
      <c r="Y56" s="248">
        <f ca="1">IF(N(C56)&gt;0,VLOOKUP(C56,' Pessoal'!$A$2:$M$34,10),"")</f>
        <v>0</v>
      </c>
      <c r="Z56" s="248">
        <f t="shared" si="56"/>
        <v>0</v>
      </c>
      <c r="AA56" s="248">
        <f t="shared" si="57"/>
        <v>0</v>
      </c>
      <c r="AB56" s="247"/>
      <c r="AC56" s="248">
        <f t="shared" si="58"/>
        <v>0</v>
      </c>
      <c r="AD56" s="248">
        <f t="shared" si="59"/>
        <v>0</v>
      </c>
      <c r="AE56" s="248">
        <f t="shared" si="19"/>
        <v>0</v>
      </c>
      <c r="AF56" s="248">
        <f ca="1">IF(N(C56)&gt;0,ROUND(AE56*VLOOKUP(C56,' Pessoal'!$A$2:$M$34,9),2),"")</f>
        <v>0</v>
      </c>
      <c r="AG56" s="250">
        <v>0</v>
      </c>
      <c r="AH56" s="248">
        <f t="shared" si="60"/>
        <v>0</v>
      </c>
      <c r="AI56" s="250">
        <v>0</v>
      </c>
      <c r="AJ56" s="248">
        <f t="shared" si="61"/>
        <v>0</v>
      </c>
      <c r="AK56" s="248">
        <f t="shared" si="62"/>
        <v>0</v>
      </c>
      <c r="AL56" s="295">
        <f>AE56+AL51</f>
        <v>0</v>
      </c>
      <c r="AM56" s="255">
        <f>AM55+AH56</f>
        <v>1038.2399999999998</v>
      </c>
      <c r="AN56" s="254">
        <f>AN55+AF56</f>
        <v>948.31000000000017</v>
      </c>
      <c r="AO56" s="67"/>
      <c r="AP56" s="67"/>
      <c r="AQ56" s="67"/>
      <c r="AR56" s="67"/>
      <c r="AS56" s="67"/>
      <c r="AT56" s="67"/>
      <c r="AU56" s="67"/>
      <c r="AV56" s="67"/>
      <c r="AW56" s="67"/>
      <c r="AX56" s="67"/>
    </row>
    <row r="57" spans="1:50" s="73" customFormat="1">
      <c r="A57" s="178">
        <v>53</v>
      </c>
      <c r="B57" s="237">
        <f>B56</f>
        <v>40877</v>
      </c>
      <c r="C57" s="238">
        <v>3</v>
      </c>
      <c r="D57" s="239" t="str">
        <f ca="1">IF(N(C57)&gt;0,IF(N(C57)&lt;34,VLOOKUP('Tabela Final'!C57,' Pessoal'!$A$2:$B$34,2),""),"")</f>
        <v>Fábio</v>
      </c>
      <c r="E57" s="239" t="str">
        <f ca="1">IF(N(C57)&gt;0,IF(N(C57)&lt;34,VLOOKUP(C57,' Pessoal'!$A$2:$C$34,3),""),"")</f>
        <v>Ajud. Electricista</v>
      </c>
      <c r="F57" s="240">
        <f ca="1">IF(N(C57)&gt;0,IF(N(C57)&lt;34,VLOOKUP(C57,' Pessoal'!$A$2:$M$34,4)),"")</f>
        <v>0</v>
      </c>
      <c r="G57" s="241">
        <v>22</v>
      </c>
      <c r="H57" s="238">
        <f t="shared" si="48"/>
        <v>40</v>
      </c>
      <c r="I57" s="242">
        <f t="shared" si="12"/>
        <v>173.33333333333334</v>
      </c>
      <c r="J57" s="240">
        <f t="shared" si="49"/>
        <v>0</v>
      </c>
      <c r="K57" s="226"/>
      <c r="L57" s="291">
        <f t="shared" si="50"/>
        <v>0</v>
      </c>
      <c r="M57" s="243"/>
      <c r="N57" s="291">
        <f t="shared" si="63"/>
        <v>0</v>
      </c>
      <c r="O57" s="293">
        <f t="shared" si="64"/>
        <v>0</v>
      </c>
      <c r="P57" s="244"/>
      <c r="Q57" s="244"/>
      <c r="R57" s="244"/>
      <c r="S57" s="245" t="str">
        <f t="shared" si="51"/>
        <v/>
      </c>
      <c r="T57" s="245" t="str">
        <f t="shared" si="52"/>
        <v/>
      </c>
      <c r="U57" s="245" t="str">
        <f t="shared" si="53"/>
        <v/>
      </c>
      <c r="V57" s="246">
        <f t="shared" si="54"/>
        <v>0</v>
      </c>
      <c r="W57" s="247"/>
      <c r="X57" s="246">
        <f t="shared" si="55"/>
        <v>0</v>
      </c>
      <c r="Y57" s="248">
        <f ca="1">IF(N(C57)&gt;0,VLOOKUP(C57,' Pessoal'!$A$2:$M$34,10),"")</f>
        <v>0</v>
      </c>
      <c r="Z57" s="248">
        <f t="shared" si="56"/>
        <v>0</v>
      </c>
      <c r="AA57" s="248">
        <f t="shared" si="57"/>
        <v>0</v>
      </c>
      <c r="AB57" s="247"/>
      <c r="AC57" s="248">
        <f t="shared" si="58"/>
        <v>0</v>
      </c>
      <c r="AD57" s="248">
        <f t="shared" si="59"/>
        <v>0</v>
      </c>
      <c r="AE57" s="248">
        <f t="shared" si="19"/>
        <v>0</v>
      </c>
      <c r="AF57" s="248">
        <f ca="1">IF(N(C57)&gt;0,ROUND(AE57*VLOOKUP(C57,' Pessoal'!$A$2:$M$34,9),2),"")</f>
        <v>0</v>
      </c>
      <c r="AG57" s="250">
        <v>0</v>
      </c>
      <c r="AH57" s="248">
        <f t="shared" si="60"/>
        <v>0</v>
      </c>
      <c r="AI57" s="250">
        <v>0</v>
      </c>
      <c r="AJ57" s="248">
        <f t="shared" si="61"/>
        <v>0</v>
      </c>
      <c r="AK57" s="248">
        <f t="shared" si="62"/>
        <v>0</v>
      </c>
      <c r="AL57" s="295">
        <f>AE57+AL52</f>
        <v>0</v>
      </c>
      <c r="AM57" s="255">
        <f>AM56+AH57</f>
        <v>1038.2399999999998</v>
      </c>
      <c r="AN57" s="254">
        <f>AN56+AF57</f>
        <v>948.31000000000017</v>
      </c>
      <c r="AO57" s="67"/>
      <c r="AP57" s="67"/>
      <c r="AQ57" s="67"/>
      <c r="AR57" s="67"/>
      <c r="AS57" s="67"/>
      <c r="AT57" s="67"/>
      <c r="AU57" s="67"/>
      <c r="AV57" s="67"/>
      <c r="AW57" s="67"/>
      <c r="AX57" s="67"/>
    </row>
    <row r="58" spans="1:50">
      <c r="A58" s="49">
        <v>54</v>
      </c>
      <c r="B58" s="256">
        <f>B57</f>
        <v>40877</v>
      </c>
      <c r="C58" s="257">
        <v>4</v>
      </c>
      <c r="D58" s="258" t="str">
        <f ca="1">IF(N(C58)&gt;0,IF(N(C58)&lt;34,VLOOKUP('Tabela Final'!C58,' Pessoal'!$A$2:$B$34,2),""),"")</f>
        <v>Carlos</v>
      </c>
      <c r="E58" s="258" t="str">
        <f ca="1">IF(N(C58)&gt;0,IF(N(C58)&lt;34,VLOOKUP(C58,' Pessoal'!$A$2:$C$34,3),""),"")</f>
        <v>Ajud. Electricista</v>
      </c>
      <c r="F58" s="259">
        <f ca="1">IF(N(C58)&gt;0,IF(N(C58)&lt;34,VLOOKUP(C58,' Pessoal'!$A$2:$M$34,4)),"")</f>
        <v>485</v>
      </c>
      <c r="G58" s="260">
        <v>22</v>
      </c>
      <c r="H58" s="257">
        <f t="shared" si="48"/>
        <v>40</v>
      </c>
      <c r="I58" s="261">
        <f t="shared" si="12"/>
        <v>173.33333333333334</v>
      </c>
      <c r="J58" s="259">
        <f t="shared" si="49"/>
        <v>2.8</v>
      </c>
      <c r="K58" s="226"/>
      <c r="L58" s="225">
        <f t="shared" si="50"/>
        <v>0</v>
      </c>
      <c r="M58" s="262"/>
      <c r="N58" s="225">
        <f t="shared" si="63"/>
        <v>0</v>
      </c>
      <c r="O58" s="222">
        <f t="shared" si="64"/>
        <v>0</v>
      </c>
      <c r="P58" s="263"/>
      <c r="Q58" s="263"/>
      <c r="R58" s="263"/>
      <c r="S58" s="264" t="str">
        <f t="shared" si="51"/>
        <v/>
      </c>
      <c r="T58" s="264" t="str">
        <f t="shared" si="52"/>
        <v/>
      </c>
      <c r="U58" s="264" t="str">
        <f t="shared" si="53"/>
        <v/>
      </c>
      <c r="V58" s="265">
        <f t="shared" si="54"/>
        <v>0</v>
      </c>
      <c r="W58" s="266"/>
      <c r="X58" s="265">
        <f t="shared" si="55"/>
        <v>0</v>
      </c>
      <c r="Y58" s="267">
        <f ca="1">IF(N(C58)&gt;0,VLOOKUP(C58,' Pessoal'!$A$2:$M$34,10),"")</f>
        <v>6.41</v>
      </c>
      <c r="Z58" s="267">
        <f t="shared" si="56"/>
        <v>141.02000000000001</v>
      </c>
      <c r="AA58" s="267">
        <f t="shared" si="57"/>
        <v>0</v>
      </c>
      <c r="AB58" s="266"/>
      <c r="AC58" s="267">
        <v>0</v>
      </c>
      <c r="AD58" s="267">
        <f t="shared" si="59"/>
        <v>626.02</v>
      </c>
      <c r="AE58" s="267">
        <f t="shared" si="19"/>
        <v>485</v>
      </c>
      <c r="AF58" s="267">
        <f ca="1">IF(N(C58)&gt;0,ROUND(AE58*VLOOKUP(C58,' Pessoal'!$A$2:$M$34,9),2),"")</f>
        <v>53.35</v>
      </c>
      <c r="AG58" s="269">
        <v>0</v>
      </c>
      <c r="AH58" s="267">
        <f t="shared" si="60"/>
        <v>0</v>
      </c>
      <c r="AI58" s="269">
        <v>0</v>
      </c>
      <c r="AJ58" s="267">
        <f t="shared" si="61"/>
        <v>53.35</v>
      </c>
      <c r="AK58" s="267">
        <f t="shared" si="62"/>
        <v>572.66999999999996</v>
      </c>
      <c r="AL58" s="267">
        <f>AE58+AL53</f>
        <v>5415</v>
      </c>
      <c r="AM58" s="271">
        <f>AH58+AM53</f>
        <v>0</v>
      </c>
      <c r="AN58" s="272">
        <f>AF58+AN53</f>
        <v>595.65000000000009</v>
      </c>
      <c r="AO58" s="7"/>
      <c r="AP58" s="7"/>
      <c r="AQ58" s="7"/>
      <c r="AR58" s="7"/>
      <c r="AS58" s="7"/>
      <c r="AT58" s="7"/>
      <c r="AU58" s="7"/>
      <c r="AV58" s="7"/>
      <c r="AW58" s="7"/>
      <c r="AX58" s="7"/>
    </row>
    <row r="59" spans="1:50" s="193" customFormat="1" ht="12" thickBot="1">
      <c r="A59" s="71">
        <v>55</v>
      </c>
      <c r="B59" s="273">
        <f>B58</f>
        <v>40877</v>
      </c>
      <c r="C59" s="274">
        <v>5</v>
      </c>
      <c r="D59" s="275" t="str">
        <f ca="1">IF(N(C59)&gt;0,IF(N(C59)&lt;34,VLOOKUP('Tabela Final'!C59,' Pessoal'!$A$2:$B$34,2),""),"")</f>
        <v>André</v>
      </c>
      <c r="E59" s="275" t="str">
        <f ca="1">IF(N(C59)&gt;0,IF(N(C59)&lt;34,VLOOKUP(C59,' Pessoal'!$A$2:$C$34,3),""),"")</f>
        <v>Ajud. Electricista</v>
      </c>
      <c r="F59" s="276">
        <f ca="1">IF(N(C59)&gt;0,IF(N(C59)&lt;34,VLOOKUP(C59,' Pessoal'!$A$2:$M$34,4)),"")</f>
        <v>550</v>
      </c>
      <c r="G59" s="277">
        <v>22</v>
      </c>
      <c r="H59" s="274">
        <f t="shared" si="48"/>
        <v>40</v>
      </c>
      <c r="I59" s="278">
        <f t="shared" si="12"/>
        <v>173.33333333333334</v>
      </c>
      <c r="J59" s="276">
        <f t="shared" si="49"/>
        <v>3.17</v>
      </c>
      <c r="K59" s="279"/>
      <c r="L59" s="296">
        <f t="shared" si="50"/>
        <v>0</v>
      </c>
      <c r="M59" s="279"/>
      <c r="N59" s="296">
        <f t="shared" si="63"/>
        <v>0</v>
      </c>
      <c r="O59" s="297">
        <f t="shared" si="64"/>
        <v>0</v>
      </c>
      <c r="P59" s="280"/>
      <c r="Q59" s="280"/>
      <c r="R59" s="280"/>
      <c r="S59" s="281" t="str">
        <f t="shared" si="51"/>
        <v/>
      </c>
      <c r="T59" s="281" t="str">
        <f t="shared" si="52"/>
        <v/>
      </c>
      <c r="U59" s="281" t="str">
        <f t="shared" si="53"/>
        <v/>
      </c>
      <c r="V59" s="282">
        <f t="shared" si="54"/>
        <v>0</v>
      </c>
      <c r="W59" s="283"/>
      <c r="X59" s="282">
        <f t="shared" si="55"/>
        <v>0</v>
      </c>
      <c r="Y59" s="284">
        <f ca="1">IF(N(C59)&gt;0,VLOOKUP(C59,' Pessoal'!$A$2:$M$34,10),"")</f>
        <v>6.41</v>
      </c>
      <c r="Z59" s="284">
        <f t="shared" si="56"/>
        <v>141.02000000000001</v>
      </c>
      <c r="AA59" s="284">
        <f t="shared" si="57"/>
        <v>0</v>
      </c>
      <c r="AB59" s="283"/>
      <c r="AC59" s="284">
        <v>0</v>
      </c>
      <c r="AD59" s="284">
        <f t="shared" si="59"/>
        <v>691.02</v>
      </c>
      <c r="AE59" s="284">
        <f t="shared" si="19"/>
        <v>550</v>
      </c>
      <c r="AF59" s="284">
        <f ca="1">IF(N(C59)&gt;0,ROUND(AE59*VLOOKUP(C59,' Pessoal'!$A$2:$M$34,9),2),"")</f>
        <v>60.5</v>
      </c>
      <c r="AG59" s="286">
        <v>0</v>
      </c>
      <c r="AH59" s="284">
        <f t="shared" si="60"/>
        <v>0</v>
      </c>
      <c r="AI59" s="286">
        <v>0</v>
      </c>
      <c r="AJ59" s="284">
        <f t="shared" si="61"/>
        <v>60.5</v>
      </c>
      <c r="AK59" s="284">
        <f t="shared" si="62"/>
        <v>630.52</v>
      </c>
      <c r="AL59" s="284">
        <f>AE59+AL54</f>
        <v>6050</v>
      </c>
      <c r="AM59" s="288">
        <f>AH59+AM54</f>
        <v>0</v>
      </c>
      <c r="AN59" s="289">
        <f>AF59+AN54</f>
        <v>665.5</v>
      </c>
      <c r="AO59" s="192"/>
      <c r="AP59" s="192"/>
      <c r="AQ59" s="192"/>
      <c r="AR59" s="192"/>
      <c r="AS59" s="192"/>
      <c r="AT59" s="192"/>
      <c r="AU59" s="192"/>
      <c r="AV59" s="192"/>
      <c r="AW59" s="192"/>
      <c r="AX59" s="192"/>
    </row>
    <row r="60" spans="1:50">
      <c r="A60" s="70">
        <v>56</v>
      </c>
      <c r="B60" s="149">
        <v>40908</v>
      </c>
      <c r="C60" s="150">
        <v>1</v>
      </c>
      <c r="D60" s="151" t="str">
        <f ca="1">IF(N(C60)&gt;0,IF(N(C60)&lt;34,VLOOKUP('Tabela Final'!C60,' Pessoal'!$A$2:$B$34,2),""),"")</f>
        <v>Susana</v>
      </c>
      <c r="E60" s="151" t="str">
        <f ca="1">IF(N(C60)&gt;0,IF(N(C60)&lt;34,VLOOKUP(C60,' Pessoal'!$A$2:$C$34,3),""),"")</f>
        <v>Gerente</v>
      </c>
      <c r="F60" s="152">
        <f ca="1">IF(N(C60)&gt;0,IF(N(C60)&lt;34,VLOOKUP(C60,' Pessoal'!$A$2:$M$34,4)),"")</f>
        <v>927</v>
      </c>
      <c r="G60" s="153">
        <v>22</v>
      </c>
      <c r="H60" s="150">
        <f t="shared" si="48"/>
        <v>40</v>
      </c>
      <c r="I60" s="154">
        <f t="shared" si="12"/>
        <v>173.33333333333334</v>
      </c>
      <c r="J60" s="152">
        <f t="shared" si="49"/>
        <v>5.35</v>
      </c>
      <c r="K60" s="155"/>
      <c r="L60" s="154">
        <f t="shared" si="50"/>
        <v>0</v>
      </c>
      <c r="M60" s="155"/>
      <c r="N60" s="154">
        <f t="shared" si="63"/>
        <v>0</v>
      </c>
      <c r="O60" s="152">
        <f t="shared" si="64"/>
        <v>0</v>
      </c>
      <c r="P60" s="156"/>
      <c r="Q60" s="156"/>
      <c r="R60" s="156"/>
      <c r="S60" s="157" t="str">
        <f t="shared" si="51"/>
        <v/>
      </c>
      <c r="T60" s="157" t="str">
        <f t="shared" si="52"/>
        <v/>
      </c>
      <c r="U60" s="157" t="str">
        <f t="shared" si="53"/>
        <v/>
      </c>
      <c r="V60" s="158">
        <f t="shared" si="54"/>
        <v>0</v>
      </c>
      <c r="W60" s="159"/>
      <c r="X60" s="158">
        <f t="shared" si="55"/>
        <v>0</v>
      </c>
      <c r="Y60" s="160">
        <f ca="1">IF(N(C60)&gt;0,VLOOKUP(C60,' Pessoal'!$A$2:$M$34,10),"")</f>
        <v>6.41</v>
      </c>
      <c r="Z60" s="160">
        <f t="shared" si="56"/>
        <v>141.02000000000001</v>
      </c>
      <c r="AA60" s="160">
        <f t="shared" si="57"/>
        <v>0</v>
      </c>
      <c r="AB60" s="159"/>
      <c r="AC60" s="160">
        <f t="shared" si="58"/>
        <v>0</v>
      </c>
      <c r="AD60" s="160">
        <f t="shared" si="59"/>
        <v>1068.02</v>
      </c>
      <c r="AE60" s="160">
        <f t="shared" si="19"/>
        <v>927</v>
      </c>
      <c r="AF60" s="160">
        <f ca="1">IF(N(C60)&gt;0,ROUND(AE60*VLOOKUP(C60,' Pessoal'!$A$2:$M$34,9),2),"")</f>
        <v>86.21</v>
      </c>
      <c r="AG60" s="162">
        <v>0.08</v>
      </c>
      <c r="AH60" s="160">
        <f t="shared" si="60"/>
        <v>74.16</v>
      </c>
      <c r="AI60" s="162">
        <v>0</v>
      </c>
      <c r="AJ60" s="160">
        <f t="shared" si="61"/>
        <v>160.37</v>
      </c>
      <c r="AK60" s="160">
        <f t="shared" si="62"/>
        <v>907.65</v>
      </c>
      <c r="AL60" s="160">
        <f>AE60+AL71</f>
        <v>12051</v>
      </c>
      <c r="AM60" s="163">
        <f>AH60+AM71</f>
        <v>1186.56</v>
      </c>
      <c r="AN60" s="302">
        <f>AF60+AN56</f>
        <v>1034.5200000000002</v>
      </c>
      <c r="AO60" s="7">
        <f>SUM(AH60:AH64)</f>
        <v>74.16</v>
      </c>
      <c r="AP60" s="7">
        <f>AE60</f>
        <v>927</v>
      </c>
      <c r="AQ60" s="7">
        <f>AP60*0.2125</f>
        <v>196.98749999999998</v>
      </c>
      <c r="AR60" s="7">
        <f>SUM(AE61:AE64)</f>
        <v>1035</v>
      </c>
      <c r="AS60" s="7">
        <f>ROUND(AR60*0.2375,2)-$AE63*0.01</f>
        <v>240.96</v>
      </c>
      <c r="AT60" s="7">
        <f>AK60</f>
        <v>907.65</v>
      </c>
      <c r="AU60" s="7">
        <f>ROUND(SUM(AK61:AK64),2)</f>
        <v>1203.19</v>
      </c>
      <c r="AV60" s="7">
        <f>ROUND(AP60*0.3125+AR60*0.3475,2)-$AE63*0.01</f>
        <v>644.5</v>
      </c>
      <c r="AW60" s="7">
        <f>AD60</f>
        <v>1068.02</v>
      </c>
      <c r="AX60" s="7">
        <f>SUM(AD61:AD64)</f>
        <v>1317.04</v>
      </c>
    </row>
    <row r="61" spans="1:50" s="73" customFormat="1">
      <c r="A61" s="178">
        <v>57</v>
      </c>
      <c r="B61" s="303">
        <f>B60</f>
        <v>40908</v>
      </c>
      <c r="C61" s="304">
        <v>2</v>
      </c>
      <c r="D61" s="327" t="str">
        <f ca="1">IF(N(C61)&gt;0,IF(N(C61)&lt;34,VLOOKUP('Tabela Final'!C61,' Pessoal'!$A$2:$B$34,2),""),"")</f>
        <v>Nuno</v>
      </c>
      <c r="E61" s="327" t="str">
        <f ca="1">IF(N(C61)&gt;0,IF(N(C61)&lt;34,VLOOKUP(C61,' Pessoal'!$A$2:$C$34,3),""),"")</f>
        <v>Ajud. Electricista</v>
      </c>
      <c r="F61" s="328">
        <f ca="1">IF(N(C61)&gt;0,IF(N(C61)&lt;34,VLOOKUP(C61,' Pessoal'!$A$2:$M$34,4)),"")</f>
        <v>0</v>
      </c>
      <c r="G61" s="307">
        <v>22</v>
      </c>
      <c r="H61" s="304">
        <f t="shared" si="48"/>
        <v>40</v>
      </c>
      <c r="I61" s="308">
        <f t="shared" si="12"/>
        <v>173.33333333333334</v>
      </c>
      <c r="J61" s="328">
        <f t="shared" si="49"/>
        <v>0</v>
      </c>
      <c r="K61" s="309"/>
      <c r="L61" s="334">
        <f t="shared" si="50"/>
        <v>0</v>
      </c>
      <c r="M61" s="309"/>
      <c r="N61" s="334">
        <f t="shared" si="63"/>
        <v>0</v>
      </c>
      <c r="O61" s="328">
        <f t="shared" si="64"/>
        <v>0</v>
      </c>
      <c r="P61" s="310"/>
      <c r="Q61" s="310"/>
      <c r="R61" s="310"/>
      <c r="S61" s="311" t="str">
        <f t="shared" si="51"/>
        <v/>
      </c>
      <c r="T61" s="311" t="str">
        <f t="shared" si="52"/>
        <v/>
      </c>
      <c r="U61" s="311" t="str">
        <f t="shared" si="53"/>
        <v/>
      </c>
      <c r="V61" s="312">
        <f t="shared" si="54"/>
        <v>0</v>
      </c>
      <c r="W61" s="313"/>
      <c r="X61" s="312">
        <f t="shared" si="55"/>
        <v>0</v>
      </c>
      <c r="Y61" s="314">
        <f ca="1">IF(N(C61)&gt;0,VLOOKUP(C61,' Pessoal'!$A$2:$M$34,10),"")</f>
        <v>0</v>
      </c>
      <c r="Z61" s="314">
        <f t="shared" si="56"/>
        <v>0</v>
      </c>
      <c r="AA61" s="314">
        <f t="shared" si="57"/>
        <v>0</v>
      </c>
      <c r="AB61" s="313"/>
      <c r="AC61" s="314">
        <f t="shared" si="58"/>
        <v>0</v>
      </c>
      <c r="AD61" s="314">
        <f t="shared" si="59"/>
        <v>0</v>
      </c>
      <c r="AE61" s="314">
        <f t="shared" si="19"/>
        <v>0</v>
      </c>
      <c r="AF61" s="314">
        <f ca="1">IF(N(C61)&gt;0,ROUND(AE61*VLOOKUP(C61,' Pessoal'!$A$2:$M$34,9),2),"")</f>
        <v>0</v>
      </c>
      <c r="AG61" s="316">
        <v>7.0000000000000007E-2</v>
      </c>
      <c r="AH61" s="314">
        <f t="shared" si="60"/>
        <v>0</v>
      </c>
      <c r="AI61" s="316">
        <v>0</v>
      </c>
      <c r="AJ61" s="314">
        <f t="shared" si="61"/>
        <v>0</v>
      </c>
      <c r="AK61" s="314">
        <f t="shared" si="62"/>
        <v>0</v>
      </c>
      <c r="AL61" s="335">
        <f>AE61+AL56</f>
        <v>0</v>
      </c>
      <c r="AM61" s="318">
        <f>AM60+AH61</f>
        <v>1186.56</v>
      </c>
      <c r="AN61" s="319">
        <f>AN60+AF61</f>
        <v>1034.5200000000002</v>
      </c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  <row r="62" spans="1:50" s="73" customFormat="1">
      <c r="A62" s="178">
        <v>58</v>
      </c>
      <c r="B62" s="303">
        <f>B61</f>
        <v>40908</v>
      </c>
      <c r="C62" s="304">
        <v>3</v>
      </c>
      <c r="D62" s="305" t="str">
        <f ca="1">IF(N(C62)&gt;0,IF(N(C62)&lt;34,VLOOKUP('Tabela Final'!C62,' Pessoal'!$A$2:$B$34,2),""),"")</f>
        <v>Fábio</v>
      </c>
      <c r="E62" s="305" t="str">
        <f ca="1">IF(N(C62)&gt;0,IF(N(C62)&lt;34,VLOOKUP(C62,' Pessoal'!$A$2:$C$34,3),""),"")</f>
        <v>Ajud. Electricista</v>
      </c>
      <c r="F62" s="306">
        <f ca="1">IF(N(C62)&gt;0,IF(N(C62)&lt;34,VLOOKUP(C62,' Pessoal'!$A$2:$M$34,4)),"")</f>
        <v>0</v>
      </c>
      <c r="G62" s="307">
        <v>22</v>
      </c>
      <c r="H62" s="304">
        <f t="shared" si="48"/>
        <v>40</v>
      </c>
      <c r="I62" s="308">
        <f t="shared" si="12"/>
        <v>173.33333333333334</v>
      </c>
      <c r="J62" s="306">
        <f t="shared" si="49"/>
        <v>0</v>
      </c>
      <c r="K62" s="309"/>
      <c r="L62" s="308">
        <f t="shared" si="50"/>
        <v>0</v>
      </c>
      <c r="M62" s="309"/>
      <c r="N62" s="308">
        <f t="shared" si="63"/>
        <v>0</v>
      </c>
      <c r="O62" s="306">
        <f t="shared" si="64"/>
        <v>0</v>
      </c>
      <c r="P62" s="310"/>
      <c r="Q62" s="310"/>
      <c r="R62" s="310"/>
      <c r="S62" s="311" t="str">
        <f t="shared" si="51"/>
        <v/>
      </c>
      <c r="T62" s="311" t="str">
        <f t="shared" si="52"/>
        <v/>
      </c>
      <c r="U62" s="311" t="str">
        <f t="shared" si="53"/>
        <v/>
      </c>
      <c r="V62" s="312">
        <f t="shared" si="54"/>
        <v>0</v>
      </c>
      <c r="W62" s="313"/>
      <c r="X62" s="312">
        <f t="shared" si="55"/>
        <v>0</v>
      </c>
      <c r="Y62" s="314">
        <f ca="1">IF(N(C62)&gt;0,VLOOKUP(C62,' Pessoal'!$A$2:$M$34,10),"")</f>
        <v>0</v>
      </c>
      <c r="Z62" s="314">
        <f t="shared" si="56"/>
        <v>0</v>
      </c>
      <c r="AA62" s="314">
        <f t="shared" si="57"/>
        <v>0</v>
      </c>
      <c r="AB62" s="313"/>
      <c r="AC62" s="314">
        <f t="shared" si="58"/>
        <v>0</v>
      </c>
      <c r="AD62" s="314">
        <f t="shared" si="59"/>
        <v>0</v>
      </c>
      <c r="AE62" s="314">
        <f t="shared" si="19"/>
        <v>0</v>
      </c>
      <c r="AF62" s="314">
        <f ca="1">IF(N(C62)&gt;0,ROUND(AE62*VLOOKUP(C62,' Pessoal'!$A$2:$M$34,9),2),"")</f>
        <v>0</v>
      </c>
      <c r="AG62" s="316">
        <v>0</v>
      </c>
      <c r="AH62" s="314">
        <f t="shared" si="60"/>
        <v>0</v>
      </c>
      <c r="AI62" s="316">
        <v>0</v>
      </c>
      <c r="AJ62" s="314">
        <f t="shared" si="61"/>
        <v>0</v>
      </c>
      <c r="AK62" s="314">
        <f t="shared" si="62"/>
        <v>0</v>
      </c>
      <c r="AL62" s="335">
        <f>AE62+AL57</f>
        <v>0</v>
      </c>
      <c r="AM62" s="318">
        <f>AM61+AH62</f>
        <v>1186.56</v>
      </c>
      <c r="AN62" s="319">
        <f>AN61+AF62</f>
        <v>1034.5200000000002</v>
      </c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  <row r="63" spans="1:50">
      <c r="A63" s="49">
        <v>59</v>
      </c>
      <c r="B63" s="201">
        <f>B62</f>
        <v>40908</v>
      </c>
      <c r="C63" s="165">
        <v>4</v>
      </c>
      <c r="D63" s="166" t="str">
        <f ca="1">IF(N(C63)&gt;0,IF(N(C63)&lt;34,VLOOKUP('Tabela Final'!C63,' Pessoal'!$A$2:$B$34,2),""),"")</f>
        <v>Carlos</v>
      </c>
      <c r="E63" s="166" t="str">
        <f ca="1">IF(N(C63)&gt;0,IF(N(C63)&lt;34,VLOOKUP(C63,' Pessoal'!$A$2:$C$34,3),""),"")</f>
        <v>Ajud. Electricista</v>
      </c>
      <c r="F63" s="167">
        <f ca="1">IF(N(C63)&gt;0,IF(N(C63)&lt;34,VLOOKUP(C63,' Pessoal'!$A$2:$M$34,4)),"")</f>
        <v>485</v>
      </c>
      <c r="G63" s="168">
        <v>22</v>
      </c>
      <c r="H63" s="165">
        <f t="shared" si="48"/>
        <v>40</v>
      </c>
      <c r="I63" s="169">
        <f t="shared" si="12"/>
        <v>173.33333333333334</v>
      </c>
      <c r="J63" s="167">
        <f t="shared" si="49"/>
        <v>2.8</v>
      </c>
      <c r="K63" s="170"/>
      <c r="L63" s="169">
        <f t="shared" si="50"/>
        <v>0</v>
      </c>
      <c r="M63" s="170"/>
      <c r="N63" s="169">
        <f t="shared" si="63"/>
        <v>0</v>
      </c>
      <c r="O63" s="167">
        <f t="shared" si="64"/>
        <v>0</v>
      </c>
      <c r="P63" s="171"/>
      <c r="Q63" s="171"/>
      <c r="R63" s="171"/>
      <c r="S63" s="172" t="str">
        <f t="shared" si="51"/>
        <v/>
      </c>
      <c r="T63" s="172" t="str">
        <f t="shared" si="52"/>
        <v/>
      </c>
      <c r="U63" s="172" t="str">
        <f t="shared" si="53"/>
        <v/>
      </c>
      <c r="V63" s="173">
        <f t="shared" si="54"/>
        <v>0</v>
      </c>
      <c r="W63" s="174"/>
      <c r="X63" s="173">
        <f t="shared" si="55"/>
        <v>0</v>
      </c>
      <c r="Y63" s="175">
        <f ca="1">IF(N(C63)&gt;0,VLOOKUP(C63,' Pessoal'!$A$2:$M$34,10),"")</f>
        <v>6.41</v>
      </c>
      <c r="Z63" s="175">
        <f t="shared" si="56"/>
        <v>141.02000000000001</v>
      </c>
      <c r="AA63" s="175">
        <f t="shared" si="57"/>
        <v>0</v>
      </c>
      <c r="AB63" s="174"/>
      <c r="AC63" s="175">
        <f t="shared" si="58"/>
        <v>0</v>
      </c>
      <c r="AD63" s="175">
        <f t="shared" si="59"/>
        <v>626.02</v>
      </c>
      <c r="AE63" s="175">
        <f t="shared" si="19"/>
        <v>485</v>
      </c>
      <c r="AF63" s="175">
        <f ca="1">IF(N(C63)&gt;0,ROUND(AE63*VLOOKUP(C63,' Pessoal'!$A$2:$M$34,9),2),"")</f>
        <v>53.35</v>
      </c>
      <c r="AG63" s="176">
        <v>0</v>
      </c>
      <c r="AH63" s="175">
        <f t="shared" si="60"/>
        <v>0</v>
      </c>
      <c r="AI63" s="176">
        <v>0</v>
      </c>
      <c r="AJ63" s="175">
        <f t="shared" si="61"/>
        <v>53.35</v>
      </c>
      <c r="AK63" s="175">
        <f t="shared" si="62"/>
        <v>572.66999999999996</v>
      </c>
      <c r="AL63" s="175">
        <f>AE63+AL72</f>
        <v>6385</v>
      </c>
      <c r="AM63" s="177">
        <f>AH63+AM72</f>
        <v>0</v>
      </c>
      <c r="AN63" s="322">
        <f>AF63+AN58</f>
        <v>649.00000000000011</v>
      </c>
      <c r="AO63" s="7"/>
      <c r="AP63" s="7"/>
      <c r="AQ63" s="7"/>
      <c r="AR63" s="7"/>
      <c r="AS63" s="7"/>
      <c r="AT63" s="7"/>
      <c r="AU63" s="7"/>
      <c r="AV63" s="7"/>
      <c r="AW63" s="7"/>
      <c r="AX63" s="7"/>
    </row>
    <row r="64" spans="1:50" s="193" customFormat="1" ht="12" thickBot="1">
      <c r="A64" s="71">
        <v>60</v>
      </c>
      <c r="B64" s="179">
        <f>B63</f>
        <v>40908</v>
      </c>
      <c r="C64" s="180">
        <v>5</v>
      </c>
      <c r="D64" s="181" t="str">
        <f ca="1">IF(N(C64)&gt;0,IF(N(C64)&lt;34,VLOOKUP('Tabela Final'!C64,' Pessoal'!$A$2:$B$34,2),""),"")</f>
        <v>André</v>
      </c>
      <c r="E64" s="181" t="str">
        <f ca="1">IF(N(C64)&gt;0,IF(N(C64)&lt;34,VLOOKUP(C64,' Pessoal'!$A$2:$C$34,3),""),"")</f>
        <v>Ajud. Electricista</v>
      </c>
      <c r="F64" s="182">
        <f ca="1">IF(N(C64)&gt;0,IF(N(C64)&lt;34,VLOOKUP(C64,' Pessoal'!$A$2:$M$34,4)),"")</f>
        <v>550</v>
      </c>
      <c r="G64" s="183">
        <v>22</v>
      </c>
      <c r="H64" s="180">
        <f t="shared" si="48"/>
        <v>40</v>
      </c>
      <c r="I64" s="184">
        <f t="shared" si="12"/>
        <v>173.33333333333334</v>
      </c>
      <c r="J64" s="182">
        <f t="shared" si="49"/>
        <v>3.17</v>
      </c>
      <c r="K64" s="185"/>
      <c r="L64" s="184">
        <f t="shared" si="50"/>
        <v>0</v>
      </c>
      <c r="M64" s="185"/>
      <c r="N64" s="184">
        <f t="shared" si="63"/>
        <v>0</v>
      </c>
      <c r="O64" s="182">
        <f t="shared" si="64"/>
        <v>0</v>
      </c>
      <c r="P64" s="186"/>
      <c r="Q64" s="186"/>
      <c r="R64" s="186"/>
      <c r="S64" s="187" t="str">
        <f t="shared" si="51"/>
        <v/>
      </c>
      <c r="T64" s="187" t="str">
        <f t="shared" si="52"/>
        <v/>
      </c>
      <c r="U64" s="187" t="str">
        <f t="shared" si="53"/>
        <v/>
      </c>
      <c r="V64" s="188">
        <f t="shared" si="54"/>
        <v>0</v>
      </c>
      <c r="W64" s="189"/>
      <c r="X64" s="188">
        <f t="shared" si="55"/>
        <v>0</v>
      </c>
      <c r="Y64" s="161">
        <f ca="1">IF(N(C64)&gt;0,VLOOKUP(C64,' Pessoal'!$A$2:$M$34,10),"")</f>
        <v>6.41</v>
      </c>
      <c r="Z64" s="161">
        <f t="shared" si="56"/>
        <v>141.02000000000001</v>
      </c>
      <c r="AA64" s="161">
        <f t="shared" si="57"/>
        <v>0</v>
      </c>
      <c r="AB64" s="189"/>
      <c r="AC64" s="161">
        <f t="shared" si="58"/>
        <v>0</v>
      </c>
      <c r="AD64" s="161">
        <f t="shared" si="59"/>
        <v>691.02</v>
      </c>
      <c r="AE64" s="161">
        <f>IF(N(C64)&gt;0,(ROUND(IF((Y64)&gt;6.41,((Y64-6.41)*G65+F64+AA64+AB64+AC64-O64),F64+AA64+AB64+AC64-O64),2))," ")</f>
        <v>550</v>
      </c>
      <c r="AF64" s="161">
        <f ca="1">IF(N(C64)&gt;0,ROUND(AE64*VLOOKUP(C64,' Pessoal'!$A$2:$M$34,9),2),"")</f>
        <v>60.5</v>
      </c>
      <c r="AG64" s="190">
        <v>0</v>
      </c>
      <c r="AH64" s="161">
        <f t="shared" si="60"/>
        <v>0</v>
      </c>
      <c r="AI64" s="190">
        <v>0</v>
      </c>
      <c r="AJ64" s="161">
        <f t="shared" si="61"/>
        <v>60.5</v>
      </c>
      <c r="AK64" s="161">
        <f t="shared" si="62"/>
        <v>630.52</v>
      </c>
      <c r="AL64" s="161">
        <f>AE64+AL73</f>
        <v>7150</v>
      </c>
      <c r="AM64" s="191">
        <f>AH64+AM73</f>
        <v>0</v>
      </c>
      <c r="AN64" s="325">
        <f>AF64+AN59</f>
        <v>726</v>
      </c>
      <c r="AO64" s="192"/>
      <c r="AP64" s="192"/>
      <c r="AQ64" s="192"/>
      <c r="AR64" s="192"/>
      <c r="AS64" s="192"/>
      <c r="AT64" s="192"/>
      <c r="AU64" s="192"/>
      <c r="AV64" s="192"/>
      <c r="AW64" s="192"/>
      <c r="AX64" s="192"/>
    </row>
    <row r="65" spans="1:50" ht="12" thickBot="1">
      <c r="A65" s="70">
        <v>61</v>
      </c>
      <c r="B65" s="336">
        <v>40693</v>
      </c>
      <c r="C65" s="337">
        <v>1</v>
      </c>
      <c r="D65" s="338" t="str">
        <f ca="1">IF(N(C65)&gt;0,IF(N(C65)&lt;34,VLOOKUP('Tabela Final'!C65,' Pessoal'!$A$2:$B$34,2),""),"")</f>
        <v>Susana</v>
      </c>
      <c r="E65" s="338" t="str">
        <f ca="1">IF(N(C65)&gt;0,IF(N(C65)&lt;34,VLOOKUP(C65,' Pessoal'!$A$2:$C$34,3),""),"")</f>
        <v>Gerente</v>
      </c>
      <c r="F65" s="339">
        <f ca="1">IF(N(C65)&gt;0,IF(N(C65)&lt;34,VLOOKUP(C65,' Pessoal'!$A$2:$M$34,4)),"")</f>
        <v>927</v>
      </c>
      <c r="G65" s="340"/>
      <c r="H65" s="337">
        <f t="shared" si="48"/>
        <v>40</v>
      </c>
      <c r="I65" s="341">
        <f t="shared" si="12"/>
        <v>173.33333333333334</v>
      </c>
      <c r="J65" s="339">
        <f t="shared" si="49"/>
        <v>5.35</v>
      </c>
      <c r="K65" s="342"/>
      <c r="L65" s="341">
        <f t="shared" si="50"/>
        <v>0</v>
      </c>
      <c r="M65" s="342"/>
      <c r="N65" s="341">
        <f t="shared" si="63"/>
        <v>0</v>
      </c>
      <c r="O65" s="339">
        <f t="shared" si="64"/>
        <v>0</v>
      </c>
      <c r="P65" s="343"/>
      <c r="Q65" s="343"/>
      <c r="R65" s="343"/>
      <c r="S65" s="344" t="str">
        <f t="shared" si="51"/>
        <v/>
      </c>
      <c r="T65" s="344" t="str">
        <f t="shared" si="52"/>
        <v/>
      </c>
      <c r="U65" s="344" t="str">
        <f t="shared" si="53"/>
        <v/>
      </c>
      <c r="V65" s="345">
        <f t="shared" si="54"/>
        <v>0</v>
      </c>
      <c r="W65" s="346"/>
      <c r="X65" s="345">
        <f t="shared" si="55"/>
        <v>0</v>
      </c>
      <c r="Y65" s="347">
        <f ca="1">IF(N(C65)&gt;0,VLOOKUP(C65,' Pessoal'!$A$2:$M$34,10),"")</f>
        <v>6.41</v>
      </c>
      <c r="Z65" s="347">
        <f t="shared" si="56"/>
        <v>0</v>
      </c>
      <c r="AA65" s="347">
        <f t="shared" si="57"/>
        <v>0</v>
      </c>
      <c r="AB65" s="346"/>
      <c r="AC65" s="347">
        <f t="shared" si="58"/>
        <v>0</v>
      </c>
      <c r="AD65" s="347">
        <f t="shared" si="59"/>
        <v>927</v>
      </c>
      <c r="AE65" s="348">
        <f t="shared" si="19"/>
        <v>927</v>
      </c>
      <c r="AF65" s="347">
        <f ca="1">IF(N(C65)&gt;0,ROUND(AE65*VLOOKUP(C65,' Pessoal'!$A$2:$M$34,9),2),"")</f>
        <v>86.21</v>
      </c>
      <c r="AG65" s="349">
        <v>0.08</v>
      </c>
      <c r="AH65" s="347">
        <f t="shared" si="60"/>
        <v>74.16</v>
      </c>
      <c r="AI65" s="349">
        <v>0</v>
      </c>
      <c r="AJ65" s="347">
        <f t="shared" si="61"/>
        <v>160.37</v>
      </c>
      <c r="AK65" s="347">
        <f t="shared" si="62"/>
        <v>766.63</v>
      </c>
      <c r="AL65" s="347">
        <f>AE65+AL25</f>
        <v>5562</v>
      </c>
      <c r="AM65" s="350">
        <f>AH65+AM25</f>
        <v>519.11999999999989</v>
      </c>
      <c r="AN65" s="347">
        <f>AF65+AN60</f>
        <v>1120.7300000000002</v>
      </c>
      <c r="AO65" s="7">
        <f>SUM(AH65:AH67)</f>
        <v>74.16</v>
      </c>
      <c r="AP65" s="7">
        <f>AE65</f>
        <v>927</v>
      </c>
      <c r="AQ65" s="7">
        <f>AP65*0.2125</f>
        <v>196.98749999999998</v>
      </c>
      <c r="AR65" s="7">
        <f>SUM(AE66:AE67)</f>
        <v>1035</v>
      </c>
      <c r="AS65" s="7">
        <f>ROUND(AR65*0.2375,2)-$AE66*0.01</f>
        <v>240.96</v>
      </c>
      <c r="AT65" s="7">
        <f>AK65</f>
        <v>766.63</v>
      </c>
      <c r="AU65" s="7">
        <f>ROUND(SUM(AK66:AK67),2)</f>
        <v>921.15</v>
      </c>
      <c r="AV65" s="7">
        <f>ROUND(AP65*0.3125+AR65*0.3475,2)-$AE66*0.01</f>
        <v>644.5</v>
      </c>
      <c r="AW65" s="7">
        <f>AD65</f>
        <v>927</v>
      </c>
      <c r="AX65" s="7">
        <f>SUM(AD66:AD67)</f>
        <v>1035</v>
      </c>
    </row>
    <row r="66" spans="1:50">
      <c r="A66" s="49">
        <v>62</v>
      </c>
      <c r="B66" s="351">
        <v>40693</v>
      </c>
      <c r="C66" s="352">
        <v>4</v>
      </c>
      <c r="D66" s="353" t="str">
        <f ca="1">IF(N(C66)&gt;0,IF(N(C66)&lt;34,VLOOKUP('Tabela Final'!C66,' Pessoal'!$A$2:$B$34,2),""),"")</f>
        <v>Carlos</v>
      </c>
      <c r="E66" s="353" t="str">
        <f ca="1">IF(N(C66)&gt;0,IF(N(C66)&lt;34,VLOOKUP(C66,' Pessoal'!$A$2:$C$34,3),""),"")</f>
        <v>Ajud. Electricista</v>
      </c>
      <c r="F66" s="354">
        <f ca="1">IF(N(C66)&gt;0,IF(N(C66)&lt;34,VLOOKUP(C66,' Pessoal'!$A$2:$M$34,4)),"")</f>
        <v>485</v>
      </c>
      <c r="G66" s="355"/>
      <c r="H66" s="352">
        <f t="shared" ref="H66:H73" si="65">IF(N(C66)&gt;0,$H$5,"")</f>
        <v>40</v>
      </c>
      <c r="I66" s="356">
        <f t="shared" si="12"/>
        <v>173.33333333333334</v>
      </c>
      <c r="J66" s="354">
        <f t="shared" ref="J66:J73" si="66">IF(N(C66)&gt;0,ROUND((F66/I66),2),"")</f>
        <v>2.8</v>
      </c>
      <c r="K66" s="357"/>
      <c r="L66" s="356">
        <f t="shared" ref="L66:L73" si="67">IF(N(C66)&gt;0,K66*((ROUND(I66/30,2)*J66)),"")</f>
        <v>0</v>
      </c>
      <c r="M66" s="357"/>
      <c r="N66" s="356">
        <f t="shared" ref="N66:N73" si="68">IF(N(C66)&gt;0,(M66*J66),"")</f>
        <v>0</v>
      </c>
      <c r="O66" s="354">
        <f t="shared" ref="O66:O73" si="69">IF(N(C66)&gt;0,ROUND(L66+N66,2),"")</f>
        <v>0</v>
      </c>
      <c r="P66" s="358"/>
      <c r="Q66" s="358"/>
      <c r="R66" s="358"/>
      <c r="S66" s="359" t="str">
        <f t="shared" ref="S66:S73" si="70">IF(N(P66)&gt;0,P66*ROUND((J66+($P$4*J66)),2),"")</f>
        <v/>
      </c>
      <c r="T66" s="359" t="str">
        <f t="shared" ref="T66:T73" si="71">IF(N(Q66)&gt;0,Q66*ROUND((J66+($Q$4*J66)),2),"")</f>
        <v/>
      </c>
      <c r="U66" s="359" t="str">
        <f t="shared" ref="U66:U73" si="72">IF(N(R66)&gt;0,R66*ROUND((J66+($R$4*J66)),2),"")</f>
        <v/>
      </c>
      <c r="V66" s="360">
        <f t="shared" ref="V66:V73" si="73">IF(N(C66)&gt;0,SUM(S66:U66),"")</f>
        <v>0</v>
      </c>
      <c r="W66" s="361"/>
      <c r="X66" s="360">
        <f t="shared" ref="X66:X73" si="74">IF(N(C66)&gt;0,V66+W66,"")</f>
        <v>0</v>
      </c>
      <c r="Y66" s="362">
        <f ca="1">IF(N(C66)&gt;0,VLOOKUP(C66,' Pessoal'!$A$2:$M$34,10),"")</f>
        <v>6.41</v>
      </c>
      <c r="Z66" s="362">
        <f t="shared" ref="Z66:Z73" si="75">IF(N(C66)&gt;0,(G66*Y66),"")</f>
        <v>0</v>
      </c>
      <c r="AA66" s="362">
        <f t="shared" ref="AA66:AA73" si="76">IF(N(C66)&gt;0,V66,"")</f>
        <v>0</v>
      </c>
      <c r="AB66" s="361"/>
      <c r="AC66" s="362">
        <f t="shared" ref="AC66:AC73" si="77">IF(N(C66)&gt;0,V66,"")</f>
        <v>0</v>
      </c>
      <c r="AD66" s="362">
        <f t="shared" ref="AD66:AD73" si="78">IF(N(C66)&gt;0,ROUND(SUM(X66+F66+Z66+AA66+AB66+AC66)-O66,2),"")</f>
        <v>485</v>
      </c>
      <c r="AE66" s="362">
        <f t="shared" si="19"/>
        <v>485</v>
      </c>
      <c r="AF66" s="362">
        <f ca="1">IF(N(C66)&gt;0,ROUND(AE66*VLOOKUP(C66,' Pessoal'!$A$2:$M$34,9),2),"")</f>
        <v>53.35</v>
      </c>
      <c r="AG66" s="363">
        <v>0</v>
      </c>
      <c r="AH66" s="362">
        <f t="shared" ref="AH66:AH73" si="79">IF(N(C66)&gt;0,ROUND(AE66*AG66,2),"")</f>
        <v>0</v>
      </c>
      <c r="AI66" s="363">
        <v>0</v>
      </c>
      <c r="AJ66" s="362">
        <f t="shared" ref="AJ66:AJ73" si="80">IF(N(C66)&gt;0,SUM(AF66+AH66)+(AD66*AI66),"")</f>
        <v>53.35</v>
      </c>
      <c r="AK66" s="362">
        <f t="shared" ref="AK66:AK73" si="81">IF(N(C66)&gt;0,(AD66-AJ66),"")</f>
        <v>431.65</v>
      </c>
      <c r="AL66" s="362">
        <f>AE66+AL28</f>
        <v>2950</v>
      </c>
      <c r="AM66" s="364">
        <f>AH66+AM28</f>
        <v>0</v>
      </c>
      <c r="AN66" s="362">
        <f>AF66+AN63</f>
        <v>702.35000000000014</v>
      </c>
      <c r="AO66" s="7"/>
      <c r="AP66" s="7"/>
      <c r="AQ66" s="7"/>
      <c r="AR66" s="7"/>
      <c r="AS66" s="7"/>
      <c r="AT66" s="7"/>
      <c r="AU66" s="7"/>
      <c r="AV66" s="7"/>
      <c r="AW66" s="7"/>
      <c r="AX66" s="7"/>
    </row>
    <row r="67" spans="1:50" s="193" customFormat="1" ht="12" thickBot="1">
      <c r="A67" s="71">
        <v>63</v>
      </c>
      <c r="B67" s="365">
        <v>40693</v>
      </c>
      <c r="C67" s="366">
        <v>5</v>
      </c>
      <c r="D67" s="367" t="str">
        <f ca="1">IF(N(C67)&gt;0,IF(N(C67)&lt;34,VLOOKUP('Tabela Final'!C67,' Pessoal'!$A$2:$B$34,2),""),"")</f>
        <v>André</v>
      </c>
      <c r="E67" s="367" t="str">
        <f ca="1">IF(N(C67)&gt;0,IF(N(C67)&lt;34,VLOOKUP(C67,' Pessoal'!$A$2:$C$34,3),""),"")</f>
        <v>Ajud. Electricista</v>
      </c>
      <c r="F67" s="368">
        <f ca="1">IF(N(C67)&gt;0,IF(N(C67)&lt;34,VLOOKUP(C67,' Pessoal'!$A$2:$M$34,4)),"")</f>
        <v>550</v>
      </c>
      <c r="G67" s="369"/>
      <c r="H67" s="366">
        <f t="shared" si="65"/>
        <v>40</v>
      </c>
      <c r="I67" s="370">
        <f t="shared" si="12"/>
        <v>173.33333333333334</v>
      </c>
      <c r="J67" s="368">
        <f t="shared" si="66"/>
        <v>3.17</v>
      </c>
      <c r="K67" s="371"/>
      <c r="L67" s="370">
        <f t="shared" si="67"/>
        <v>0</v>
      </c>
      <c r="M67" s="371"/>
      <c r="N67" s="370">
        <f t="shared" si="68"/>
        <v>0</v>
      </c>
      <c r="O67" s="368">
        <f t="shared" si="69"/>
        <v>0</v>
      </c>
      <c r="P67" s="372"/>
      <c r="Q67" s="372"/>
      <c r="R67" s="372"/>
      <c r="S67" s="373" t="str">
        <f t="shared" si="70"/>
        <v/>
      </c>
      <c r="T67" s="373" t="str">
        <f t="shared" si="71"/>
        <v/>
      </c>
      <c r="U67" s="373" t="str">
        <f t="shared" si="72"/>
        <v/>
      </c>
      <c r="V67" s="374">
        <f t="shared" si="73"/>
        <v>0</v>
      </c>
      <c r="W67" s="375"/>
      <c r="X67" s="374">
        <f t="shared" si="74"/>
        <v>0</v>
      </c>
      <c r="Y67" s="376">
        <f ca="1">IF(N(C67)&gt;0,VLOOKUP(C67,' Pessoal'!$A$2:$M$34,10),"")</f>
        <v>6.41</v>
      </c>
      <c r="Z67" s="376">
        <f t="shared" si="75"/>
        <v>0</v>
      </c>
      <c r="AA67" s="376">
        <f t="shared" si="76"/>
        <v>0</v>
      </c>
      <c r="AB67" s="375"/>
      <c r="AC67" s="376">
        <f t="shared" si="77"/>
        <v>0</v>
      </c>
      <c r="AD67" s="376">
        <f t="shared" si="78"/>
        <v>550</v>
      </c>
      <c r="AE67" s="376">
        <f t="shared" si="19"/>
        <v>550</v>
      </c>
      <c r="AF67" s="376">
        <f ca="1">IF(N(C67)&gt;0,ROUND(AE67*VLOOKUP(C67,' Pessoal'!$A$2:$M$34,9),2),"")</f>
        <v>60.5</v>
      </c>
      <c r="AG67" s="377">
        <v>0</v>
      </c>
      <c r="AH67" s="376">
        <f t="shared" si="79"/>
        <v>0</v>
      </c>
      <c r="AI67" s="377">
        <v>0</v>
      </c>
      <c r="AJ67" s="376">
        <f t="shared" si="80"/>
        <v>60.5</v>
      </c>
      <c r="AK67" s="376">
        <f t="shared" si="81"/>
        <v>489.5</v>
      </c>
      <c r="AL67" s="376">
        <f>AE67+AL29</f>
        <v>3300</v>
      </c>
      <c r="AM67" s="378">
        <f>AH67+AM29</f>
        <v>0</v>
      </c>
      <c r="AN67" s="376">
        <f>AF67+AN64</f>
        <v>786.5</v>
      </c>
      <c r="AO67" s="192"/>
      <c r="AP67" s="192"/>
      <c r="AQ67" s="192"/>
      <c r="AR67" s="192"/>
      <c r="AS67" s="192"/>
      <c r="AT67" s="192"/>
      <c r="AU67" s="192"/>
      <c r="AV67" s="192"/>
      <c r="AW67" s="192"/>
      <c r="AX67" s="192"/>
    </row>
    <row r="68" spans="1:50">
      <c r="A68" s="70">
        <v>64</v>
      </c>
      <c r="B68" s="336">
        <v>40724</v>
      </c>
      <c r="C68" s="337">
        <v>1</v>
      </c>
      <c r="D68" s="338" t="str">
        <f ca="1">IF(N(C68)&gt;0,IF(N(C68)&lt;34,VLOOKUP('Tabela Final'!C68,' Pessoal'!$A$2:$B$34,2),""),"")</f>
        <v>Susana</v>
      </c>
      <c r="E68" s="338" t="str">
        <f ca="1">IF(N(C68)&gt;0,IF(N(C68)&lt;34,VLOOKUP(C68,' Pessoal'!$A$2:$C$34,3),""),"")</f>
        <v>Gerente</v>
      </c>
      <c r="F68" s="339">
        <f ca="1">IF(N(C68)&gt;0,IF(N(C68)&lt;34,VLOOKUP(C68,' Pessoal'!$A$2:$M$34,4)),"")</f>
        <v>927</v>
      </c>
      <c r="G68" s="340"/>
      <c r="H68" s="337">
        <f t="shared" si="65"/>
        <v>40</v>
      </c>
      <c r="I68" s="341">
        <f t="shared" si="12"/>
        <v>173.33333333333334</v>
      </c>
      <c r="J68" s="339">
        <f t="shared" si="66"/>
        <v>5.35</v>
      </c>
      <c r="K68" s="342"/>
      <c r="L68" s="341">
        <f t="shared" si="67"/>
        <v>0</v>
      </c>
      <c r="M68" s="342"/>
      <c r="N68" s="341">
        <f t="shared" si="68"/>
        <v>0</v>
      </c>
      <c r="O68" s="339">
        <f t="shared" si="69"/>
        <v>0</v>
      </c>
      <c r="P68" s="343"/>
      <c r="Q68" s="343"/>
      <c r="R68" s="343"/>
      <c r="S68" s="344" t="str">
        <f t="shared" si="70"/>
        <v/>
      </c>
      <c r="T68" s="344" t="str">
        <f t="shared" si="71"/>
        <v/>
      </c>
      <c r="U68" s="344" t="str">
        <f t="shared" si="72"/>
        <v/>
      </c>
      <c r="V68" s="345">
        <f t="shared" si="73"/>
        <v>0</v>
      </c>
      <c r="W68" s="346"/>
      <c r="X68" s="345">
        <f t="shared" si="74"/>
        <v>0</v>
      </c>
      <c r="Y68" s="347">
        <f ca="1">IF(N(C68)&gt;0,VLOOKUP(C68,' Pessoal'!$A$2:$M$34,10),"")</f>
        <v>6.41</v>
      </c>
      <c r="Z68" s="347">
        <f t="shared" si="75"/>
        <v>0</v>
      </c>
      <c r="AA68" s="347">
        <f t="shared" si="76"/>
        <v>0</v>
      </c>
      <c r="AB68" s="346"/>
      <c r="AC68" s="347">
        <f t="shared" si="77"/>
        <v>0</v>
      </c>
      <c r="AD68" s="347">
        <f t="shared" si="78"/>
        <v>927</v>
      </c>
      <c r="AE68" s="347">
        <f>IF(N(C68)&gt;0,(ROUND(IF((Y68)&gt;6.41,((Y68-6.41)*G69+F68+AA68+AB68+AC68-O68),F68+AA68+AB68+AC68-O68),2))," ")</f>
        <v>927</v>
      </c>
      <c r="AF68" s="347">
        <f ca="1">IF(N(C68)&gt;0,ROUND(AE68*VLOOKUP(C68,' Pessoal'!$A$2:$M$34,9),2),"")</f>
        <v>86.21</v>
      </c>
      <c r="AG68" s="349">
        <v>0.08</v>
      </c>
      <c r="AH68" s="347">
        <f t="shared" si="79"/>
        <v>74.16</v>
      </c>
      <c r="AI68" s="349">
        <v>0</v>
      </c>
      <c r="AJ68" s="347">
        <f t="shared" si="80"/>
        <v>160.37</v>
      </c>
      <c r="AK68" s="347">
        <f t="shared" si="81"/>
        <v>766.63</v>
      </c>
      <c r="AL68" s="347">
        <f>AE68+AL65</f>
        <v>6489</v>
      </c>
      <c r="AM68" s="350">
        <f>AH68+AM30</f>
        <v>741.5999999999998</v>
      </c>
      <c r="AN68" s="347">
        <f t="shared" ref="AN68:AN73" si="82">AF68+AN63</f>
        <v>735.21000000000015</v>
      </c>
      <c r="AO68" s="7">
        <f>SUM(AH68:AH70)</f>
        <v>74.16</v>
      </c>
      <c r="AP68" s="7">
        <f>AE68</f>
        <v>927</v>
      </c>
      <c r="AQ68" s="7">
        <f>AP68*0.2125</f>
        <v>196.98749999999998</v>
      </c>
      <c r="AR68" s="7">
        <f>SUM(AE69:AE70)</f>
        <v>1035</v>
      </c>
      <c r="AS68" s="7">
        <f>ROUND(AR68*0.2375,2)-$AE69*0.01</f>
        <v>240.96</v>
      </c>
      <c r="AT68" s="7">
        <f>AK68</f>
        <v>766.63</v>
      </c>
      <c r="AU68" s="7">
        <f>ROUND(SUM(AK69:AK70),2)</f>
        <v>921.15</v>
      </c>
      <c r="AV68" s="7">
        <f>ROUND(AP68*0.3125+AR68*0.3475,2)-$AE69*0.01</f>
        <v>644.5</v>
      </c>
      <c r="AW68" s="7">
        <f>AD68</f>
        <v>927</v>
      </c>
      <c r="AX68" s="7">
        <f>SUM(AD69:AD70)</f>
        <v>1035</v>
      </c>
    </row>
    <row r="69" spans="1:50">
      <c r="A69" s="49">
        <v>65</v>
      </c>
      <c r="B69" s="351">
        <v>40724</v>
      </c>
      <c r="C69" s="352">
        <v>4</v>
      </c>
      <c r="D69" s="353" t="str">
        <f ca="1">IF(N(C69)&gt;0,IF(N(C69)&lt;34,VLOOKUP('Tabela Final'!C69,' Pessoal'!$A$2:$B$34,2),""),"")</f>
        <v>Carlos</v>
      </c>
      <c r="E69" s="353" t="str">
        <f ca="1">IF(N(C69)&gt;0,IF(N(C69)&lt;34,VLOOKUP(C69,' Pessoal'!$A$2:$C$34,3),""),"")</f>
        <v>Ajud. Electricista</v>
      </c>
      <c r="F69" s="354">
        <f ca="1">IF(N(C69)&gt;0,IF(N(C69)&lt;34,VLOOKUP(C69,' Pessoal'!$A$2:$M$34,4)),"")</f>
        <v>485</v>
      </c>
      <c r="G69" s="355"/>
      <c r="H69" s="352">
        <f t="shared" si="65"/>
        <v>40</v>
      </c>
      <c r="I69" s="356">
        <f t="shared" si="12"/>
        <v>173.33333333333334</v>
      </c>
      <c r="J69" s="354">
        <f t="shared" si="66"/>
        <v>2.8</v>
      </c>
      <c r="K69" s="357"/>
      <c r="L69" s="356">
        <f t="shared" si="67"/>
        <v>0</v>
      </c>
      <c r="M69" s="357"/>
      <c r="N69" s="356">
        <f t="shared" si="68"/>
        <v>0</v>
      </c>
      <c r="O69" s="354">
        <f t="shared" si="69"/>
        <v>0</v>
      </c>
      <c r="P69" s="358"/>
      <c r="Q69" s="358"/>
      <c r="R69" s="358"/>
      <c r="S69" s="359" t="str">
        <f t="shared" si="70"/>
        <v/>
      </c>
      <c r="T69" s="359" t="str">
        <f t="shared" si="71"/>
        <v/>
      </c>
      <c r="U69" s="359" t="str">
        <f t="shared" si="72"/>
        <v/>
      </c>
      <c r="V69" s="360">
        <f t="shared" si="73"/>
        <v>0</v>
      </c>
      <c r="W69" s="361"/>
      <c r="X69" s="360">
        <f t="shared" si="74"/>
        <v>0</v>
      </c>
      <c r="Y69" s="362">
        <f ca="1">IF(N(C69)&gt;0,VLOOKUP(C69,' Pessoal'!$A$2:$M$34,10),"")</f>
        <v>6.41</v>
      </c>
      <c r="Z69" s="362">
        <f t="shared" si="75"/>
        <v>0</v>
      </c>
      <c r="AA69" s="362">
        <f t="shared" si="76"/>
        <v>0</v>
      </c>
      <c r="AB69" s="361"/>
      <c r="AC69" s="362">
        <f t="shared" si="77"/>
        <v>0</v>
      </c>
      <c r="AD69" s="362">
        <f t="shared" si="78"/>
        <v>485</v>
      </c>
      <c r="AE69" s="362">
        <f>IF(N(C69)&gt;0,(ROUND(IF((Y69)&gt;6.41,((Y69-6.41)*G70+F69+AA69+AB69+AC69-O69),F69+AA69+AB69+AC69-O69),2))," ")</f>
        <v>485</v>
      </c>
      <c r="AF69" s="362">
        <f ca="1">IF(N(C69)&gt;0,ROUND(AE69*VLOOKUP(C69,' Pessoal'!$A$2:$M$34,9),2),"")</f>
        <v>53.35</v>
      </c>
      <c r="AG69" s="363">
        <v>0</v>
      </c>
      <c r="AH69" s="362">
        <f t="shared" si="79"/>
        <v>0</v>
      </c>
      <c r="AI69" s="363">
        <v>0</v>
      </c>
      <c r="AJ69" s="362">
        <f t="shared" si="80"/>
        <v>53.35</v>
      </c>
      <c r="AK69" s="362">
        <f t="shared" si="81"/>
        <v>431.65</v>
      </c>
      <c r="AL69" s="362">
        <f>AE69+AL66</f>
        <v>3435</v>
      </c>
      <c r="AM69" s="364">
        <f>AH69+AM33</f>
        <v>0</v>
      </c>
      <c r="AN69" s="362">
        <f t="shared" si="82"/>
        <v>779.35</v>
      </c>
      <c r="AO69" s="7"/>
      <c r="AP69" s="7"/>
      <c r="AQ69" s="7"/>
      <c r="AR69" s="7"/>
      <c r="AS69" s="7"/>
      <c r="AT69" s="7"/>
      <c r="AU69" s="7"/>
      <c r="AV69" s="7"/>
      <c r="AW69" s="7"/>
      <c r="AX69" s="7"/>
    </row>
    <row r="70" spans="1:50" s="193" customFormat="1" ht="12" thickBot="1">
      <c r="A70" s="71">
        <v>66</v>
      </c>
      <c r="B70" s="365">
        <v>40724</v>
      </c>
      <c r="C70" s="366">
        <v>5</v>
      </c>
      <c r="D70" s="367" t="str">
        <f ca="1">IF(N(C70)&gt;0,IF(N(C70)&lt;34,VLOOKUP('Tabela Final'!C70,' Pessoal'!$A$2:$B$34,2),""),"")</f>
        <v>André</v>
      </c>
      <c r="E70" s="367" t="str">
        <f ca="1">IF(N(C70)&gt;0,IF(N(C70)&lt;34,VLOOKUP(C70,' Pessoal'!$A$2:$C$34,3),""),"")</f>
        <v>Ajud. Electricista</v>
      </c>
      <c r="F70" s="368">
        <f ca="1">IF(N(C70)&gt;0,IF(N(C70)&lt;34,VLOOKUP(C70,' Pessoal'!$A$2:$M$34,4)),"")</f>
        <v>550</v>
      </c>
      <c r="G70" s="369"/>
      <c r="H70" s="366">
        <f t="shared" si="65"/>
        <v>40</v>
      </c>
      <c r="I70" s="370">
        <f>IF(N(H70)&gt;0,(H70*52)/12,"")</f>
        <v>173.33333333333334</v>
      </c>
      <c r="J70" s="368">
        <f t="shared" si="66"/>
        <v>3.17</v>
      </c>
      <c r="K70" s="371"/>
      <c r="L70" s="370">
        <f t="shared" si="67"/>
        <v>0</v>
      </c>
      <c r="M70" s="371"/>
      <c r="N70" s="370">
        <f t="shared" si="68"/>
        <v>0</v>
      </c>
      <c r="O70" s="368">
        <f t="shared" si="69"/>
        <v>0</v>
      </c>
      <c r="P70" s="372"/>
      <c r="Q70" s="372"/>
      <c r="R70" s="372"/>
      <c r="S70" s="373" t="str">
        <f t="shared" si="70"/>
        <v/>
      </c>
      <c r="T70" s="373" t="str">
        <f t="shared" si="71"/>
        <v/>
      </c>
      <c r="U70" s="373" t="str">
        <f t="shared" si="72"/>
        <v/>
      </c>
      <c r="V70" s="374">
        <f t="shared" si="73"/>
        <v>0</v>
      </c>
      <c r="W70" s="375"/>
      <c r="X70" s="374">
        <f t="shared" si="74"/>
        <v>0</v>
      </c>
      <c r="Y70" s="376">
        <f ca="1">IF(N(C70)&gt;0,VLOOKUP(C70,' Pessoal'!$A$2:$M$34,10),"")</f>
        <v>6.41</v>
      </c>
      <c r="Z70" s="376">
        <f t="shared" si="75"/>
        <v>0</v>
      </c>
      <c r="AA70" s="376">
        <f t="shared" si="76"/>
        <v>0</v>
      </c>
      <c r="AB70" s="375"/>
      <c r="AC70" s="376">
        <f t="shared" si="77"/>
        <v>0</v>
      </c>
      <c r="AD70" s="376">
        <f t="shared" si="78"/>
        <v>550</v>
      </c>
      <c r="AE70" s="376">
        <f>IF(N(C70)&gt;0,(ROUND(IF((Y70)&gt;6.41,((Y70-6.41)*G70+F70+AA70+AB70+AC70-O70),F70+AA70+AB70+AC70-O70),2))," ")</f>
        <v>550</v>
      </c>
      <c r="AF70" s="376">
        <f ca="1">IF(N(C70)&gt;0,ROUND(AE70*VLOOKUP(C70,' Pessoal'!$A$2:$M$34,9),2),"")</f>
        <v>60.5</v>
      </c>
      <c r="AG70" s="377">
        <v>0</v>
      </c>
      <c r="AH70" s="376">
        <f t="shared" si="79"/>
        <v>0</v>
      </c>
      <c r="AI70" s="377">
        <v>0</v>
      </c>
      <c r="AJ70" s="376">
        <f t="shared" si="80"/>
        <v>60.5</v>
      </c>
      <c r="AK70" s="376">
        <f t="shared" si="81"/>
        <v>489.5</v>
      </c>
      <c r="AL70" s="376">
        <f>AE70+AL67</f>
        <v>3850</v>
      </c>
      <c r="AM70" s="378">
        <f>AH70+AM34</f>
        <v>0</v>
      </c>
      <c r="AN70" s="376">
        <f t="shared" si="82"/>
        <v>1181.2300000000002</v>
      </c>
      <c r="AO70" s="192"/>
      <c r="AP70" s="192"/>
      <c r="AQ70" s="192"/>
      <c r="AR70" s="192"/>
      <c r="AS70" s="192"/>
      <c r="AT70" s="192"/>
      <c r="AU70" s="192"/>
      <c r="AV70" s="192"/>
      <c r="AW70" s="192"/>
      <c r="AX70" s="192"/>
    </row>
    <row r="71" spans="1:50">
      <c r="A71" s="70">
        <v>67</v>
      </c>
      <c r="B71" s="336">
        <v>40877</v>
      </c>
      <c r="C71" s="337">
        <v>1</v>
      </c>
      <c r="D71" s="338" t="str">
        <f ca="1">IF(N(C71)&gt;0,IF(N(C71)&lt;34,VLOOKUP('Tabela Final'!C71,' Pessoal'!$A$2:$B$34,2),""),"")</f>
        <v>Susana</v>
      </c>
      <c r="E71" s="338" t="str">
        <f ca="1">IF(N(C71)&gt;0,IF(N(C71)&lt;34,VLOOKUP(C71,' Pessoal'!$A$2:$C$34,3),""),"")</f>
        <v>Gerente</v>
      </c>
      <c r="F71" s="339">
        <f ca="1">IF(N(C71)&gt;0,IF(N(C71)&lt;34,VLOOKUP(C71,' Pessoal'!$A$2:$M$34,4)),"")</f>
        <v>927</v>
      </c>
      <c r="G71" s="340"/>
      <c r="H71" s="337">
        <f t="shared" si="65"/>
        <v>40</v>
      </c>
      <c r="I71" s="341">
        <f>IF(N(H71)&gt;0,(H71*52)/12,"")</f>
        <v>173.33333333333334</v>
      </c>
      <c r="J71" s="339">
        <f t="shared" si="66"/>
        <v>5.35</v>
      </c>
      <c r="K71" s="342"/>
      <c r="L71" s="341">
        <f t="shared" si="67"/>
        <v>0</v>
      </c>
      <c r="M71" s="342"/>
      <c r="N71" s="341">
        <f t="shared" si="68"/>
        <v>0</v>
      </c>
      <c r="O71" s="339">
        <f t="shared" si="69"/>
        <v>0</v>
      </c>
      <c r="P71" s="343"/>
      <c r="Q71" s="343"/>
      <c r="R71" s="343"/>
      <c r="S71" s="344" t="str">
        <f t="shared" si="70"/>
        <v/>
      </c>
      <c r="T71" s="344" t="str">
        <f t="shared" si="71"/>
        <v/>
      </c>
      <c r="U71" s="344" t="str">
        <f t="shared" si="72"/>
        <v/>
      </c>
      <c r="V71" s="345">
        <f t="shared" si="73"/>
        <v>0</v>
      </c>
      <c r="W71" s="346"/>
      <c r="X71" s="345">
        <f t="shared" si="74"/>
        <v>0</v>
      </c>
      <c r="Y71" s="347">
        <f ca="1">IF(N(C71)&gt;0,VLOOKUP(C71,' Pessoal'!$A$2:$M$34,10),"")</f>
        <v>6.41</v>
      </c>
      <c r="Z71" s="347">
        <f t="shared" si="75"/>
        <v>0</v>
      </c>
      <c r="AA71" s="347">
        <f t="shared" si="76"/>
        <v>0</v>
      </c>
      <c r="AB71" s="346"/>
      <c r="AC71" s="347">
        <f t="shared" si="77"/>
        <v>0</v>
      </c>
      <c r="AD71" s="347">
        <f t="shared" si="78"/>
        <v>927</v>
      </c>
      <c r="AE71" s="347">
        <f>IF(N(C71)&gt;0,(ROUND(IF((Y71)&gt;5.37,((Y71-5.37)*G71+F71+AA71+AB71+AC71-O71),F71+AA71+AB71+AC71-O71),2))," ")</f>
        <v>927</v>
      </c>
      <c r="AF71" s="347">
        <f ca="1">IF(N(C71)&gt;0,ROUND(AE71*VLOOKUP(C71,' Pessoal'!$A$2:$M$34,9),2),"")</f>
        <v>86.21</v>
      </c>
      <c r="AG71" s="349">
        <v>0.08</v>
      </c>
      <c r="AH71" s="347">
        <f t="shared" si="79"/>
        <v>74.16</v>
      </c>
      <c r="AI71" s="349">
        <v>0</v>
      </c>
      <c r="AJ71" s="347">
        <f t="shared" si="80"/>
        <v>160.37</v>
      </c>
      <c r="AK71" s="347">
        <f t="shared" si="81"/>
        <v>766.63</v>
      </c>
      <c r="AL71" s="347">
        <f>AE71+AL55</f>
        <v>11124</v>
      </c>
      <c r="AM71" s="350">
        <f>AH71+AM55</f>
        <v>1112.3999999999999</v>
      </c>
      <c r="AN71" s="347">
        <f t="shared" si="82"/>
        <v>788.56000000000017</v>
      </c>
      <c r="AO71" s="7"/>
      <c r="AP71" s="7"/>
      <c r="AQ71" s="7"/>
      <c r="AR71" s="7"/>
      <c r="AS71" s="7"/>
      <c r="AT71" s="7"/>
      <c r="AU71" s="7"/>
      <c r="AV71" s="7"/>
      <c r="AW71" s="7"/>
      <c r="AX71" s="7"/>
    </row>
    <row r="72" spans="1:50">
      <c r="A72" s="200">
        <v>68</v>
      </c>
      <c r="B72" s="379">
        <v>40877</v>
      </c>
      <c r="C72" s="380">
        <v>4</v>
      </c>
      <c r="D72" s="381" t="str">
        <f ca="1">IF(N(C72)&gt;0,IF(N(C72)&lt;34,VLOOKUP('Tabela Final'!C72,' Pessoal'!$A$2:$B$34,2),""),"")</f>
        <v>Carlos</v>
      </c>
      <c r="E72" s="381" t="str">
        <f ca="1">IF(N(C72)&gt;0,IF(N(C72)&lt;34,VLOOKUP(C72,' Pessoal'!$A$2:$C$34,3),""),"")</f>
        <v>Ajud. Electricista</v>
      </c>
      <c r="F72" s="382">
        <f ca="1">IF(N(C72)&gt;0,IF(N(C72)&lt;34,VLOOKUP(C72,' Pessoal'!$A$2:$M$34,4)),"")</f>
        <v>485</v>
      </c>
      <c r="G72" s="383"/>
      <c r="H72" s="380">
        <f t="shared" si="65"/>
        <v>40</v>
      </c>
      <c r="I72" s="384">
        <f>IF(N(H72)&gt;0,(H72*52)/12,"")</f>
        <v>173.33333333333334</v>
      </c>
      <c r="J72" s="382">
        <f t="shared" si="66"/>
        <v>2.8</v>
      </c>
      <c r="K72" s="385"/>
      <c r="L72" s="384">
        <f t="shared" si="67"/>
        <v>0</v>
      </c>
      <c r="M72" s="385"/>
      <c r="N72" s="384">
        <f t="shared" si="68"/>
        <v>0</v>
      </c>
      <c r="O72" s="382">
        <f t="shared" si="69"/>
        <v>0</v>
      </c>
      <c r="P72" s="386"/>
      <c r="Q72" s="386"/>
      <c r="R72" s="386"/>
      <c r="S72" s="387" t="str">
        <f t="shared" si="70"/>
        <v/>
      </c>
      <c r="T72" s="387" t="str">
        <f t="shared" si="71"/>
        <v/>
      </c>
      <c r="U72" s="387" t="str">
        <f t="shared" si="72"/>
        <v/>
      </c>
      <c r="V72" s="388">
        <f t="shared" si="73"/>
        <v>0</v>
      </c>
      <c r="W72" s="389"/>
      <c r="X72" s="388">
        <f t="shared" si="74"/>
        <v>0</v>
      </c>
      <c r="Y72" s="390">
        <f ca="1">IF(N(C72)&gt;0,VLOOKUP(C72,' Pessoal'!$A$2:$M$34,10),"")</f>
        <v>6.41</v>
      </c>
      <c r="Z72" s="390">
        <f t="shared" si="75"/>
        <v>0</v>
      </c>
      <c r="AA72" s="390">
        <f t="shared" si="76"/>
        <v>0</v>
      </c>
      <c r="AB72" s="389"/>
      <c r="AC72" s="390">
        <f t="shared" si="77"/>
        <v>0</v>
      </c>
      <c r="AD72" s="390">
        <f t="shared" si="78"/>
        <v>485</v>
      </c>
      <c r="AE72" s="390">
        <f>IF(N(C72)&gt;0,(ROUND(IF((Y72)&gt;5.37,((Y72-5.37)*G72+F72+AA72+AB72+AC72-O72),F72+AA72+AB72+AC72-O72),2))," ")</f>
        <v>485</v>
      </c>
      <c r="AF72" s="390">
        <f ca="1">IF(N(C72)&gt;0,ROUND(AE72*VLOOKUP(C72,' Pessoal'!$A$2:$M$34,9),2),"")</f>
        <v>53.35</v>
      </c>
      <c r="AG72" s="391">
        <v>0</v>
      </c>
      <c r="AH72" s="390">
        <f t="shared" si="79"/>
        <v>0</v>
      </c>
      <c r="AI72" s="391">
        <v>0</v>
      </c>
      <c r="AJ72" s="390">
        <f t="shared" si="80"/>
        <v>53.35</v>
      </c>
      <c r="AK72" s="390">
        <f t="shared" si="81"/>
        <v>431.65</v>
      </c>
      <c r="AL72" s="390">
        <f>AE72+AL58</f>
        <v>5900</v>
      </c>
      <c r="AM72" s="392">
        <f>AH72+AM58</f>
        <v>0</v>
      </c>
      <c r="AN72" s="390">
        <f t="shared" si="82"/>
        <v>839.85</v>
      </c>
      <c r="AO72" s="7"/>
      <c r="AP72" s="7"/>
      <c r="AQ72" s="7"/>
      <c r="AR72" s="7"/>
      <c r="AS72" s="7"/>
      <c r="AT72" s="7"/>
      <c r="AU72" s="7"/>
      <c r="AV72" s="7"/>
      <c r="AW72" s="7"/>
      <c r="AX72" s="7"/>
    </row>
    <row r="73" spans="1:50" s="212" customFormat="1" ht="12" thickBot="1">
      <c r="A73" s="71">
        <v>69</v>
      </c>
      <c r="B73" s="365">
        <v>40877</v>
      </c>
      <c r="C73" s="366">
        <v>5</v>
      </c>
      <c r="D73" s="367" t="str">
        <f ca="1">IF(N(C73)&gt;0,IF(N(C73)&lt;34,VLOOKUP('Tabela Final'!C73,' Pessoal'!$A$2:$B$34,2),""),"")</f>
        <v>André</v>
      </c>
      <c r="E73" s="367" t="str">
        <f ca="1">IF(N(C73)&gt;0,IF(N(C73)&lt;34,VLOOKUP(C73,' Pessoal'!$A$2:$C$34,3),""),"")</f>
        <v>Ajud. Electricista</v>
      </c>
      <c r="F73" s="368">
        <f ca="1">IF(N(C73)&gt;0,IF(N(C73)&lt;34,VLOOKUP(C73,' Pessoal'!$A$2:$M$34,4)),"")</f>
        <v>550</v>
      </c>
      <c r="G73" s="369"/>
      <c r="H73" s="366">
        <f t="shared" si="65"/>
        <v>40</v>
      </c>
      <c r="I73" s="370">
        <f>IF(N(H73)&gt;0,(H73*52)/12,"")</f>
        <v>173.33333333333334</v>
      </c>
      <c r="J73" s="368">
        <f t="shared" si="66"/>
        <v>3.17</v>
      </c>
      <c r="K73" s="371"/>
      <c r="L73" s="370">
        <f t="shared" si="67"/>
        <v>0</v>
      </c>
      <c r="M73" s="371"/>
      <c r="N73" s="370">
        <f t="shared" si="68"/>
        <v>0</v>
      </c>
      <c r="O73" s="368">
        <f t="shared" si="69"/>
        <v>0</v>
      </c>
      <c r="P73" s="372"/>
      <c r="Q73" s="372"/>
      <c r="R73" s="372"/>
      <c r="S73" s="373" t="str">
        <f t="shared" si="70"/>
        <v/>
      </c>
      <c r="T73" s="373" t="str">
        <f t="shared" si="71"/>
        <v/>
      </c>
      <c r="U73" s="373" t="str">
        <f t="shared" si="72"/>
        <v/>
      </c>
      <c r="V73" s="374">
        <f t="shared" si="73"/>
        <v>0</v>
      </c>
      <c r="W73" s="375"/>
      <c r="X73" s="374">
        <f t="shared" si="74"/>
        <v>0</v>
      </c>
      <c r="Y73" s="376">
        <f ca="1">IF(N(C73)&gt;0,VLOOKUP(C73,' Pessoal'!$A$2:$M$34,10),"")</f>
        <v>6.41</v>
      </c>
      <c r="Z73" s="376">
        <f t="shared" si="75"/>
        <v>0</v>
      </c>
      <c r="AA73" s="376">
        <f t="shared" si="76"/>
        <v>0</v>
      </c>
      <c r="AB73" s="375"/>
      <c r="AC73" s="376">
        <f t="shared" si="77"/>
        <v>0</v>
      </c>
      <c r="AD73" s="376">
        <f t="shared" si="78"/>
        <v>550</v>
      </c>
      <c r="AE73" s="376">
        <f>IF(N(C73)&gt;0,(ROUND(IF((Y73)&gt;5.37,((Y73-5.37)*G73+F73+AA73+AB73+AC73-O73),F73+AA73+AB73+AC73-O73),2))," ")</f>
        <v>550</v>
      </c>
      <c r="AF73" s="376">
        <f ca="1">IF(N(C73)&gt;0,ROUND(AE73*VLOOKUP(C73,' Pessoal'!$A$2:$M$34,9),2),"")</f>
        <v>60.5</v>
      </c>
      <c r="AG73" s="377">
        <v>0</v>
      </c>
      <c r="AH73" s="376">
        <f t="shared" si="79"/>
        <v>0</v>
      </c>
      <c r="AI73" s="377">
        <v>0</v>
      </c>
      <c r="AJ73" s="376">
        <f t="shared" si="80"/>
        <v>60.5</v>
      </c>
      <c r="AK73" s="376">
        <f t="shared" si="81"/>
        <v>489.5</v>
      </c>
      <c r="AL73" s="376">
        <f>AE73+AL59</f>
        <v>6600</v>
      </c>
      <c r="AM73" s="378">
        <f>AH73+AM59</f>
        <v>0</v>
      </c>
      <c r="AN73" s="376">
        <f t="shared" si="82"/>
        <v>795.71000000000015</v>
      </c>
      <c r="AO73" s="211"/>
      <c r="AP73" s="211"/>
      <c r="AQ73" s="211"/>
      <c r="AR73" s="211"/>
      <c r="AS73" s="211"/>
      <c r="AT73" s="211"/>
      <c r="AU73" s="211"/>
      <c r="AV73" s="211"/>
      <c r="AW73" s="211"/>
      <c r="AX73" s="211"/>
    </row>
    <row r="74" spans="1:50">
      <c r="A74" s="49"/>
      <c r="B74" s="49"/>
      <c r="C74" s="49"/>
      <c r="D74" s="50" t="s">
        <v>20</v>
      </c>
      <c r="E74" s="44"/>
      <c r="F74" s="43">
        <f t="shared" ref="F74:AM74" si="83">SUM(F5:F73)</f>
        <v>29430</v>
      </c>
      <c r="G74" s="43">
        <f t="shared" si="83"/>
        <v>1300</v>
      </c>
      <c r="H74" s="43">
        <f t="shared" si="83"/>
        <v>2760</v>
      </c>
      <c r="I74" s="43">
        <f t="shared" si="83"/>
        <v>11440.000000000005</v>
      </c>
      <c r="J74" s="43">
        <f t="shared" si="83"/>
        <v>169.79999999999995</v>
      </c>
      <c r="K74" s="43">
        <f t="shared" si="83"/>
        <v>0</v>
      </c>
      <c r="L74" s="43">
        <f t="shared" si="83"/>
        <v>0</v>
      </c>
      <c r="M74" s="43">
        <f t="shared" si="83"/>
        <v>0</v>
      </c>
      <c r="N74" s="43">
        <f t="shared" si="83"/>
        <v>0</v>
      </c>
      <c r="O74" s="43">
        <f t="shared" si="83"/>
        <v>0</v>
      </c>
      <c r="P74" s="43">
        <f t="shared" si="83"/>
        <v>0</v>
      </c>
      <c r="Q74" s="43">
        <f t="shared" si="83"/>
        <v>0</v>
      </c>
      <c r="R74" s="43">
        <f t="shared" si="83"/>
        <v>0</v>
      </c>
      <c r="S74" s="43">
        <f t="shared" si="83"/>
        <v>0</v>
      </c>
      <c r="T74" s="43">
        <f t="shared" si="83"/>
        <v>0</v>
      </c>
      <c r="U74" s="43">
        <f t="shared" si="83"/>
        <v>0</v>
      </c>
      <c r="V74" s="43">
        <f t="shared" si="83"/>
        <v>0</v>
      </c>
      <c r="W74" s="43">
        <f t="shared" si="83"/>
        <v>0</v>
      </c>
      <c r="X74" s="43">
        <f t="shared" si="83"/>
        <v>0</v>
      </c>
      <c r="Y74" s="43">
        <f t="shared" si="83"/>
        <v>288.45000000000005</v>
      </c>
      <c r="Z74" s="43">
        <f t="shared" si="83"/>
        <v>4948.5200000000023</v>
      </c>
      <c r="AA74" s="43">
        <f t="shared" si="83"/>
        <v>0</v>
      </c>
      <c r="AB74" s="43">
        <f t="shared" si="83"/>
        <v>0</v>
      </c>
      <c r="AC74" s="43">
        <f t="shared" si="83"/>
        <v>80</v>
      </c>
      <c r="AD74" s="43">
        <f t="shared" si="83"/>
        <v>34458.520000000011</v>
      </c>
      <c r="AE74" s="43">
        <f t="shared" si="83"/>
        <v>29510</v>
      </c>
      <c r="AF74" s="43">
        <f t="shared" si="83"/>
        <v>3009.6999999999994</v>
      </c>
      <c r="AG74" s="43">
        <f t="shared" si="83"/>
        <v>1.27</v>
      </c>
      <c r="AH74" s="43">
        <f t="shared" si="83"/>
        <v>1112.3999999999999</v>
      </c>
      <c r="AI74" s="43">
        <f t="shared" si="83"/>
        <v>0</v>
      </c>
      <c r="AJ74" s="43">
        <f t="shared" si="83"/>
        <v>4122.0999999999985</v>
      </c>
      <c r="AK74" s="43">
        <f t="shared" si="83"/>
        <v>30336.420000000009</v>
      </c>
      <c r="AL74" s="43">
        <f t="shared" si="83"/>
        <v>204848</v>
      </c>
      <c r="AM74" s="43">
        <f t="shared" si="83"/>
        <v>14312.879999999997</v>
      </c>
      <c r="AN74" s="49"/>
      <c r="AO74" s="7"/>
      <c r="AP74" s="7"/>
      <c r="AQ74" s="7"/>
      <c r="AR74" s="7"/>
      <c r="AS74" s="7"/>
      <c r="AT74" s="7"/>
      <c r="AU74" s="7"/>
      <c r="AV74" s="7"/>
      <c r="AW74" s="7"/>
      <c r="AX74" s="7"/>
    </row>
    <row r="75" spans="1:50">
      <c r="AO75" s="7"/>
      <c r="AP75" s="7"/>
      <c r="AQ75" s="7"/>
      <c r="AR75" s="7"/>
      <c r="AS75" s="7"/>
      <c r="AT75" s="7"/>
      <c r="AU75" s="7"/>
      <c r="AV75" s="7"/>
      <c r="AW75" s="7"/>
      <c r="AX75" s="7"/>
    </row>
    <row r="76" spans="1:50">
      <c r="AO76" s="7"/>
      <c r="AP76" s="7"/>
      <c r="AQ76" s="7"/>
      <c r="AR76" s="7"/>
      <c r="AS76" s="7"/>
      <c r="AT76" s="7"/>
      <c r="AU76" s="7"/>
      <c r="AV76" s="7"/>
      <c r="AW76" s="7"/>
      <c r="AX76" s="7"/>
    </row>
    <row r="77" spans="1:50">
      <c r="AI77" s="406" t="s">
        <v>74</v>
      </c>
      <c r="AJ77" s="406"/>
      <c r="AK77" s="406"/>
      <c r="AO77" s="7"/>
      <c r="AP77" s="7"/>
      <c r="AQ77" s="7"/>
      <c r="AR77" s="7"/>
      <c r="AS77" s="7"/>
      <c r="AT77" s="7"/>
      <c r="AU77" s="7"/>
      <c r="AV77" s="7"/>
      <c r="AW77" s="7"/>
      <c r="AX77" s="7"/>
    </row>
    <row r="78" spans="1:50">
      <c r="AO78" s="7"/>
      <c r="AP78" s="7"/>
      <c r="AQ78" s="7"/>
      <c r="AR78" s="7"/>
      <c r="AS78" s="7"/>
      <c r="AT78" s="7"/>
      <c r="AU78" s="7"/>
      <c r="AV78" s="7"/>
      <c r="AW78" s="7"/>
      <c r="AX78" s="7"/>
    </row>
    <row r="79" spans="1:50">
      <c r="AO79" s="7"/>
      <c r="AP79" s="7"/>
      <c r="AQ79" s="7"/>
      <c r="AR79" s="7"/>
      <c r="AS79" s="7"/>
      <c r="AT79" s="7"/>
      <c r="AU79" s="7"/>
      <c r="AV79" s="7"/>
      <c r="AW79" s="7"/>
      <c r="AX79" s="7"/>
    </row>
    <row r="80" spans="1:50">
      <c r="AO80" s="7"/>
      <c r="AP80" s="7"/>
      <c r="AQ80" s="7"/>
      <c r="AR80" s="7"/>
      <c r="AS80" s="7"/>
      <c r="AT80" s="7"/>
      <c r="AU80" s="7"/>
      <c r="AV80" s="7"/>
      <c r="AW80" s="7"/>
      <c r="AX80" s="7"/>
    </row>
    <row r="81" spans="41:50">
      <c r="AO81" s="7"/>
      <c r="AP81" s="7"/>
      <c r="AQ81" s="7"/>
      <c r="AR81" s="7"/>
      <c r="AS81" s="7"/>
      <c r="AT81" s="7"/>
      <c r="AU81" s="7"/>
      <c r="AV81" s="7"/>
      <c r="AW81" s="7"/>
      <c r="AX81" s="7"/>
    </row>
    <row r="82" spans="41:50">
      <c r="AO82" s="7"/>
      <c r="AP82" s="7"/>
      <c r="AQ82" s="7"/>
      <c r="AR82" s="7"/>
      <c r="AS82" s="7"/>
      <c r="AT82" s="7"/>
      <c r="AU82" s="7"/>
      <c r="AV82" s="7"/>
      <c r="AW82" s="7"/>
      <c r="AX82" s="7"/>
    </row>
    <row r="83" spans="41:50">
      <c r="AO83" s="7"/>
      <c r="AP83" s="7"/>
      <c r="AQ83" s="7"/>
      <c r="AR83" s="7"/>
      <c r="AS83" s="7"/>
      <c r="AT83" s="7"/>
      <c r="AU83" s="7"/>
      <c r="AV83" s="7"/>
      <c r="AW83" s="7"/>
      <c r="AX83" s="7"/>
    </row>
    <row r="84" spans="41:50">
      <c r="AO84" s="7"/>
      <c r="AP84" s="7"/>
      <c r="AQ84" s="7"/>
      <c r="AR84" s="7"/>
      <c r="AS84" s="7"/>
      <c r="AT84" s="7"/>
      <c r="AU84" s="7"/>
      <c r="AV84" s="7"/>
      <c r="AW84" s="7"/>
      <c r="AX84" s="7"/>
    </row>
    <row r="85" spans="41:50">
      <c r="AO85" s="7"/>
      <c r="AP85" s="7"/>
      <c r="AQ85" s="7"/>
      <c r="AR85" s="7"/>
      <c r="AS85" s="7"/>
      <c r="AT85" s="7"/>
      <c r="AU85" s="7"/>
      <c r="AV85" s="7"/>
      <c r="AW85" s="7"/>
      <c r="AX85" s="7"/>
    </row>
    <row r="86" spans="41:50">
      <c r="AO86" s="7"/>
      <c r="AP86" s="7"/>
      <c r="AQ86" s="7"/>
      <c r="AR86" s="7"/>
      <c r="AS86" s="7"/>
      <c r="AT86" s="7"/>
      <c r="AU86" s="7"/>
      <c r="AV86" s="7"/>
      <c r="AW86" s="7"/>
      <c r="AX86" s="7"/>
    </row>
    <row r="87" spans="41:50">
      <c r="AO87" s="7"/>
      <c r="AP87" s="7"/>
      <c r="AQ87" s="7"/>
      <c r="AR87" s="7"/>
      <c r="AS87" s="7"/>
      <c r="AT87" s="7"/>
      <c r="AU87" s="7"/>
      <c r="AV87" s="7"/>
      <c r="AW87" s="7"/>
      <c r="AX87" s="7"/>
    </row>
    <row r="88" spans="41:50">
      <c r="AO88" s="7"/>
      <c r="AP88" s="7"/>
      <c r="AQ88" s="7"/>
      <c r="AR88" s="7"/>
      <c r="AS88" s="7"/>
      <c r="AT88" s="7"/>
      <c r="AU88" s="7"/>
      <c r="AV88" s="7"/>
      <c r="AW88" s="7"/>
      <c r="AX88" s="7"/>
    </row>
    <row r="89" spans="41:50">
      <c r="AO89" s="7"/>
      <c r="AP89" s="7"/>
      <c r="AQ89" s="7"/>
      <c r="AR89" s="7"/>
      <c r="AS89" s="7"/>
      <c r="AT89" s="7"/>
      <c r="AU89" s="7"/>
      <c r="AV89" s="7"/>
      <c r="AW89" s="7"/>
      <c r="AX89" s="7"/>
    </row>
    <row r="90" spans="41:50">
      <c r="AO90" s="7"/>
      <c r="AP90" s="7"/>
      <c r="AQ90" s="7"/>
      <c r="AR90" s="7"/>
      <c r="AS90" s="7"/>
      <c r="AT90" s="7"/>
      <c r="AU90" s="7"/>
      <c r="AV90" s="7"/>
      <c r="AW90" s="7"/>
      <c r="AX90" s="7"/>
    </row>
    <row r="91" spans="41:50">
      <c r="AO91" s="7"/>
      <c r="AP91" s="7"/>
      <c r="AQ91" s="7"/>
      <c r="AR91" s="7"/>
      <c r="AS91" s="7"/>
      <c r="AT91" s="7"/>
      <c r="AU91" s="7"/>
      <c r="AV91" s="7"/>
      <c r="AW91" s="7"/>
      <c r="AX91" s="7"/>
    </row>
    <row r="92" spans="41:50">
      <c r="AO92" s="7"/>
      <c r="AP92" s="7"/>
      <c r="AQ92" s="7"/>
      <c r="AR92" s="7"/>
      <c r="AS92" s="7"/>
      <c r="AT92" s="7"/>
      <c r="AU92" s="7"/>
      <c r="AV92" s="7"/>
      <c r="AW92" s="7"/>
      <c r="AX92" s="7"/>
    </row>
    <row r="93" spans="41:50">
      <c r="AO93" s="7"/>
      <c r="AP93" s="7"/>
      <c r="AQ93" s="7"/>
      <c r="AR93" s="7"/>
      <c r="AS93" s="7"/>
      <c r="AT93" s="7"/>
      <c r="AU93" s="7"/>
      <c r="AV93" s="7"/>
      <c r="AW93" s="7"/>
      <c r="AX93" s="7"/>
    </row>
    <row r="94" spans="41:50">
      <c r="AO94" s="7"/>
      <c r="AP94" s="7"/>
      <c r="AQ94" s="7"/>
      <c r="AR94" s="7"/>
      <c r="AS94" s="7"/>
      <c r="AT94" s="7"/>
      <c r="AU94" s="7"/>
      <c r="AV94" s="7"/>
      <c r="AW94" s="7"/>
      <c r="AX94" s="7"/>
    </row>
    <row r="95" spans="41:50">
      <c r="AO95" s="7"/>
      <c r="AP95" s="7"/>
      <c r="AQ95" s="7"/>
      <c r="AR95" s="7"/>
      <c r="AS95" s="7"/>
      <c r="AT95" s="7"/>
      <c r="AU95" s="7"/>
      <c r="AV95" s="7"/>
      <c r="AW95" s="7"/>
      <c r="AX95" s="7"/>
    </row>
    <row r="96" spans="41:50">
      <c r="AO96" s="7"/>
      <c r="AP96" s="7"/>
      <c r="AQ96" s="7"/>
      <c r="AR96" s="7"/>
      <c r="AS96" s="7"/>
      <c r="AT96" s="7"/>
      <c r="AU96" s="7"/>
      <c r="AV96" s="7"/>
      <c r="AW96" s="7"/>
      <c r="AX96" s="7"/>
    </row>
    <row r="97" spans="41:50">
      <c r="AO97" s="7"/>
      <c r="AP97" s="7"/>
      <c r="AQ97" s="7"/>
      <c r="AR97" s="7"/>
      <c r="AS97" s="7"/>
      <c r="AT97" s="7"/>
      <c r="AU97" s="7"/>
      <c r="AV97" s="7"/>
      <c r="AW97" s="7"/>
      <c r="AX97" s="7"/>
    </row>
    <row r="98" spans="41:50">
      <c r="AO98" s="7"/>
      <c r="AP98" s="7"/>
      <c r="AQ98" s="7"/>
      <c r="AR98" s="7"/>
      <c r="AS98" s="7"/>
      <c r="AT98" s="7"/>
      <c r="AU98" s="7"/>
      <c r="AV98" s="7"/>
      <c r="AW98" s="7"/>
      <c r="AX98" s="7"/>
    </row>
    <row r="99" spans="41:50">
      <c r="AO99" s="7"/>
      <c r="AP99" s="7"/>
      <c r="AQ99" s="7"/>
      <c r="AR99" s="7"/>
      <c r="AS99" s="7"/>
      <c r="AT99" s="7"/>
      <c r="AU99" s="7"/>
      <c r="AV99" s="7"/>
      <c r="AW99" s="7"/>
      <c r="AX99" s="7"/>
    </row>
    <row r="100" spans="41:50">
      <c r="AO100" s="7"/>
      <c r="AP100" s="7"/>
      <c r="AQ100" s="7"/>
      <c r="AR100" s="7"/>
      <c r="AS100" s="7"/>
      <c r="AT100" s="7"/>
      <c r="AU100" s="7"/>
      <c r="AV100" s="7"/>
      <c r="AW100" s="7"/>
      <c r="AX100" s="7"/>
    </row>
    <row r="101" spans="41:50">
      <c r="AO101" s="7"/>
      <c r="AP101" s="7"/>
      <c r="AQ101" s="7"/>
      <c r="AR101" s="7"/>
      <c r="AS101" s="7"/>
      <c r="AT101" s="7"/>
      <c r="AU101" s="7"/>
      <c r="AV101" s="7"/>
      <c r="AW101" s="7"/>
      <c r="AX101" s="7"/>
    </row>
    <row r="102" spans="41:50">
      <c r="AO102" s="7"/>
      <c r="AP102" s="7"/>
      <c r="AQ102" s="7"/>
      <c r="AR102" s="7"/>
      <c r="AS102" s="7"/>
      <c r="AT102" s="7"/>
      <c r="AU102" s="7"/>
      <c r="AV102" s="7"/>
      <c r="AW102" s="7"/>
      <c r="AX102" s="7"/>
    </row>
    <row r="103" spans="41:50">
      <c r="AO103" s="7"/>
      <c r="AP103" s="7"/>
      <c r="AQ103" s="7"/>
      <c r="AR103" s="7"/>
      <c r="AS103" s="7"/>
      <c r="AT103" s="7"/>
      <c r="AU103" s="7"/>
      <c r="AV103" s="7"/>
      <c r="AW103" s="7"/>
      <c r="AX103" s="7"/>
    </row>
    <row r="104" spans="41:50">
      <c r="AO104" s="7"/>
      <c r="AP104" s="7"/>
      <c r="AQ104" s="7"/>
      <c r="AR104" s="7"/>
      <c r="AS104" s="7"/>
      <c r="AT104" s="7"/>
      <c r="AU104" s="7"/>
      <c r="AV104" s="7"/>
      <c r="AW104" s="7"/>
      <c r="AX104" s="7"/>
    </row>
    <row r="105" spans="41:50">
      <c r="AO105" s="7"/>
      <c r="AP105" s="7"/>
      <c r="AQ105" s="7"/>
      <c r="AR105" s="7"/>
      <c r="AS105" s="7"/>
      <c r="AT105" s="7"/>
      <c r="AU105" s="7"/>
      <c r="AV105" s="7"/>
      <c r="AW105" s="7"/>
      <c r="AX105" s="7"/>
    </row>
    <row r="106" spans="41:50">
      <c r="AO106" s="7"/>
      <c r="AP106" s="7"/>
      <c r="AQ106" s="7"/>
      <c r="AR106" s="7"/>
      <c r="AS106" s="7"/>
      <c r="AT106" s="7"/>
      <c r="AU106" s="7"/>
      <c r="AV106" s="7"/>
      <c r="AW106" s="7"/>
      <c r="AX106" s="7"/>
    </row>
    <row r="107" spans="41:50">
      <c r="AO107" s="7"/>
      <c r="AP107" s="7"/>
      <c r="AQ107" s="7"/>
      <c r="AR107" s="7"/>
      <c r="AS107" s="7"/>
      <c r="AT107" s="7"/>
      <c r="AU107" s="7"/>
      <c r="AV107" s="7"/>
      <c r="AW107" s="7"/>
      <c r="AX107" s="7"/>
    </row>
    <row r="108" spans="41:50">
      <c r="AO108" s="7"/>
      <c r="AP108" s="7"/>
      <c r="AQ108" s="7"/>
      <c r="AR108" s="7"/>
      <c r="AS108" s="7"/>
      <c r="AT108" s="7"/>
      <c r="AU108" s="7"/>
      <c r="AV108" s="7"/>
      <c r="AW108" s="7"/>
      <c r="AX108" s="7"/>
    </row>
  </sheetData>
  <mergeCells count="40">
    <mergeCell ref="F3:F4"/>
    <mergeCell ref="AN3:AN4"/>
    <mergeCell ref="AD3:AD4"/>
    <mergeCell ref="P3:R3"/>
    <mergeCell ref="S3:U3"/>
    <mergeCell ref="V3:V4"/>
    <mergeCell ref="AL3:AL4"/>
    <mergeCell ref="AM3:AM4"/>
    <mergeCell ref="B3:B4"/>
    <mergeCell ref="AI77:AK77"/>
    <mergeCell ref="C3:C4"/>
    <mergeCell ref="D3:D4"/>
    <mergeCell ref="E3:E4"/>
    <mergeCell ref="AK3:AK4"/>
    <mergeCell ref="Z3:AC3"/>
    <mergeCell ref="AF3:AJ3"/>
    <mergeCell ref="J3:J4"/>
    <mergeCell ref="AE3:AE4"/>
    <mergeCell ref="O3:O4"/>
    <mergeCell ref="W3:W4"/>
    <mergeCell ref="X3:X4"/>
    <mergeCell ref="G3:G4"/>
    <mergeCell ref="H3:H4"/>
    <mergeCell ref="I3:I4"/>
    <mergeCell ref="AU3:AU4"/>
    <mergeCell ref="AV3:AV4"/>
    <mergeCell ref="AW3:AW4"/>
    <mergeCell ref="AX3:AX4"/>
    <mergeCell ref="A3:A4"/>
    <mergeCell ref="Y3:Y4"/>
    <mergeCell ref="K3:K4"/>
    <mergeCell ref="L3:L4"/>
    <mergeCell ref="M3:M4"/>
    <mergeCell ref="N3:N4"/>
    <mergeCell ref="AS3:AS4"/>
    <mergeCell ref="AT3:AT4"/>
    <mergeCell ref="AO3:AO4"/>
    <mergeCell ref="AP3:AP4"/>
    <mergeCell ref="AQ3:AQ4"/>
    <mergeCell ref="AR3:AR4"/>
  </mergeCells>
  <phoneticPr fontId="0" type="noConversion"/>
  <pageMargins left="1.03" right="0.75" top="1.75" bottom="0.98425196850393704" header="0" footer="0"/>
  <pageSetup paperSize="9" orientation="portrait" horizont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398"/>
  <sheetViews>
    <sheetView workbookViewId="0">
      <selection activeCell="M6" sqref="M6"/>
    </sheetView>
  </sheetViews>
  <sheetFormatPr defaultRowHeight="12.75"/>
  <cols>
    <col min="1" max="1" width="13.7109375" style="16" bestFit="1" customWidth="1"/>
    <col min="2" max="2" width="28.42578125" style="16" bestFit="1" customWidth="1"/>
    <col min="3" max="3" width="19.5703125" style="16" bestFit="1" customWidth="1"/>
    <col min="4" max="4" width="11.85546875" style="16" bestFit="1" customWidth="1"/>
    <col min="5" max="5" width="16.140625" style="16" bestFit="1" customWidth="1"/>
    <col min="6" max="6" width="17.7109375" style="16" bestFit="1" customWidth="1"/>
    <col min="7" max="7" width="22.42578125" style="16" customWidth="1"/>
    <col min="8" max="9" width="9.140625" style="16"/>
    <col min="10" max="10" width="12.140625" style="16" customWidth="1"/>
    <col min="11" max="11" width="11.85546875" style="16" customWidth="1"/>
    <col min="12" max="12" width="12.140625" style="16" customWidth="1"/>
    <col min="13" max="13" width="14.42578125" style="16" customWidth="1"/>
    <col min="14" max="14" width="10.140625" style="16" bestFit="1" customWidth="1"/>
    <col min="15" max="16384" width="9.140625" style="16"/>
  </cols>
  <sheetData>
    <row r="1" spans="1:15" s="5" customFormat="1" ht="38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32</v>
      </c>
      <c r="H1" s="18" t="s">
        <v>16</v>
      </c>
      <c r="I1" s="4" t="s">
        <v>37</v>
      </c>
      <c r="J1" s="4" t="s">
        <v>38</v>
      </c>
      <c r="K1" s="3" t="s">
        <v>39</v>
      </c>
      <c r="L1" s="4" t="s">
        <v>67</v>
      </c>
      <c r="M1" s="4" t="s">
        <v>68</v>
      </c>
      <c r="N1" s="4" t="s">
        <v>76</v>
      </c>
    </row>
    <row r="2" spans="1:15">
      <c r="A2" s="11">
        <v>1</v>
      </c>
      <c r="B2" s="393" t="s">
        <v>137</v>
      </c>
      <c r="C2" s="11" t="s">
        <v>6</v>
      </c>
      <c r="D2" s="12">
        <v>927</v>
      </c>
      <c r="E2" s="11">
        <v>0</v>
      </c>
      <c r="F2" s="11">
        <v>1</v>
      </c>
      <c r="G2" s="13" t="s">
        <v>94</v>
      </c>
      <c r="H2" s="14" t="s">
        <v>75</v>
      </c>
      <c r="I2" s="215">
        <v>9.2999999999999999E-2</v>
      </c>
      <c r="J2" s="15">
        <v>6.41</v>
      </c>
      <c r="K2" s="12" t="s">
        <v>106</v>
      </c>
      <c r="L2" s="74">
        <v>215600000</v>
      </c>
      <c r="M2" s="75">
        <v>11075114000</v>
      </c>
      <c r="N2" s="41">
        <v>39142</v>
      </c>
      <c r="O2" s="16">
        <v>0.02</v>
      </c>
    </row>
    <row r="3" spans="1:15">
      <c r="A3" s="11">
        <v>2</v>
      </c>
      <c r="B3" s="393" t="s">
        <v>138</v>
      </c>
      <c r="C3" s="11" t="s">
        <v>120</v>
      </c>
      <c r="D3" s="12">
        <v>0</v>
      </c>
      <c r="E3" s="11">
        <v>0</v>
      </c>
      <c r="F3" s="11">
        <v>1</v>
      </c>
      <c r="G3" s="19"/>
      <c r="H3" s="14" t="s">
        <v>75</v>
      </c>
      <c r="I3" s="215">
        <v>0.11</v>
      </c>
      <c r="J3" s="15">
        <v>0</v>
      </c>
      <c r="K3" s="12" t="s">
        <v>121</v>
      </c>
      <c r="L3" s="395" t="s">
        <v>142</v>
      </c>
      <c r="M3" s="75">
        <v>12035110000</v>
      </c>
      <c r="N3" s="41">
        <v>39937</v>
      </c>
      <c r="O3" s="16">
        <v>0.02</v>
      </c>
    </row>
    <row r="4" spans="1:15">
      <c r="A4" s="11">
        <v>3</v>
      </c>
      <c r="B4" s="393" t="s">
        <v>139</v>
      </c>
      <c r="C4" s="11" t="s">
        <v>120</v>
      </c>
      <c r="D4" s="12">
        <v>0</v>
      </c>
      <c r="E4" s="11">
        <v>0</v>
      </c>
      <c r="F4" s="11">
        <v>1</v>
      </c>
      <c r="G4" s="13"/>
      <c r="H4" s="14" t="s">
        <v>75</v>
      </c>
      <c r="I4" s="215">
        <v>0.11</v>
      </c>
      <c r="J4" s="15">
        <v>0</v>
      </c>
      <c r="K4" s="12" t="s">
        <v>121</v>
      </c>
      <c r="L4" s="395" t="s">
        <v>143</v>
      </c>
      <c r="M4" s="75">
        <v>12036432000</v>
      </c>
      <c r="N4" s="41">
        <v>40000</v>
      </c>
    </row>
    <row r="5" spans="1:15">
      <c r="A5" s="11">
        <v>4</v>
      </c>
      <c r="B5" s="393" t="s">
        <v>140</v>
      </c>
      <c r="C5" s="11" t="s">
        <v>120</v>
      </c>
      <c r="D5" s="12">
        <v>485</v>
      </c>
      <c r="E5" s="11">
        <v>0</v>
      </c>
      <c r="F5" s="11">
        <v>1</v>
      </c>
      <c r="G5" s="19"/>
      <c r="H5" s="14" t="s">
        <v>75</v>
      </c>
      <c r="I5" s="215">
        <v>0.11</v>
      </c>
      <c r="J5" s="15">
        <v>6.41</v>
      </c>
      <c r="K5" s="12" t="s">
        <v>121</v>
      </c>
      <c r="L5" s="74">
        <v>254727000</v>
      </c>
      <c r="M5" s="75">
        <v>11921094000</v>
      </c>
      <c r="N5" s="41">
        <v>40057</v>
      </c>
    </row>
    <row r="6" spans="1:15">
      <c r="A6" s="20">
        <v>5</v>
      </c>
      <c r="B6" s="394" t="s">
        <v>141</v>
      </c>
      <c r="C6" s="11" t="s">
        <v>120</v>
      </c>
      <c r="D6" s="21">
        <v>550</v>
      </c>
      <c r="E6" s="20">
        <v>0</v>
      </c>
      <c r="F6" s="20">
        <v>1</v>
      </c>
      <c r="G6" s="22"/>
      <c r="H6" s="23" t="s">
        <v>75</v>
      </c>
      <c r="I6" s="216">
        <v>0.11</v>
      </c>
      <c r="J6" s="24">
        <v>6.41</v>
      </c>
      <c r="K6" s="21" t="s">
        <v>121</v>
      </c>
      <c r="L6" s="395" t="s">
        <v>144</v>
      </c>
      <c r="M6" s="75">
        <v>11920341800</v>
      </c>
      <c r="N6" s="42">
        <v>40198</v>
      </c>
    </row>
    <row r="7" spans="1:15">
      <c r="A7" s="32"/>
      <c r="B7" s="33"/>
      <c r="C7" s="33"/>
      <c r="D7" s="34"/>
      <c r="E7" s="33"/>
      <c r="F7" s="33"/>
      <c r="G7" s="35"/>
      <c r="H7" s="36"/>
      <c r="I7" s="37"/>
      <c r="J7" s="38"/>
      <c r="K7" s="34"/>
      <c r="L7" s="39"/>
      <c r="M7" s="39"/>
      <c r="N7" s="40"/>
    </row>
    <row r="8" spans="1:15">
      <c r="A8" s="25"/>
      <c r="B8" s="25"/>
      <c r="C8" s="25"/>
      <c r="D8" s="26"/>
      <c r="E8" s="25"/>
      <c r="F8" s="25"/>
      <c r="G8" s="27"/>
      <c r="H8" s="28"/>
      <c r="I8" s="29"/>
      <c r="J8" s="30"/>
      <c r="K8" s="26"/>
      <c r="L8" s="31"/>
      <c r="M8" s="31"/>
      <c r="N8" s="31"/>
    </row>
    <row r="9" spans="1:15">
      <c r="A9" s="25"/>
      <c r="B9" s="25"/>
      <c r="C9" s="25"/>
      <c r="D9" s="26"/>
      <c r="E9" s="25"/>
      <c r="F9" s="25"/>
      <c r="G9" s="27"/>
      <c r="H9" s="28"/>
      <c r="I9" s="29"/>
      <c r="J9" s="30"/>
      <c r="K9" s="26"/>
      <c r="L9" s="31"/>
      <c r="M9" s="31"/>
      <c r="N9" s="31"/>
    </row>
    <row r="10" spans="1:15">
      <c r="A10" s="25"/>
      <c r="B10" s="25"/>
      <c r="C10" s="25"/>
      <c r="D10" s="26"/>
      <c r="E10" s="25"/>
      <c r="F10" s="25"/>
      <c r="G10" s="27"/>
      <c r="H10" s="28"/>
      <c r="I10" s="29"/>
      <c r="J10" s="30"/>
      <c r="K10" s="26"/>
      <c r="L10" s="31"/>
      <c r="M10" s="31"/>
      <c r="N10" s="31"/>
    </row>
    <row r="11" spans="1:15">
      <c r="A11" s="25"/>
      <c r="B11" s="25"/>
      <c r="C11" s="25"/>
      <c r="D11" s="26"/>
      <c r="E11" s="25"/>
      <c r="F11" s="25"/>
      <c r="G11" s="27"/>
      <c r="H11" s="28"/>
      <c r="I11" s="29"/>
      <c r="J11" s="30"/>
      <c r="K11" s="26"/>
      <c r="L11" s="31"/>
      <c r="M11" s="31"/>
      <c r="N11" s="31"/>
    </row>
    <row r="12" spans="1:15">
      <c r="A12" s="25"/>
      <c r="B12" s="25"/>
      <c r="C12" s="25"/>
      <c r="D12" s="26"/>
      <c r="E12" s="25"/>
      <c r="F12" s="25"/>
      <c r="G12" s="27"/>
      <c r="H12" s="28"/>
      <c r="I12" s="29"/>
      <c r="J12" s="30"/>
      <c r="K12" s="26"/>
      <c r="L12" s="31"/>
      <c r="M12" s="31"/>
      <c r="N12" s="31"/>
    </row>
    <row r="13" spans="1:15">
      <c r="A13" s="25"/>
      <c r="B13" s="25"/>
      <c r="C13" s="25"/>
      <c r="D13" s="26"/>
      <c r="E13" s="25"/>
      <c r="F13" s="25"/>
      <c r="G13" s="27"/>
      <c r="H13" s="28"/>
      <c r="I13" s="29"/>
      <c r="J13" s="30"/>
      <c r="K13" s="26"/>
      <c r="L13" s="31"/>
      <c r="M13" s="31"/>
      <c r="N13" s="31"/>
    </row>
    <row r="14" spans="1:15">
      <c r="A14" s="25"/>
      <c r="B14" s="25"/>
      <c r="C14" s="25"/>
      <c r="D14" s="26"/>
      <c r="E14" s="25"/>
      <c r="F14" s="25"/>
      <c r="G14" s="27"/>
      <c r="H14" s="28"/>
      <c r="I14" s="29"/>
      <c r="J14" s="30"/>
      <c r="K14" s="26"/>
      <c r="L14" s="31"/>
      <c r="M14" s="31"/>
      <c r="N14" s="31"/>
    </row>
    <row r="15" spans="1:15">
      <c r="A15" s="25"/>
      <c r="B15" s="25"/>
      <c r="C15" s="25"/>
      <c r="D15" s="26"/>
      <c r="E15" s="25"/>
      <c r="F15" s="25"/>
      <c r="G15" s="27"/>
      <c r="H15" s="28"/>
      <c r="I15" s="29"/>
      <c r="J15" s="30"/>
      <c r="K15" s="26"/>
      <c r="L15" s="31"/>
      <c r="M15" s="31"/>
      <c r="N15" s="31"/>
    </row>
    <row r="16" spans="1:15">
      <c r="A16" s="25"/>
      <c r="B16" s="25"/>
      <c r="C16" s="25"/>
      <c r="D16" s="26"/>
      <c r="E16" s="25"/>
      <c r="F16" s="25"/>
      <c r="G16" s="27"/>
      <c r="H16" s="28"/>
      <c r="I16" s="29"/>
      <c r="J16" s="30"/>
      <c r="K16" s="26"/>
      <c r="L16" s="31"/>
      <c r="M16" s="31"/>
      <c r="N16" s="31"/>
    </row>
    <row r="17" spans="1:14">
      <c r="A17" s="25"/>
      <c r="B17" s="25"/>
      <c r="C17" s="25"/>
      <c r="D17" s="26"/>
      <c r="E17" s="25"/>
      <c r="F17" s="25"/>
      <c r="G17" s="27"/>
      <c r="H17" s="28"/>
      <c r="I17" s="29"/>
      <c r="J17" s="30"/>
      <c r="K17" s="26"/>
      <c r="L17" s="31"/>
      <c r="M17" s="31"/>
      <c r="N17" s="31"/>
    </row>
    <row r="18" spans="1:14">
      <c r="A18" s="25"/>
      <c r="B18" s="25"/>
      <c r="C18" s="25"/>
      <c r="D18" s="26"/>
      <c r="E18" s="25"/>
      <c r="F18" s="25"/>
      <c r="G18" s="27"/>
      <c r="H18" s="28"/>
      <c r="I18" s="29"/>
      <c r="J18" s="30"/>
      <c r="K18" s="26"/>
      <c r="L18" s="31"/>
      <c r="M18" s="31"/>
      <c r="N18" s="31"/>
    </row>
    <row r="19" spans="1:14">
      <c r="A19" s="25"/>
      <c r="B19" s="25"/>
      <c r="C19" s="25"/>
      <c r="D19" s="26"/>
      <c r="E19" s="25"/>
      <c r="F19" s="25"/>
      <c r="G19" s="27"/>
      <c r="H19" s="28"/>
      <c r="I19" s="29"/>
      <c r="J19" s="30"/>
      <c r="K19" s="26"/>
      <c r="L19" s="31"/>
      <c r="M19" s="31"/>
      <c r="N19" s="31"/>
    </row>
    <row r="20" spans="1:14">
      <c r="A20" s="25"/>
      <c r="B20" s="25"/>
      <c r="C20" s="25"/>
      <c r="D20" s="26"/>
      <c r="E20" s="25"/>
      <c r="F20" s="25"/>
      <c r="G20" s="27"/>
      <c r="H20" s="28"/>
      <c r="I20" s="29"/>
      <c r="J20" s="30"/>
      <c r="K20" s="26"/>
      <c r="L20" s="31"/>
      <c r="M20" s="31"/>
      <c r="N20" s="31"/>
    </row>
    <row r="21" spans="1:14">
      <c r="A21" s="25"/>
      <c r="B21" s="25"/>
      <c r="C21" s="25"/>
      <c r="D21" s="26"/>
      <c r="E21" s="25"/>
      <c r="F21" s="25"/>
      <c r="G21" s="27"/>
      <c r="H21" s="28"/>
      <c r="I21" s="29"/>
      <c r="J21" s="30"/>
      <c r="K21" s="26"/>
      <c r="L21" s="31"/>
      <c r="M21" s="31"/>
      <c r="N21" s="31"/>
    </row>
    <row r="22" spans="1:14">
      <c r="A22" s="25"/>
      <c r="B22" s="25"/>
      <c r="C22" s="25"/>
      <c r="D22" s="26"/>
      <c r="E22" s="25"/>
      <c r="F22" s="25"/>
      <c r="G22" s="27"/>
      <c r="H22" s="28"/>
      <c r="I22" s="29"/>
      <c r="J22" s="30"/>
      <c r="K22" s="26"/>
      <c r="L22" s="31"/>
      <c r="M22" s="31"/>
      <c r="N22" s="31"/>
    </row>
    <row r="23" spans="1:14">
      <c r="A23" s="25"/>
      <c r="B23" s="25"/>
      <c r="C23" s="25"/>
      <c r="D23" s="26"/>
      <c r="E23" s="25"/>
      <c r="F23" s="25"/>
      <c r="G23" s="27"/>
      <c r="H23" s="28"/>
      <c r="I23" s="29"/>
      <c r="J23" s="30"/>
      <c r="K23" s="26"/>
      <c r="L23" s="31"/>
      <c r="M23" s="31"/>
      <c r="N23" s="31"/>
    </row>
    <row r="24" spans="1:14">
      <c r="A24" s="25"/>
      <c r="B24" s="25"/>
      <c r="C24" s="25"/>
      <c r="D24" s="26"/>
      <c r="E24" s="25"/>
      <c r="F24" s="25"/>
      <c r="G24" s="27"/>
      <c r="H24" s="28"/>
      <c r="I24" s="29"/>
      <c r="J24" s="30"/>
      <c r="K24" s="26"/>
      <c r="L24" s="31"/>
      <c r="M24" s="31"/>
      <c r="N24" s="31"/>
    </row>
    <row r="25" spans="1:14">
      <c r="A25" s="25"/>
      <c r="B25" s="25"/>
      <c r="C25" s="25"/>
      <c r="D25" s="26"/>
      <c r="E25" s="25"/>
      <c r="F25" s="25"/>
      <c r="G25" s="27"/>
      <c r="H25" s="28"/>
      <c r="I25" s="29"/>
      <c r="J25" s="30"/>
      <c r="K25" s="26"/>
      <c r="L25" s="31"/>
      <c r="M25" s="31"/>
      <c r="N25" s="31"/>
    </row>
    <row r="26" spans="1:14">
      <c r="A26" s="25"/>
      <c r="B26" s="25"/>
      <c r="C26" s="25"/>
      <c r="D26" s="26"/>
      <c r="E26" s="25"/>
      <c r="F26" s="25"/>
      <c r="G26" s="27"/>
      <c r="H26" s="28"/>
      <c r="I26" s="29"/>
      <c r="J26" s="30"/>
      <c r="K26" s="26"/>
      <c r="L26" s="31"/>
      <c r="M26" s="31"/>
      <c r="N26" s="31"/>
    </row>
    <row r="27" spans="1:14">
      <c r="A27" s="25"/>
      <c r="B27" s="25"/>
      <c r="C27" s="25"/>
      <c r="D27" s="26"/>
      <c r="E27" s="25"/>
      <c r="F27" s="25"/>
      <c r="G27" s="27"/>
      <c r="H27" s="28"/>
      <c r="I27" s="29"/>
      <c r="J27" s="30"/>
      <c r="K27" s="26"/>
      <c r="L27" s="31"/>
      <c r="M27" s="31"/>
      <c r="N27" s="31"/>
    </row>
    <row r="28" spans="1:14">
      <c r="A28" s="25"/>
      <c r="B28" s="25"/>
      <c r="C28" s="25"/>
      <c r="D28" s="26"/>
      <c r="E28" s="25"/>
      <c r="F28" s="25"/>
      <c r="G28" s="27"/>
      <c r="H28" s="28"/>
      <c r="I28" s="29"/>
      <c r="J28" s="30"/>
      <c r="K28" s="26"/>
      <c r="L28" s="31"/>
      <c r="M28" s="31"/>
      <c r="N28" s="31"/>
    </row>
    <row r="29" spans="1:14">
      <c r="A29" s="25"/>
      <c r="B29" s="25"/>
      <c r="C29" s="25"/>
      <c r="D29" s="26"/>
      <c r="E29" s="25"/>
      <c r="F29" s="25"/>
      <c r="G29" s="27"/>
      <c r="H29" s="28"/>
      <c r="I29" s="29"/>
      <c r="J29" s="30"/>
      <c r="K29" s="26"/>
      <c r="L29" s="31"/>
      <c r="M29" s="31"/>
      <c r="N29" s="31"/>
    </row>
    <row r="30" spans="1:14">
      <c r="A30" s="25"/>
      <c r="B30" s="25"/>
      <c r="C30" s="25"/>
      <c r="D30" s="26"/>
      <c r="E30" s="25"/>
      <c r="F30" s="25"/>
      <c r="G30" s="27"/>
      <c r="H30" s="28"/>
      <c r="I30" s="29"/>
      <c r="J30" s="30"/>
      <c r="K30" s="26"/>
      <c r="L30" s="31"/>
      <c r="M30" s="31"/>
      <c r="N30" s="31"/>
    </row>
    <row r="31" spans="1:14">
      <c r="A31" s="25"/>
      <c r="B31" s="25"/>
      <c r="C31" s="25"/>
      <c r="D31" s="26"/>
      <c r="E31" s="25"/>
      <c r="F31" s="25"/>
      <c r="G31" s="27"/>
      <c r="H31" s="28"/>
      <c r="I31" s="29"/>
      <c r="J31" s="30"/>
      <c r="K31" s="26"/>
      <c r="L31" s="31"/>
      <c r="M31" s="31"/>
      <c r="N31" s="31"/>
    </row>
    <row r="32" spans="1:14">
      <c r="A32" s="25"/>
      <c r="B32" s="25"/>
      <c r="C32" s="25"/>
      <c r="D32" s="26"/>
      <c r="E32" s="25"/>
      <c r="F32" s="25"/>
      <c r="G32" s="27"/>
      <c r="H32" s="28"/>
      <c r="I32" s="29"/>
      <c r="J32" s="30"/>
      <c r="K32" s="26"/>
      <c r="L32" s="31"/>
      <c r="M32" s="31"/>
      <c r="N32" s="31"/>
    </row>
    <row r="33" spans="1:14">
      <c r="A33" s="25"/>
      <c r="B33" s="25"/>
      <c r="C33" s="25"/>
      <c r="D33" s="26"/>
      <c r="E33" s="25"/>
      <c r="F33" s="25"/>
      <c r="G33" s="27"/>
      <c r="H33" s="28"/>
      <c r="I33" s="29"/>
      <c r="J33" s="30"/>
      <c r="K33" s="26"/>
      <c r="L33" s="31"/>
      <c r="M33" s="31"/>
      <c r="N33" s="31"/>
    </row>
    <row r="34" spans="1:14">
      <c r="A34" s="25"/>
      <c r="B34" s="25"/>
      <c r="C34" s="25"/>
      <c r="D34" s="26"/>
      <c r="E34" s="25"/>
      <c r="F34" s="25"/>
      <c r="G34" s="27"/>
      <c r="H34" s="28"/>
      <c r="I34" s="29"/>
      <c r="J34" s="30"/>
      <c r="K34" s="26"/>
      <c r="L34" s="31"/>
      <c r="M34" s="31"/>
      <c r="N34" s="31"/>
    </row>
    <row r="35" spans="1:14">
      <c r="A35" s="31"/>
      <c r="B35" s="31"/>
      <c r="C35" s="31"/>
      <c r="D35" s="31"/>
      <c r="E35" s="31"/>
      <c r="F35" s="31"/>
      <c r="G35" s="31"/>
      <c r="H35" s="28"/>
      <c r="I35" s="28"/>
      <c r="J35" s="31"/>
      <c r="K35" s="31"/>
      <c r="L35" s="31"/>
      <c r="M35" s="31"/>
      <c r="N35" s="31"/>
    </row>
    <row r="36" spans="1:14">
      <c r="A36" s="31"/>
      <c r="B36" s="31"/>
      <c r="C36" s="31"/>
      <c r="D36" s="31"/>
      <c r="E36" s="31"/>
      <c r="F36" s="31"/>
      <c r="G36" s="31"/>
      <c r="H36" s="31"/>
      <c r="I36" s="28"/>
      <c r="J36" s="31"/>
      <c r="K36" s="411" t="s">
        <v>74</v>
      </c>
      <c r="L36" s="411"/>
      <c r="M36" s="411"/>
      <c r="N36" s="31"/>
    </row>
    <row r="37" spans="1:14">
      <c r="A37" s="31"/>
      <c r="B37" s="31"/>
      <c r="C37" s="31"/>
      <c r="D37" s="31"/>
      <c r="E37" s="31"/>
      <c r="F37" s="31"/>
      <c r="G37" s="31"/>
      <c r="H37" s="31"/>
      <c r="I37" s="28"/>
      <c r="J37" s="31"/>
      <c r="K37" s="31"/>
      <c r="L37" s="31"/>
      <c r="M37" s="31"/>
      <c r="N37" s="31"/>
    </row>
    <row r="38" spans="1:14">
      <c r="A38" s="31"/>
      <c r="B38" s="31"/>
      <c r="C38" s="31"/>
      <c r="D38" s="31"/>
      <c r="E38" s="31"/>
      <c r="F38" s="31"/>
      <c r="G38" s="31"/>
      <c r="H38" s="31"/>
      <c r="I38" s="28"/>
      <c r="J38" s="31"/>
      <c r="K38" s="31"/>
      <c r="L38" s="31"/>
      <c r="M38" s="31"/>
      <c r="N38" s="31"/>
    </row>
    <row r="39" spans="1:14">
      <c r="A39" s="31"/>
      <c r="B39" s="31"/>
      <c r="C39" s="31"/>
      <c r="D39" s="31"/>
      <c r="E39" s="31"/>
      <c r="F39" s="31"/>
      <c r="G39" s="31"/>
      <c r="H39" s="31"/>
      <c r="I39" s="28"/>
      <c r="J39" s="31"/>
      <c r="K39" s="31"/>
      <c r="L39" s="31"/>
      <c r="M39" s="31"/>
      <c r="N39" s="31"/>
    </row>
    <row r="40" spans="1:14">
      <c r="A40" s="31"/>
      <c r="B40" s="31"/>
      <c r="C40" s="31"/>
      <c r="D40" s="31"/>
      <c r="E40" s="31"/>
      <c r="F40" s="31"/>
      <c r="G40" s="31"/>
      <c r="H40" s="31"/>
      <c r="I40" s="28"/>
      <c r="J40" s="31"/>
      <c r="K40" s="31"/>
      <c r="L40" s="31"/>
      <c r="M40" s="31"/>
      <c r="N40" s="31"/>
    </row>
    <row r="41" spans="1:14">
      <c r="A41" s="31"/>
      <c r="B41" s="31"/>
      <c r="C41" s="31"/>
      <c r="D41" s="31"/>
      <c r="E41" s="31"/>
      <c r="F41" s="31"/>
      <c r="G41" s="31"/>
      <c r="H41" s="31"/>
      <c r="I41" s="28"/>
      <c r="J41" s="31"/>
      <c r="K41" s="31"/>
      <c r="L41" s="31"/>
      <c r="M41" s="31"/>
      <c r="N41" s="31"/>
    </row>
    <row r="42" spans="1:14">
      <c r="A42" s="31"/>
      <c r="B42" s="31"/>
      <c r="C42" s="31"/>
      <c r="D42" s="31"/>
      <c r="E42" s="31"/>
      <c r="F42" s="31"/>
      <c r="G42" s="31"/>
      <c r="H42" s="31"/>
      <c r="I42" s="28"/>
      <c r="J42" s="31"/>
      <c r="K42" s="31"/>
      <c r="L42" s="31"/>
      <c r="M42" s="31"/>
      <c r="N42" s="31"/>
    </row>
    <row r="43" spans="1:14">
      <c r="A43" s="31"/>
      <c r="B43" s="31"/>
      <c r="C43" s="31"/>
      <c r="D43" s="31"/>
      <c r="E43" s="31"/>
      <c r="F43" s="31"/>
      <c r="G43" s="31"/>
      <c r="H43" s="31"/>
      <c r="I43" s="28"/>
      <c r="J43" s="31"/>
      <c r="K43" s="31"/>
      <c r="L43" s="31"/>
      <c r="M43" s="31"/>
      <c r="N43" s="31"/>
    </row>
    <row r="44" spans="1:14">
      <c r="A44" s="31"/>
      <c r="B44" s="31"/>
      <c r="C44" s="31"/>
      <c r="D44" s="31"/>
      <c r="E44" s="31"/>
      <c r="F44" s="31"/>
      <c r="G44" s="31"/>
      <c r="H44" s="31"/>
      <c r="I44" s="28"/>
      <c r="J44" s="31"/>
      <c r="K44" s="31"/>
      <c r="L44" s="31"/>
      <c r="M44" s="31"/>
      <c r="N44" s="31"/>
    </row>
    <row r="45" spans="1:14">
      <c r="A45" s="31"/>
      <c r="B45" s="31"/>
      <c r="C45" s="31"/>
      <c r="D45" s="31"/>
      <c r="E45" s="31"/>
      <c r="F45" s="31"/>
      <c r="G45" s="31"/>
      <c r="H45" s="31"/>
      <c r="I45" s="28"/>
      <c r="J45" s="31"/>
      <c r="K45" s="31"/>
      <c r="L45" s="31"/>
      <c r="M45" s="31"/>
      <c r="N45" s="31"/>
    </row>
    <row r="46" spans="1:14">
      <c r="A46" s="31"/>
      <c r="B46" s="31"/>
      <c r="C46" s="31"/>
      <c r="D46" s="31"/>
      <c r="E46" s="31"/>
      <c r="F46" s="31"/>
      <c r="G46" s="31"/>
      <c r="H46" s="31"/>
      <c r="I46" s="28"/>
      <c r="J46" s="31"/>
      <c r="K46" s="31"/>
      <c r="L46" s="31"/>
      <c r="M46" s="31"/>
      <c r="N46" s="31"/>
    </row>
    <row r="47" spans="1:14">
      <c r="A47" s="31"/>
      <c r="B47" s="31"/>
      <c r="C47" s="31"/>
      <c r="D47" s="31"/>
      <c r="E47" s="31"/>
      <c r="F47" s="31"/>
      <c r="G47" s="31"/>
      <c r="H47" s="31"/>
      <c r="I47" s="28"/>
      <c r="J47" s="31"/>
      <c r="K47" s="31"/>
      <c r="L47" s="31"/>
      <c r="M47" s="31"/>
      <c r="N47" s="31"/>
    </row>
    <row r="48" spans="1:14">
      <c r="A48" s="31"/>
      <c r="B48" s="31"/>
      <c r="C48" s="31"/>
      <c r="D48" s="31"/>
      <c r="E48" s="31"/>
      <c r="F48" s="31"/>
      <c r="G48" s="31"/>
      <c r="H48" s="31"/>
      <c r="I48" s="28"/>
      <c r="J48" s="31"/>
      <c r="K48" s="31"/>
      <c r="L48" s="31"/>
      <c r="M48" s="31"/>
      <c r="N48" s="31"/>
    </row>
    <row r="49" spans="9:9">
      <c r="I49" s="17"/>
    </row>
    <row r="50" spans="9:9">
      <c r="I50" s="17"/>
    </row>
    <row r="51" spans="9:9">
      <c r="I51" s="17"/>
    </row>
    <row r="52" spans="9:9">
      <c r="I52" s="17"/>
    </row>
    <row r="53" spans="9:9">
      <c r="I53" s="17"/>
    </row>
    <row r="54" spans="9:9">
      <c r="I54" s="17"/>
    </row>
    <row r="55" spans="9:9">
      <c r="I55" s="17"/>
    </row>
    <row r="56" spans="9:9">
      <c r="I56" s="17"/>
    </row>
    <row r="57" spans="9:9">
      <c r="I57" s="17"/>
    </row>
    <row r="58" spans="9:9">
      <c r="I58" s="17"/>
    </row>
    <row r="59" spans="9:9">
      <c r="I59" s="17"/>
    </row>
    <row r="60" spans="9:9">
      <c r="I60" s="17"/>
    </row>
    <row r="61" spans="9:9">
      <c r="I61" s="17"/>
    </row>
    <row r="62" spans="9:9">
      <c r="I62" s="17"/>
    </row>
    <row r="63" spans="9:9">
      <c r="I63" s="17"/>
    </row>
    <row r="64" spans="9:9">
      <c r="I64" s="17"/>
    </row>
    <row r="65" spans="9:9">
      <c r="I65" s="17"/>
    </row>
    <row r="66" spans="9:9">
      <c r="I66" s="17"/>
    </row>
    <row r="67" spans="9:9">
      <c r="I67" s="17"/>
    </row>
    <row r="68" spans="9:9">
      <c r="I68" s="17"/>
    </row>
    <row r="69" spans="9:9">
      <c r="I69" s="17"/>
    </row>
    <row r="70" spans="9:9">
      <c r="I70" s="17"/>
    </row>
    <row r="71" spans="9:9">
      <c r="I71" s="17"/>
    </row>
    <row r="72" spans="9:9">
      <c r="I72" s="17"/>
    </row>
    <row r="73" spans="9:9">
      <c r="I73" s="17"/>
    </row>
    <row r="74" spans="9:9">
      <c r="I74" s="17"/>
    </row>
    <row r="75" spans="9:9">
      <c r="I75" s="17"/>
    </row>
    <row r="76" spans="9:9">
      <c r="I76" s="17"/>
    </row>
    <row r="77" spans="9:9">
      <c r="I77" s="17"/>
    </row>
    <row r="78" spans="9:9">
      <c r="I78" s="17"/>
    </row>
    <row r="79" spans="9:9">
      <c r="I79" s="17"/>
    </row>
    <row r="80" spans="9:9">
      <c r="I80" s="17"/>
    </row>
    <row r="81" spans="9:9">
      <c r="I81" s="17"/>
    </row>
    <row r="82" spans="9:9">
      <c r="I82" s="17"/>
    </row>
    <row r="83" spans="9:9">
      <c r="I83" s="17"/>
    </row>
    <row r="84" spans="9:9">
      <c r="I84" s="17"/>
    </row>
    <row r="85" spans="9:9">
      <c r="I85" s="17"/>
    </row>
    <row r="86" spans="9:9">
      <c r="I86" s="17"/>
    </row>
    <row r="87" spans="9:9">
      <c r="I87" s="17"/>
    </row>
    <row r="88" spans="9:9">
      <c r="I88" s="17"/>
    </row>
    <row r="89" spans="9:9">
      <c r="I89" s="17"/>
    </row>
    <row r="90" spans="9:9">
      <c r="I90" s="17"/>
    </row>
    <row r="91" spans="9:9">
      <c r="I91" s="17"/>
    </row>
    <row r="92" spans="9:9">
      <c r="I92" s="17"/>
    </row>
    <row r="93" spans="9:9">
      <c r="I93" s="17"/>
    </row>
    <row r="94" spans="9:9">
      <c r="I94" s="17"/>
    </row>
    <row r="95" spans="9:9">
      <c r="I95" s="17"/>
    </row>
    <row r="96" spans="9:9">
      <c r="I96" s="17"/>
    </row>
    <row r="97" spans="9:9">
      <c r="I97" s="17"/>
    </row>
    <row r="98" spans="9:9">
      <c r="I98" s="17"/>
    </row>
    <row r="99" spans="9:9">
      <c r="I99" s="17"/>
    </row>
    <row r="100" spans="9:9">
      <c r="I100" s="17"/>
    </row>
    <row r="101" spans="9:9">
      <c r="I101" s="17"/>
    </row>
    <row r="102" spans="9:9">
      <c r="I102" s="17"/>
    </row>
    <row r="103" spans="9:9">
      <c r="I103" s="17"/>
    </row>
    <row r="104" spans="9:9">
      <c r="I104" s="17"/>
    </row>
    <row r="105" spans="9:9">
      <c r="I105" s="17"/>
    </row>
    <row r="106" spans="9:9">
      <c r="I106" s="17"/>
    </row>
    <row r="107" spans="9:9">
      <c r="I107" s="17"/>
    </row>
    <row r="108" spans="9:9">
      <c r="I108" s="17"/>
    </row>
    <row r="109" spans="9:9">
      <c r="I109" s="17"/>
    </row>
    <row r="110" spans="9:9">
      <c r="I110" s="17"/>
    </row>
    <row r="111" spans="9:9">
      <c r="I111" s="17"/>
    </row>
    <row r="112" spans="9:9">
      <c r="I112" s="17"/>
    </row>
    <row r="113" spans="9:9">
      <c r="I113" s="17"/>
    </row>
    <row r="114" spans="9:9">
      <c r="I114" s="17"/>
    </row>
    <row r="115" spans="9:9">
      <c r="I115" s="17"/>
    </row>
    <row r="116" spans="9:9">
      <c r="I116" s="17"/>
    </row>
    <row r="117" spans="9:9">
      <c r="I117" s="17"/>
    </row>
    <row r="118" spans="9:9">
      <c r="I118" s="17"/>
    </row>
    <row r="119" spans="9:9">
      <c r="I119" s="17"/>
    </row>
    <row r="120" spans="9:9">
      <c r="I120" s="17"/>
    </row>
    <row r="121" spans="9:9">
      <c r="I121" s="17"/>
    </row>
    <row r="122" spans="9:9">
      <c r="I122" s="17"/>
    </row>
    <row r="123" spans="9:9">
      <c r="I123" s="17"/>
    </row>
    <row r="124" spans="9:9">
      <c r="I124" s="17"/>
    </row>
    <row r="125" spans="9:9">
      <c r="I125" s="17"/>
    </row>
    <row r="126" spans="9:9">
      <c r="I126" s="17"/>
    </row>
    <row r="127" spans="9:9">
      <c r="I127" s="17"/>
    </row>
    <row r="128" spans="9:9">
      <c r="I128" s="17"/>
    </row>
    <row r="129" spans="9:9">
      <c r="I129" s="17"/>
    </row>
    <row r="130" spans="9:9">
      <c r="I130" s="17"/>
    </row>
    <row r="131" spans="9:9">
      <c r="I131" s="17"/>
    </row>
    <row r="132" spans="9:9">
      <c r="I132" s="17"/>
    </row>
    <row r="133" spans="9:9">
      <c r="I133" s="17"/>
    </row>
    <row r="134" spans="9:9">
      <c r="I134" s="17"/>
    </row>
    <row r="135" spans="9:9">
      <c r="I135" s="17"/>
    </row>
    <row r="136" spans="9:9">
      <c r="I136" s="17"/>
    </row>
    <row r="137" spans="9:9">
      <c r="I137" s="17"/>
    </row>
    <row r="138" spans="9:9">
      <c r="I138" s="17"/>
    </row>
    <row r="139" spans="9:9">
      <c r="I139" s="17"/>
    </row>
    <row r="140" spans="9:9">
      <c r="I140" s="17"/>
    </row>
    <row r="141" spans="9:9">
      <c r="I141" s="17"/>
    </row>
    <row r="142" spans="9:9">
      <c r="I142" s="17"/>
    </row>
    <row r="143" spans="9:9">
      <c r="I143" s="17"/>
    </row>
    <row r="144" spans="9:9">
      <c r="I144" s="17"/>
    </row>
    <row r="145" spans="9:9">
      <c r="I145" s="17"/>
    </row>
    <row r="146" spans="9:9">
      <c r="I146" s="17"/>
    </row>
    <row r="147" spans="9:9">
      <c r="I147" s="17"/>
    </row>
    <row r="148" spans="9:9">
      <c r="I148" s="17"/>
    </row>
    <row r="149" spans="9:9">
      <c r="I149" s="17"/>
    </row>
    <row r="150" spans="9:9">
      <c r="I150" s="17"/>
    </row>
    <row r="151" spans="9:9">
      <c r="I151" s="17"/>
    </row>
    <row r="152" spans="9:9">
      <c r="I152" s="17"/>
    </row>
    <row r="153" spans="9:9">
      <c r="I153" s="17"/>
    </row>
    <row r="154" spans="9:9">
      <c r="I154" s="17"/>
    </row>
    <row r="155" spans="9:9">
      <c r="I155" s="17"/>
    </row>
    <row r="156" spans="9:9">
      <c r="I156" s="17"/>
    </row>
    <row r="157" spans="9:9">
      <c r="I157" s="17"/>
    </row>
    <row r="158" spans="9:9">
      <c r="I158" s="17"/>
    </row>
    <row r="159" spans="9:9">
      <c r="I159" s="17"/>
    </row>
    <row r="160" spans="9:9">
      <c r="I160" s="17"/>
    </row>
    <row r="161" spans="9:9">
      <c r="I161" s="17"/>
    </row>
    <row r="162" spans="9:9">
      <c r="I162" s="17"/>
    </row>
    <row r="163" spans="9:9">
      <c r="I163" s="17"/>
    </row>
    <row r="164" spans="9:9">
      <c r="I164" s="17"/>
    </row>
    <row r="165" spans="9:9">
      <c r="I165" s="17"/>
    </row>
    <row r="166" spans="9:9">
      <c r="I166" s="17"/>
    </row>
    <row r="167" spans="9:9">
      <c r="I167" s="17"/>
    </row>
    <row r="168" spans="9:9">
      <c r="I168" s="17"/>
    </row>
    <row r="169" spans="9:9">
      <c r="I169" s="17"/>
    </row>
    <row r="170" spans="9:9">
      <c r="I170" s="17"/>
    </row>
    <row r="171" spans="9:9">
      <c r="I171" s="17"/>
    </row>
    <row r="172" spans="9:9">
      <c r="I172" s="17"/>
    </row>
    <row r="173" spans="9:9">
      <c r="I173" s="17"/>
    </row>
    <row r="174" spans="9:9">
      <c r="I174" s="17"/>
    </row>
    <row r="175" spans="9:9">
      <c r="I175" s="17"/>
    </row>
    <row r="176" spans="9:9">
      <c r="I176" s="17"/>
    </row>
    <row r="177" spans="9:9">
      <c r="I177" s="17"/>
    </row>
    <row r="178" spans="9:9">
      <c r="I178" s="17"/>
    </row>
    <row r="179" spans="9:9">
      <c r="I179" s="17"/>
    </row>
    <row r="180" spans="9:9">
      <c r="I180" s="17"/>
    </row>
    <row r="181" spans="9:9">
      <c r="I181" s="17"/>
    </row>
    <row r="182" spans="9:9">
      <c r="I182" s="17"/>
    </row>
    <row r="183" spans="9:9">
      <c r="I183" s="17"/>
    </row>
    <row r="184" spans="9:9">
      <c r="I184" s="17"/>
    </row>
    <row r="185" spans="9:9">
      <c r="I185" s="17"/>
    </row>
    <row r="186" spans="9:9">
      <c r="I186" s="17"/>
    </row>
    <row r="187" spans="9:9">
      <c r="I187" s="17"/>
    </row>
    <row r="188" spans="9:9">
      <c r="I188" s="17"/>
    </row>
    <row r="189" spans="9:9">
      <c r="I189" s="17"/>
    </row>
    <row r="190" spans="9:9">
      <c r="I190" s="17"/>
    </row>
    <row r="191" spans="9:9">
      <c r="I191" s="17"/>
    </row>
    <row r="192" spans="9:9">
      <c r="I192" s="17"/>
    </row>
    <row r="193" spans="9:9">
      <c r="I193" s="17"/>
    </row>
    <row r="194" spans="9:9">
      <c r="I194" s="17"/>
    </row>
    <row r="195" spans="9:9">
      <c r="I195" s="17"/>
    </row>
    <row r="196" spans="9:9">
      <c r="I196" s="17"/>
    </row>
    <row r="197" spans="9:9">
      <c r="I197" s="17"/>
    </row>
    <row r="198" spans="9:9">
      <c r="I198" s="17"/>
    </row>
    <row r="199" spans="9:9">
      <c r="I199" s="17"/>
    </row>
    <row r="200" spans="9:9">
      <c r="I200" s="17"/>
    </row>
    <row r="201" spans="9:9">
      <c r="I201" s="17"/>
    </row>
    <row r="202" spans="9:9">
      <c r="I202" s="17"/>
    </row>
    <row r="203" spans="9:9">
      <c r="I203" s="17"/>
    </row>
    <row r="204" spans="9:9">
      <c r="I204" s="17"/>
    </row>
    <row r="205" spans="9:9">
      <c r="I205" s="17"/>
    </row>
    <row r="206" spans="9:9">
      <c r="I206" s="17"/>
    </row>
    <row r="207" spans="9:9">
      <c r="I207" s="17"/>
    </row>
    <row r="208" spans="9:9">
      <c r="I208" s="17"/>
    </row>
    <row r="209" spans="9:9">
      <c r="I209" s="17"/>
    </row>
    <row r="210" spans="9:9">
      <c r="I210" s="17"/>
    </row>
    <row r="211" spans="9:9">
      <c r="I211" s="17"/>
    </row>
    <row r="212" spans="9:9">
      <c r="I212" s="17"/>
    </row>
    <row r="213" spans="9:9">
      <c r="I213" s="17"/>
    </row>
    <row r="214" spans="9:9">
      <c r="I214" s="17"/>
    </row>
    <row r="215" spans="9:9">
      <c r="I215" s="17"/>
    </row>
    <row r="216" spans="9:9">
      <c r="I216" s="17"/>
    </row>
    <row r="217" spans="9:9">
      <c r="I217" s="17"/>
    </row>
    <row r="218" spans="9:9">
      <c r="I218" s="17"/>
    </row>
    <row r="219" spans="9:9">
      <c r="I219" s="17"/>
    </row>
    <row r="220" spans="9:9">
      <c r="I220" s="17"/>
    </row>
    <row r="221" spans="9:9">
      <c r="I221" s="17"/>
    </row>
    <row r="222" spans="9:9">
      <c r="I222" s="17"/>
    </row>
    <row r="223" spans="9:9">
      <c r="I223" s="17"/>
    </row>
    <row r="224" spans="9:9">
      <c r="I224" s="17"/>
    </row>
    <row r="225" spans="9:9">
      <c r="I225" s="17"/>
    </row>
    <row r="226" spans="9:9">
      <c r="I226" s="17"/>
    </row>
    <row r="227" spans="9:9">
      <c r="I227" s="17"/>
    </row>
    <row r="228" spans="9:9">
      <c r="I228" s="17"/>
    </row>
    <row r="229" spans="9:9">
      <c r="I229" s="17"/>
    </row>
    <row r="230" spans="9:9">
      <c r="I230" s="17"/>
    </row>
    <row r="231" spans="9:9">
      <c r="I231" s="17"/>
    </row>
    <row r="232" spans="9:9">
      <c r="I232" s="17"/>
    </row>
    <row r="233" spans="9:9">
      <c r="I233" s="17"/>
    </row>
    <row r="234" spans="9:9">
      <c r="I234" s="17"/>
    </row>
    <row r="235" spans="9:9">
      <c r="I235" s="17"/>
    </row>
    <row r="236" spans="9:9">
      <c r="I236" s="17"/>
    </row>
    <row r="237" spans="9:9">
      <c r="I237" s="17"/>
    </row>
    <row r="238" spans="9:9">
      <c r="I238" s="17"/>
    </row>
    <row r="239" spans="9:9">
      <c r="I239" s="17"/>
    </row>
    <row r="240" spans="9:9">
      <c r="I240" s="17"/>
    </row>
    <row r="241" spans="9:9">
      <c r="I241" s="17"/>
    </row>
    <row r="242" spans="9:9">
      <c r="I242" s="17"/>
    </row>
    <row r="243" spans="9:9">
      <c r="I243" s="17"/>
    </row>
    <row r="244" spans="9:9">
      <c r="I244" s="17"/>
    </row>
    <row r="245" spans="9:9">
      <c r="I245" s="17"/>
    </row>
    <row r="246" spans="9:9">
      <c r="I246" s="17"/>
    </row>
    <row r="247" spans="9:9">
      <c r="I247" s="17"/>
    </row>
    <row r="248" spans="9:9">
      <c r="I248" s="17"/>
    </row>
    <row r="249" spans="9:9">
      <c r="I249" s="17"/>
    </row>
    <row r="250" spans="9:9">
      <c r="I250" s="17"/>
    </row>
    <row r="251" spans="9:9">
      <c r="I251" s="17"/>
    </row>
    <row r="252" spans="9:9">
      <c r="I252" s="17"/>
    </row>
    <row r="253" spans="9:9">
      <c r="I253" s="17"/>
    </row>
    <row r="254" spans="9:9">
      <c r="I254" s="17"/>
    </row>
    <row r="255" spans="9:9">
      <c r="I255" s="17"/>
    </row>
    <row r="256" spans="9:9">
      <c r="I256" s="17"/>
    </row>
    <row r="257" spans="9:9">
      <c r="I257" s="17"/>
    </row>
    <row r="258" spans="9:9">
      <c r="I258" s="17"/>
    </row>
    <row r="259" spans="9:9">
      <c r="I259" s="17"/>
    </row>
    <row r="260" spans="9:9">
      <c r="I260" s="17"/>
    </row>
    <row r="261" spans="9:9">
      <c r="I261" s="17"/>
    </row>
    <row r="262" spans="9:9">
      <c r="I262" s="17"/>
    </row>
    <row r="263" spans="9:9">
      <c r="I263" s="17"/>
    </row>
    <row r="264" spans="9:9">
      <c r="I264" s="17"/>
    </row>
    <row r="265" spans="9:9">
      <c r="I265" s="17"/>
    </row>
    <row r="266" spans="9:9">
      <c r="I266" s="17"/>
    </row>
    <row r="267" spans="9:9">
      <c r="I267" s="17"/>
    </row>
    <row r="268" spans="9:9">
      <c r="I268" s="17"/>
    </row>
    <row r="269" spans="9:9">
      <c r="I269" s="17"/>
    </row>
    <row r="270" spans="9:9">
      <c r="I270" s="17"/>
    </row>
    <row r="271" spans="9:9">
      <c r="I271" s="17"/>
    </row>
    <row r="272" spans="9:9">
      <c r="I272" s="17"/>
    </row>
    <row r="273" spans="9:9">
      <c r="I273" s="17"/>
    </row>
    <row r="274" spans="9:9">
      <c r="I274" s="17"/>
    </row>
    <row r="275" spans="9:9">
      <c r="I275" s="17"/>
    </row>
    <row r="276" spans="9:9">
      <c r="I276" s="17"/>
    </row>
    <row r="277" spans="9:9">
      <c r="I277" s="17"/>
    </row>
    <row r="278" spans="9:9">
      <c r="I278" s="17"/>
    </row>
    <row r="279" spans="9:9">
      <c r="I279" s="17"/>
    </row>
    <row r="280" spans="9:9">
      <c r="I280" s="17"/>
    </row>
    <row r="281" spans="9:9">
      <c r="I281" s="17"/>
    </row>
    <row r="282" spans="9:9">
      <c r="I282" s="17"/>
    </row>
    <row r="283" spans="9:9">
      <c r="I283" s="17"/>
    </row>
    <row r="284" spans="9:9">
      <c r="I284" s="17"/>
    </row>
    <row r="285" spans="9:9">
      <c r="I285" s="17"/>
    </row>
    <row r="286" spans="9:9">
      <c r="I286" s="17"/>
    </row>
    <row r="287" spans="9:9">
      <c r="I287" s="17"/>
    </row>
    <row r="288" spans="9:9">
      <c r="I288" s="17"/>
    </row>
    <row r="289" spans="9:9">
      <c r="I289" s="17"/>
    </row>
    <row r="290" spans="9:9">
      <c r="I290" s="17"/>
    </row>
    <row r="291" spans="9:9">
      <c r="I291" s="17"/>
    </row>
    <row r="292" spans="9:9">
      <c r="I292" s="17"/>
    </row>
    <row r="293" spans="9:9">
      <c r="I293" s="17"/>
    </row>
    <row r="294" spans="9:9">
      <c r="I294" s="17"/>
    </row>
    <row r="295" spans="9:9">
      <c r="I295" s="17"/>
    </row>
    <row r="296" spans="9:9">
      <c r="I296" s="17"/>
    </row>
    <row r="297" spans="9:9">
      <c r="I297" s="17"/>
    </row>
    <row r="298" spans="9:9">
      <c r="I298" s="17"/>
    </row>
    <row r="299" spans="9:9">
      <c r="I299" s="17"/>
    </row>
    <row r="300" spans="9:9">
      <c r="I300" s="17"/>
    </row>
    <row r="301" spans="9:9">
      <c r="I301" s="17"/>
    </row>
    <row r="302" spans="9:9">
      <c r="I302" s="17"/>
    </row>
    <row r="303" spans="9:9">
      <c r="I303" s="17"/>
    </row>
    <row r="304" spans="9:9">
      <c r="I304" s="17"/>
    </row>
    <row r="305" spans="9:9">
      <c r="I305" s="17"/>
    </row>
    <row r="306" spans="9:9">
      <c r="I306" s="17"/>
    </row>
    <row r="307" spans="9:9">
      <c r="I307" s="17"/>
    </row>
    <row r="308" spans="9:9">
      <c r="I308" s="17"/>
    </row>
    <row r="309" spans="9:9">
      <c r="I309" s="17"/>
    </row>
    <row r="310" spans="9:9">
      <c r="I310" s="17"/>
    </row>
    <row r="311" spans="9:9">
      <c r="I311" s="17"/>
    </row>
    <row r="312" spans="9:9">
      <c r="I312" s="17"/>
    </row>
    <row r="313" spans="9:9">
      <c r="I313" s="17"/>
    </row>
    <row r="314" spans="9:9">
      <c r="I314" s="17"/>
    </row>
    <row r="315" spans="9:9">
      <c r="I315" s="17"/>
    </row>
    <row r="316" spans="9:9">
      <c r="I316" s="17"/>
    </row>
    <row r="317" spans="9:9">
      <c r="I317" s="17"/>
    </row>
    <row r="318" spans="9:9">
      <c r="I318" s="17"/>
    </row>
    <row r="319" spans="9:9">
      <c r="I319" s="17"/>
    </row>
    <row r="320" spans="9:9">
      <c r="I320" s="17"/>
    </row>
    <row r="321" spans="9:9">
      <c r="I321" s="17"/>
    </row>
    <row r="322" spans="9:9">
      <c r="I322" s="17"/>
    </row>
    <row r="323" spans="9:9">
      <c r="I323" s="17"/>
    </row>
    <row r="324" spans="9:9">
      <c r="I324" s="17"/>
    </row>
    <row r="325" spans="9:9">
      <c r="I325" s="17"/>
    </row>
    <row r="326" spans="9:9">
      <c r="I326" s="17"/>
    </row>
    <row r="327" spans="9:9">
      <c r="I327" s="17"/>
    </row>
    <row r="328" spans="9:9">
      <c r="I328" s="17"/>
    </row>
    <row r="329" spans="9:9">
      <c r="I329" s="17"/>
    </row>
    <row r="330" spans="9:9">
      <c r="I330" s="17"/>
    </row>
    <row r="331" spans="9:9">
      <c r="I331" s="17"/>
    </row>
    <row r="332" spans="9:9">
      <c r="I332" s="17"/>
    </row>
    <row r="333" spans="9:9">
      <c r="I333" s="17"/>
    </row>
    <row r="334" spans="9:9">
      <c r="I334" s="17"/>
    </row>
    <row r="335" spans="9:9">
      <c r="I335" s="17"/>
    </row>
    <row r="336" spans="9:9">
      <c r="I336" s="17"/>
    </row>
    <row r="337" spans="9:9">
      <c r="I337" s="17"/>
    </row>
    <row r="338" spans="9:9">
      <c r="I338" s="17"/>
    </row>
    <row r="339" spans="9:9">
      <c r="I339" s="17"/>
    </row>
    <row r="340" spans="9:9">
      <c r="I340" s="17"/>
    </row>
    <row r="341" spans="9:9">
      <c r="I341" s="17"/>
    </row>
    <row r="342" spans="9:9">
      <c r="I342" s="17"/>
    </row>
    <row r="343" spans="9:9">
      <c r="I343" s="17"/>
    </row>
    <row r="344" spans="9:9">
      <c r="I344" s="17"/>
    </row>
    <row r="345" spans="9:9">
      <c r="I345" s="17"/>
    </row>
    <row r="346" spans="9:9">
      <c r="I346" s="17"/>
    </row>
    <row r="347" spans="9:9">
      <c r="I347" s="17"/>
    </row>
    <row r="348" spans="9:9">
      <c r="I348" s="17"/>
    </row>
    <row r="349" spans="9:9">
      <c r="I349" s="17"/>
    </row>
    <row r="350" spans="9:9">
      <c r="I350" s="17"/>
    </row>
    <row r="351" spans="9:9">
      <c r="I351" s="17"/>
    </row>
    <row r="352" spans="9:9">
      <c r="I352" s="17"/>
    </row>
    <row r="353" spans="9:9">
      <c r="I353" s="17"/>
    </row>
    <row r="354" spans="9:9">
      <c r="I354" s="17"/>
    </row>
    <row r="355" spans="9:9">
      <c r="I355" s="17"/>
    </row>
    <row r="356" spans="9:9">
      <c r="I356" s="17"/>
    </row>
    <row r="357" spans="9:9">
      <c r="I357" s="17"/>
    </row>
    <row r="358" spans="9:9">
      <c r="I358" s="17"/>
    </row>
    <row r="359" spans="9:9">
      <c r="I359" s="17"/>
    </row>
    <row r="360" spans="9:9">
      <c r="I360" s="17"/>
    </row>
    <row r="361" spans="9:9">
      <c r="I361" s="17"/>
    </row>
    <row r="362" spans="9:9">
      <c r="I362" s="17"/>
    </row>
    <row r="363" spans="9:9">
      <c r="I363" s="17"/>
    </row>
    <row r="364" spans="9:9">
      <c r="I364" s="17"/>
    </row>
    <row r="365" spans="9:9">
      <c r="I365" s="17"/>
    </row>
    <row r="366" spans="9:9">
      <c r="I366" s="17"/>
    </row>
    <row r="367" spans="9:9">
      <c r="I367" s="17"/>
    </row>
    <row r="368" spans="9:9">
      <c r="I368" s="17"/>
    </row>
    <row r="369" spans="9:9">
      <c r="I369" s="17"/>
    </row>
    <row r="370" spans="9:9">
      <c r="I370" s="17"/>
    </row>
    <row r="371" spans="9:9">
      <c r="I371" s="17"/>
    </row>
    <row r="372" spans="9:9">
      <c r="I372" s="17"/>
    </row>
    <row r="373" spans="9:9">
      <c r="I373" s="17"/>
    </row>
    <row r="374" spans="9:9">
      <c r="I374" s="17"/>
    </row>
    <row r="375" spans="9:9">
      <c r="I375" s="17"/>
    </row>
    <row r="376" spans="9:9">
      <c r="I376" s="17"/>
    </row>
    <row r="377" spans="9:9">
      <c r="I377" s="17"/>
    </row>
    <row r="378" spans="9:9">
      <c r="I378" s="17"/>
    </row>
    <row r="379" spans="9:9">
      <c r="I379" s="17"/>
    </row>
    <row r="380" spans="9:9">
      <c r="I380" s="17"/>
    </row>
    <row r="381" spans="9:9">
      <c r="I381" s="17"/>
    </row>
    <row r="382" spans="9:9">
      <c r="I382" s="17"/>
    </row>
    <row r="383" spans="9:9">
      <c r="I383" s="17"/>
    </row>
    <row r="384" spans="9:9">
      <c r="I384" s="17"/>
    </row>
    <row r="385" spans="9:9">
      <c r="I385" s="17"/>
    </row>
    <row r="386" spans="9:9">
      <c r="I386" s="17"/>
    </row>
    <row r="387" spans="9:9">
      <c r="I387" s="17"/>
    </row>
    <row r="388" spans="9:9">
      <c r="I388" s="17"/>
    </row>
    <row r="389" spans="9:9">
      <c r="I389" s="17"/>
    </row>
    <row r="390" spans="9:9">
      <c r="I390" s="17"/>
    </row>
    <row r="391" spans="9:9">
      <c r="I391" s="17"/>
    </row>
    <row r="392" spans="9:9">
      <c r="I392" s="17"/>
    </row>
    <row r="393" spans="9:9">
      <c r="I393" s="17"/>
    </row>
    <row r="394" spans="9:9">
      <c r="I394" s="17"/>
    </row>
    <row r="395" spans="9:9">
      <c r="I395" s="17"/>
    </row>
    <row r="396" spans="9:9">
      <c r="I396" s="17"/>
    </row>
    <row r="397" spans="9:9">
      <c r="I397" s="17"/>
    </row>
    <row r="398" spans="9:9">
      <c r="I398" s="17"/>
    </row>
  </sheetData>
  <mergeCells count="1">
    <mergeCell ref="K36:M36"/>
  </mergeCells>
  <phoneticPr fontId="0" type="noConversion"/>
  <pageMargins left="0.75" right="0.75" top="0.53" bottom="0.55000000000000004" header="0" footer="0"/>
  <pageSetup paperSize="9" scale="6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87"/>
  <sheetViews>
    <sheetView zoomScale="80" zoomScaleNormal="80" workbookViewId="0">
      <selection activeCell="L11" sqref="L11"/>
    </sheetView>
  </sheetViews>
  <sheetFormatPr defaultRowHeight="11.25"/>
  <cols>
    <col min="1" max="1" width="9.140625" style="1"/>
    <col min="2" max="3" width="9.140625" style="112"/>
    <col min="4" max="4" width="11.5703125" style="112" customWidth="1"/>
    <col min="5" max="9" width="9.140625" style="112"/>
    <col min="10" max="10" width="9.28515625" style="112" customWidth="1"/>
    <col min="11" max="11" width="9.140625" style="112"/>
    <col min="12" max="12" width="10.140625" style="112" customWidth="1"/>
    <col min="13" max="16384" width="9.140625" style="1"/>
  </cols>
  <sheetData>
    <row r="1" spans="1:19">
      <c r="A1" s="1">
        <v>15</v>
      </c>
      <c r="H1" s="412" t="s">
        <v>40</v>
      </c>
      <c r="I1" s="412"/>
      <c r="J1" s="412"/>
      <c r="K1" s="412"/>
      <c r="L1" s="412"/>
      <c r="M1" s="1">
        <v>1</v>
      </c>
      <c r="N1" s="1">
        <v>1</v>
      </c>
    </row>
    <row r="2" spans="1:19">
      <c r="I2" s="416" t="s">
        <v>41</v>
      </c>
      <c r="J2" s="416"/>
      <c r="K2" s="416"/>
      <c r="M2" s="1">
        <v>2</v>
      </c>
      <c r="Q2" s="148"/>
    </row>
    <row r="3" spans="1:19">
      <c r="I3" s="432">
        <f ca="1">VLOOKUP(Recibo!$A$1,'Tabela Final'!$A$5:$AU$155,2)</f>
        <v>40633</v>
      </c>
      <c r="J3" s="432"/>
      <c r="K3" s="432"/>
      <c r="M3" s="1">
        <v>3</v>
      </c>
    </row>
    <row r="4" spans="1:19">
      <c r="M4" s="1">
        <v>4</v>
      </c>
    </row>
    <row r="5" spans="1:19">
      <c r="M5" s="1">
        <v>5</v>
      </c>
    </row>
    <row r="6" spans="1:19" ht="12.75" customHeight="1">
      <c r="B6" s="113"/>
      <c r="C6" s="113"/>
      <c r="D6" s="113"/>
      <c r="E6" s="113"/>
      <c r="J6" s="114" t="s">
        <v>42</v>
      </c>
      <c r="M6" s="1">
        <v>6</v>
      </c>
    </row>
    <row r="7" spans="1:19" ht="12">
      <c r="B7" s="146" t="s">
        <v>145</v>
      </c>
      <c r="C7" s="146"/>
      <c r="D7" s="146"/>
      <c r="E7" s="146"/>
      <c r="F7" s="146"/>
      <c r="G7" s="147"/>
      <c r="M7" s="1">
        <v>7</v>
      </c>
    </row>
    <row r="8" spans="1:19" ht="12.75">
      <c r="G8" s="115" t="s">
        <v>66</v>
      </c>
      <c r="H8" s="116">
        <f ca="1">VLOOKUP(Recibo!$A$1,'Tabela Final'!$A$5:$AU$155,3)</f>
        <v>5</v>
      </c>
      <c r="I8" s="433" t="str">
        <f ca="1">VLOOKUP(Recibo!$A$1,'Tabela Final'!$A$5:$AU$155,4)</f>
        <v>André</v>
      </c>
      <c r="J8" s="433"/>
      <c r="K8" s="433"/>
      <c r="L8" s="433"/>
      <c r="M8" s="1">
        <v>8</v>
      </c>
    </row>
    <row r="9" spans="1:19">
      <c r="M9" s="1">
        <v>9</v>
      </c>
    </row>
    <row r="10" spans="1:19" ht="12.75" customHeight="1">
      <c r="B10" s="117" t="s">
        <v>44</v>
      </c>
      <c r="D10" s="118" t="str">
        <f ca="1">VLOOKUP(H8,' Pessoal'!A1:L33,3)</f>
        <v>Ajud. Electricista</v>
      </c>
      <c r="E10" s="119"/>
      <c r="M10" s="1">
        <v>10</v>
      </c>
    </row>
    <row r="11" spans="1:19">
      <c r="B11" s="117" t="s">
        <v>45</v>
      </c>
      <c r="C11" s="117"/>
      <c r="D11" s="118" t="str">
        <f ca="1">VLOOKUP(H8,' Pessoal'!A2:L34,12)</f>
        <v>243 438 000</v>
      </c>
      <c r="E11" s="120"/>
      <c r="M11" s="1">
        <v>11</v>
      </c>
    </row>
    <row r="12" spans="1:19">
      <c r="B12" s="434" t="s">
        <v>46</v>
      </c>
      <c r="C12" s="434"/>
      <c r="D12" s="120">
        <f ca="1">VLOOKUP(H8,' Pessoal'!A2:M34,13)</f>
        <v>11920341800</v>
      </c>
      <c r="E12" s="121"/>
      <c r="M12" s="1">
        <v>12</v>
      </c>
    </row>
    <row r="13" spans="1:19">
      <c r="M13" s="1">
        <v>13</v>
      </c>
      <c r="Q13" s="9"/>
      <c r="R13" s="9"/>
      <c r="S13" s="9"/>
    </row>
    <row r="14" spans="1:19">
      <c r="M14" s="1">
        <v>14</v>
      </c>
    </row>
    <row r="15" spans="1:19">
      <c r="B15" s="113" t="s">
        <v>47</v>
      </c>
      <c r="E15" s="113" t="s">
        <v>48</v>
      </c>
      <c r="F15" s="412" t="s">
        <v>30</v>
      </c>
      <c r="G15" s="412"/>
      <c r="M15" s="1">
        <v>15</v>
      </c>
    </row>
    <row r="16" spans="1:19" ht="12" thickBot="1">
      <c r="B16" s="144" t="s">
        <v>49</v>
      </c>
      <c r="C16" s="428" t="s">
        <v>50</v>
      </c>
      <c r="D16" s="428"/>
      <c r="E16" s="144" t="s">
        <v>51</v>
      </c>
      <c r="F16" s="428" t="s">
        <v>52</v>
      </c>
      <c r="G16" s="428"/>
      <c r="H16" s="428" t="s">
        <v>53</v>
      </c>
      <c r="I16" s="428"/>
      <c r="J16" s="428" t="s">
        <v>13</v>
      </c>
      <c r="K16" s="428"/>
      <c r="M16" s="1">
        <v>16</v>
      </c>
    </row>
    <row r="17" spans="2:19">
      <c r="B17" s="123">
        <f>$I$3</f>
        <v>40633</v>
      </c>
      <c r="C17" s="419" t="s">
        <v>54</v>
      </c>
      <c r="D17" s="420"/>
      <c r="E17" s="124">
        <f ca="1">ROUND(H17/F17,2)</f>
        <v>3.17</v>
      </c>
      <c r="F17" s="437">
        <f ca="1">VLOOKUP($A$1,'Tabela Final'!$A$5:$AU$155,9)</f>
        <v>173.33333333333334</v>
      </c>
      <c r="G17" s="431"/>
      <c r="H17" s="413">
        <f ca="1">VLOOKUP($A$1,'Tabela Final'!$A$5:$AU$155,31)-H23+J19</f>
        <v>550</v>
      </c>
      <c r="I17" s="413"/>
      <c r="J17" s="417"/>
      <c r="K17" s="418"/>
      <c r="L17" s="122"/>
      <c r="M17" s="1">
        <v>17</v>
      </c>
      <c r="Q17" s="8"/>
      <c r="S17" s="10"/>
    </row>
    <row r="18" spans="2:19">
      <c r="B18" s="123">
        <f t="shared" ref="B18:B26" si="0">$I$3</f>
        <v>40633</v>
      </c>
      <c r="C18" s="419" t="s">
        <v>55</v>
      </c>
      <c r="D18" s="420"/>
      <c r="E18" s="124">
        <f ca="1">VLOOKUP(H8,' Pessoal'!A2:M34,10)</f>
        <v>6.41</v>
      </c>
      <c r="F18" s="437">
        <f ca="1">VLOOKUP($A$1,'Tabela Final'!$A$5:$AU$155,7)</f>
        <v>22</v>
      </c>
      <c r="G18" s="431"/>
      <c r="H18" s="413">
        <f ca="1">E18*F18</f>
        <v>141.02000000000001</v>
      </c>
      <c r="I18" s="413"/>
      <c r="J18" s="417"/>
      <c r="K18" s="418"/>
      <c r="L18" s="122"/>
      <c r="M18" s="1">
        <v>18</v>
      </c>
    </row>
    <row r="19" spans="2:19">
      <c r="B19" s="123">
        <f t="shared" si="0"/>
        <v>40633</v>
      </c>
      <c r="C19" s="419" t="s">
        <v>72</v>
      </c>
      <c r="D19" s="420"/>
      <c r="E19" s="124" t="str">
        <f ca="1">IF(N(J19)&gt;0,J19/F19,"")</f>
        <v/>
      </c>
      <c r="F19" s="437" t="str">
        <f ca="1">IF(N(J19)&gt;0,J19/E17,"")</f>
        <v/>
      </c>
      <c r="G19" s="431"/>
      <c r="H19" s="413"/>
      <c r="I19" s="413"/>
      <c r="J19" s="417">
        <f ca="1">VLOOKUP($A$1,'Tabela Final'!$A$5:$AU$155,15)</f>
        <v>0</v>
      </c>
      <c r="K19" s="418"/>
      <c r="L19" s="122"/>
      <c r="M19" s="1">
        <v>19</v>
      </c>
    </row>
    <row r="20" spans="2:19" ht="11.25" hidden="1" customHeight="1">
      <c r="B20" s="123">
        <f t="shared" si="0"/>
        <v>40633</v>
      </c>
      <c r="C20" s="419" t="s">
        <v>69</v>
      </c>
      <c r="D20" s="420"/>
      <c r="E20" s="124" t="str">
        <f ca="1">IF(N(H20)&gt;0,H20/F20,"")</f>
        <v/>
      </c>
      <c r="F20" s="417" t="str">
        <f ca="1">IF(N(H20)&gt;0,VLOOKUP(Recibo!H8,'Tabela Final'!C5:AP94,14),"")</f>
        <v/>
      </c>
      <c r="G20" s="418"/>
      <c r="H20" s="438" t="str">
        <f ca="1">VLOOKUP(H8,'Tabela Final'!C5:BK757,17)</f>
        <v/>
      </c>
      <c r="I20" s="436"/>
      <c r="J20" s="417"/>
      <c r="K20" s="418"/>
      <c r="L20" s="122"/>
      <c r="M20" s="1">
        <v>20</v>
      </c>
    </row>
    <row r="21" spans="2:19" ht="11.25" hidden="1" customHeight="1">
      <c r="B21" s="123">
        <f t="shared" si="0"/>
        <v>40633</v>
      </c>
      <c r="C21" s="419" t="s">
        <v>70</v>
      </c>
      <c r="D21" s="420"/>
      <c r="E21" s="124" t="str">
        <f ca="1">IF(N(H21)&gt;0,H21/F21,"")</f>
        <v/>
      </c>
      <c r="F21" s="417" t="str">
        <f ca="1">IF(N(H21)&gt;0,VLOOKUP(Recibo!H9,'Tabela Final'!C5:AP94,15),"")</f>
        <v/>
      </c>
      <c r="G21" s="418"/>
      <c r="H21" s="438" t="str">
        <f ca="1">VLOOKUP(H8,'Tabela Final'!C5:BK757,18)</f>
        <v/>
      </c>
      <c r="I21" s="436"/>
      <c r="J21" s="417"/>
      <c r="K21" s="418"/>
      <c r="L21" s="122"/>
      <c r="M21" s="1">
        <v>21</v>
      </c>
    </row>
    <row r="22" spans="2:19" ht="11.25" hidden="1" customHeight="1">
      <c r="B22" s="123">
        <f t="shared" si="0"/>
        <v>40633</v>
      </c>
      <c r="C22" s="419" t="s">
        <v>71</v>
      </c>
      <c r="D22" s="420"/>
      <c r="E22" s="124" t="str">
        <f ca="1">IF(N(H22)&gt;0,H22/F22,"")</f>
        <v/>
      </c>
      <c r="F22" s="417" t="str">
        <f ca="1">IF(N(H22)&gt;0,VLOOKUP(Recibo!H10,'Tabela Final'!C5:AP94,16),"")</f>
        <v/>
      </c>
      <c r="G22" s="418"/>
      <c r="H22" s="438" t="str">
        <f ca="1">VLOOKUP(H8,'Tabela Final'!C5:BK757,19)</f>
        <v/>
      </c>
      <c r="I22" s="436"/>
      <c r="J22" s="417"/>
      <c r="K22" s="418"/>
      <c r="L22" s="122"/>
      <c r="M22" s="1">
        <v>22</v>
      </c>
    </row>
    <row r="23" spans="2:19">
      <c r="B23" s="123">
        <f t="shared" si="0"/>
        <v>40633</v>
      </c>
      <c r="C23" s="419" t="s">
        <v>73</v>
      </c>
      <c r="D23" s="420"/>
      <c r="E23" s="125"/>
      <c r="F23" s="126"/>
      <c r="G23" s="127"/>
      <c r="H23" s="413">
        <v>0</v>
      </c>
      <c r="I23" s="413"/>
      <c r="J23" s="122"/>
      <c r="K23" s="128"/>
      <c r="L23" s="122"/>
      <c r="M23" s="1">
        <v>23</v>
      </c>
    </row>
    <row r="24" spans="2:19">
      <c r="B24" s="123">
        <f t="shared" si="0"/>
        <v>40633</v>
      </c>
      <c r="C24" s="419" t="s">
        <v>14</v>
      </c>
      <c r="D24" s="420"/>
      <c r="E24" s="129">
        <f ca="1">VLOOKUP(Recibo!$A$1,'Tabela Final'!$A$5:$AU$155,33)</f>
        <v>0</v>
      </c>
      <c r="F24" s="417">
        <f ca="1">VLOOKUP($A$1,'Tabela Final'!$A$5:$AU$155,31)</f>
        <v>550</v>
      </c>
      <c r="G24" s="418"/>
      <c r="H24" s="435"/>
      <c r="I24" s="436"/>
      <c r="J24" s="417">
        <f ca="1">VLOOKUP($A$1,'Tabela Final'!$A$5:$AU$155,34)</f>
        <v>0</v>
      </c>
      <c r="K24" s="418"/>
      <c r="L24" s="122"/>
      <c r="M24" s="1">
        <v>24</v>
      </c>
    </row>
    <row r="25" spans="2:19">
      <c r="B25" s="123">
        <f t="shared" si="0"/>
        <v>40633</v>
      </c>
      <c r="C25" s="419" t="s">
        <v>56</v>
      </c>
      <c r="D25" s="420"/>
      <c r="E25" s="129">
        <f ca="1">VLOOKUP(H8,' Pessoal'!A2:BJ177,9)</f>
        <v>0.11</v>
      </c>
      <c r="F25" s="417">
        <f ca="1">VLOOKUP($A$1,'Tabela Final'!$A$5:$AU$155,31)</f>
        <v>550</v>
      </c>
      <c r="G25" s="418"/>
      <c r="H25" s="435"/>
      <c r="I25" s="436"/>
      <c r="J25" s="417">
        <f ca="1">VLOOKUP($A$1,'Tabela Final'!$A$5:$AU$155,32)</f>
        <v>60.5</v>
      </c>
      <c r="K25" s="418"/>
      <c r="L25" s="122"/>
      <c r="M25" s="1">
        <v>25</v>
      </c>
    </row>
    <row r="26" spans="2:19">
      <c r="B26" s="130">
        <f t="shared" si="0"/>
        <v>40633</v>
      </c>
      <c r="C26" s="423"/>
      <c r="D26" s="424"/>
      <c r="E26" s="131"/>
      <c r="F26" s="427"/>
      <c r="G26" s="426"/>
      <c r="H26" s="439"/>
      <c r="I26" s="440"/>
      <c r="J26" s="427"/>
      <c r="K26" s="426"/>
      <c r="L26" s="122"/>
      <c r="M26" s="1">
        <v>26</v>
      </c>
    </row>
    <row r="27" spans="2:19">
      <c r="C27" s="416"/>
      <c r="D27" s="416"/>
      <c r="M27" s="1">
        <v>27</v>
      </c>
    </row>
    <row r="28" spans="2:19">
      <c r="H28" s="412" t="s">
        <v>57</v>
      </c>
      <c r="I28" s="412"/>
      <c r="J28" s="412" t="s">
        <v>58</v>
      </c>
      <c r="K28" s="412"/>
      <c r="M28" s="1">
        <v>28</v>
      </c>
    </row>
    <row r="29" spans="2:19" ht="12" thickBot="1">
      <c r="B29" s="143"/>
      <c r="C29" s="428" t="s">
        <v>59</v>
      </c>
      <c r="D29" s="428"/>
      <c r="E29" s="143"/>
      <c r="H29" s="413">
        <f>SUM(H17:I26)</f>
        <v>691.02</v>
      </c>
      <c r="I29" s="413"/>
      <c r="J29" s="413">
        <f>SUM(J17:K26)</f>
        <v>60.5</v>
      </c>
      <c r="K29" s="413"/>
      <c r="M29" s="1">
        <v>29</v>
      </c>
    </row>
    <row r="30" spans="2:19">
      <c r="B30" s="416" t="s">
        <v>60</v>
      </c>
      <c r="C30" s="416"/>
      <c r="D30" s="416" t="s">
        <v>122</v>
      </c>
      <c r="E30" s="416"/>
      <c r="M30" s="1">
        <v>30</v>
      </c>
    </row>
    <row r="31" spans="2:19">
      <c r="B31" s="413">
        <f ca="1">VLOOKUP($A$1,'Tabela Final'!$A$5:$AU$155,38)</f>
        <v>1650</v>
      </c>
      <c r="C31" s="413"/>
      <c r="D31" s="413">
        <f ca="1">VLOOKUP($A$1,'Tabela Final'!$A$5:$AU$155,39)</f>
        <v>0</v>
      </c>
      <c r="E31" s="413"/>
      <c r="F31" s="412" t="s">
        <v>62</v>
      </c>
      <c r="G31" s="412"/>
      <c r="H31" s="412"/>
      <c r="I31" s="412"/>
      <c r="J31" s="132">
        <f>H29-J29</f>
        <v>630.52</v>
      </c>
      <c r="K31" s="132"/>
      <c r="M31" s="1">
        <v>31</v>
      </c>
    </row>
    <row r="32" spans="2:19">
      <c r="B32" s="413"/>
      <c r="C32" s="413"/>
      <c r="M32" s="1">
        <v>32</v>
      </c>
    </row>
    <row r="33" spans="2:13">
      <c r="D33" s="133"/>
      <c r="M33" s="1">
        <v>33</v>
      </c>
    </row>
    <row r="34" spans="2:13">
      <c r="F34" s="412" t="s">
        <v>63</v>
      </c>
      <c r="G34" s="412"/>
      <c r="H34" s="412"/>
      <c r="I34" s="412"/>
      <c r="J34" s="412"/>
      <c r="K34" s="412"/>
      <c r="M34" s="1">
        <v>34</v>
      </c>
    </row>
    <row r="35" spans="2:13">
      <c r="M35" s="1">
        <v>35</v>
      </c>
    </row>
    <row r="36" spans="2:13">
      <c r="F36" s="113" t="s">
        <v>64</v>
      </c>
      <c r="G36" s="134"/>
      <c r="H36" s="134"/>
      <c r="I36" s="134"/>
      <c r="J36" s="134"/>
      <c r="M36" s="1">
        <v>36</v>
      </c>
    </row>
    <row r="37" spans="2:13">
      <c r="K37" s="422" t="s">
        <v>65</v>
      </c>
      <c r="L37" s="422"/>
      <c r="M37" s="1">
        <v>37</v>
      </c>
    </row>
    <row r="38" spans="2:13">
      <c r="B38" s="421" t="s">
        <v>146</v>
      </c>
      <c r="C38" s="421"/>
      <c r="D38" s="421"/>
      <c r="E38" s="421"/>
      <c r="F38" s="421"/>
      <c r="G38" s="421"/>
      <c r="H38" s="421"/>
      <c r="I38" s="421"/>
      <c r="J38" s="421"/>
      <c r="K38" s="421"/>
      <c r="L38" s="421"/>
      <c r="M38" s="1">
        <v>38</v>
      </c>
    </row>
    <row r="39" spans="2:13">
      <c r="B39" s="135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">
        <v>1</v>
      </c>
    </row>
    <row r="40" spans="2:13">
      <c r="B40" s="135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">
        <v>2</v>
      </c>
    </row>
    <row r="41" spans="2:13">
      <c r="G41" s="136"/>
      <c r="H41" s="136"/>
      <c r="I41" s="136"/>
      <c r="J41" s="136"/>
      <c r="K41" s="136"/>
      <c r="L41" s="136"/>
      <c r="M41" s="1">
        <v>5</v>
      </c>
    </row>
    <row r="42" spans="2:13">
      <c r="B42" s="137"/>
      <c r="C42" s="137"/>
      <c r="D42" s="137"/>
      <c r="E42" s="137"/>
      <c r="F42" s="137"/>
      <c r="G42" s="138"/>
      <c r="H42" s="138"/>
      <c r="I42" s="138"/>
      <c r="J42" s="138"/>
      <c r="K42" s="138"/>
      <c r="L42" s="138"/>
      <c r="M42" s="1">
        <v>6</v>
      </c>
    </row>
    <row r="43" spans="2:13">
      <c r="G43" s="136"/>
      <c r="H43" s="136"/>
      <c r="I43" s="136"/>
      <c r="J43" s="136"/>
      <c r="K43" s="136"/>
      <c r="L43" s="136"/>
      <c r="M43" s="1">
        <v>7</v>
      </c>
    </row>
    <row r="44" spans="2:13">
      <c r="G44" s="136"/>
      <c r="H44" s="136"/>
      <c r="I44" s="136"/>
      <c r="J44" s="136"/>
      <c r="K44" s="136"/>
      <c r="L44" s="136"/>
      <c r="M44" s="1">
        <v>8</v>
      </c>
    </row>
    <row r="45" spans="2:13">
      <c r="G45" s="136"/>
      <c r="H45" s="136"/>
      <c r="I45" s="136"/>
      <c r="J45" s="136"/>
      <c r="K45" s="136"/>
      <c r="L45" s="136"/>
      <c r="M45" s="1">
        <v>9</v>
      </c>
    </row>
    <row r="46" spans="2:13">
      <c r="B46" s="113"/>
      <c r="C46" s="113"/>
      <c r="D46" s="113"/>
      <c r="E46" s="113"/>
      <c r="G46" s="136"/>
      <c r="H46" s="136"/>
      <c r="I46" s="136"/>
      <c r="J46" s="136"/>
      <c r="K46" s="136"/>
      <c r="L46" s="136"/>
      <c r="M46" s="1">
        <v>10</v>
      </c>
    </row>
    <row r="47" spans="2:13">
      <c r="M47" s="1">
        <v>11</v>
      </c>
    </row>
    <row r="48" spans="2:13">
      <c r="H48" s="412" t="s">
        <v>40</v>
      </c>
      <c r="I48" s="412"/>
      <c r="J48" s="412"/>
      <c r="K48" s="412"/>
      <c r="L48" s="412"/>
      <c r="M48" s="1">
        <v>12</v>
      </c>
    </row>
    <row r="49" spans="2:13">
      <c r="I49" s="416" t="s">
        <v>41</v>
      </c>
      <c r="J49" s="416"/>
      <c r="K49" s="416"/>
      <c r="M49" s="1">
        <v>13</v>
      </c>
    </row>
    <row r="50" spans="2:13">
      <c r="I50" s="432">
        <f>I3</f>
        <v>40633</v>
      </c>
      <c r="J50" s="432"/>
      <c r="K50" s="432"/>
      <c r="M50" s="1">
        <v>14</v>
      </c>
    </row>
    <row r="51" spans="2:13">
      <c r="M51" s="1">
        <v>15</v>
      </c>
    </row>
    <row r="52" spans="2:13">
      <c r="M52" s="1">
        <v>16</v>
      </c>
    </row>
    <row r="53" spans="2:13" ht="12.75" customHeight="1">
      <c r="B53" s="113"/>
      <c r="C53" s="113"/>
      <c r="D53" s="113"/>
      <c r="E53" s="113"/>
      <c r="J53" s="114" t="s">
        <v>43</v>
      </c>
      <c r="M53" s="1">
        <v>17</v>
      </c>
    </row>
    <row r="54" spans="2:13" ht="12">
      <c r="B54" s="146" t="s">
        <v>145</v>
      </c>
      <c r="C54" s="146"/>
      <c r="D54" s="146"/>
      <c r="E54" s="146"/>
      <c r="F54" s="146"/>
      <c r="G54" s="147"/>
      <c r="M54" s="1">
        <v>18</v>
      </c>
    </row>
    <row r="55" spans="2:13" ht="12.75">
      <c r="G55" s="115" t="s">
        <v>66</v>
      </c>
      <c r="H55" s="116">
        <f>H8</f>
        <v>5</v>
      </c>
      <c r="I55" s="433" t="str">
        <f>I8</f>
        <v>André</v>
      </c>
      <c r="J55" s="433"/>
      <c r="K55" s="433"/>
      <c r="L55" s="433"/>
      <c r="M55" s="1">
        <v>19</v>
      </c>
    </row>
    <row r="56" spans="2:13">
      <c r="M56" s="1">
        <v>20</v>
      </c>
    </row>
    <row r="57" spans="2:13" ht="12.75" customHeight="1">
      <c r="B57" s="117" t="s">
        <v>44</v>
      </c>
      <c r="D57" s="120" t="str">
        <f>D10</f>
        <v>Ajud. Electricista</v>
      </c>
      <c r="E57" s="119"/>
      <c r="M57" s="1">
        <v>21</v>
      </c>
    </row>
    <row r="58" spans="2:13">
      <c r="B58" s="117" t="s">
        <v>45</v>
      </c>
      <c r="C58" s="117"/>
      <c r="D58" s="120" t="str">
        <f>D11</f>
        <v>243 438 000</v>
      </c>
      <c r="E58" s="120"/>
      <c r="M58" s="1">
        <v>22</v>
      </c>
    </row>
    <row r="59" spans="2:13">
      <c r="B59" s="434" t="s">
        <v>46</v>
      </c>
      <c r="C59" s="434"/>
      <c r="D59" s="120">
        <f>D12</f>
        <v>11920341800</v>
      </c>
      <c r="E59" s="121"/>
      <c r="M59" s="1">
        <v>23</v>
      </c>
    </row>
    <row r="60" spans="2:13">
      <c r="M60" s="1">
        <v>24</v>
      </c>
    </row>
    <row r="61" spans="2:13">
      <c r="M61" s="1">
        <v>25</v>
      </c>
    </row>
    <row r="62" spans="2:13">
      <c r="B62" s="113" t="s">
        <v>47</v>
      </c>
      <c r="E62" s="113" t="s">
        <v>48</v>
      </c>
      <c r="F62" s="412" t="s">
        <v>30</v>
      </c>
      <c r="G62" s="412"/>
      <c r="M62" s="1">
        <v>26</v>
      </c>
    </row>
    <row r="63" spans="2:13" ht="12" thickBot="1">
      <c r="B63" s="144" t="s">
        <v>49</v>
      </c>
      <c r="C63" s="428" t="s">
        <v>50</v>
      </c>
      <c r="D63" s="428"/>
      <c r="E63" s="144" t="s">
        <v>51</v>
      </c>
      <c r="F63" s="428" t="s">
        <v>52</v>
      </c>
      <c r="G63" s="428"/>
      <c r="H63" s="428" t="s">
        <v>53</v>
      </c>
      <c r="I63" s="428"/>
      <c r="J63" s="428" t="s">
        <v>13</v>
      </c>
      <c r="K63" s="428"/>
      <c r="M63" s="1">
        <v>27</v>
      </c>
    </row>
    <row r="64" spans="2:13">
      <c r="B64" s="123">
        <f t="shared" ref="B64:B72" si="1">$I$3</f>
        <v>40633</v>
      </c>
      <c r="C64" s="419" t="str">
        <f>C17</f>
        <v>Vencimento Base</v>
      </c>
      <c r="D64" s="420"/>
      <c r="E64" s="124">
        <f>E17</f>
        <v>3.17</v>
      </c>
      <c r="F64" s="430">
        <f>F17</f>
        <v>173.33333333333334</v>
      </c>
      <c r="G64" s="431"/>
      <c r="H64" s="413">
        <f>H17</f>
        <v>550</v>
      </c>
      <c r="I64" s="413"/>
      <c r="J64" s="417"/>
      <c r="K64" s="429"/>
      <c r="L64" s="122"/>
      <c r="M64" s="1">
        <v>28</v>
      </c>
    </row>
    <row r="65" spans="2:13" ht="11.25" customHeight="1">
      <c r="B65" s="123">
        <f t="shared" si="1"/>
        <v>40633</v>
      </c>
      <c r="C65" s="419" t="str">
        <f t="shared" ref="C65:C70" si="2">C18</f>
        <v>Sub. Refeição</v>
      </c>
      <c r="D65" s="420"/>
      <c r="E65" s="124">
        <f t="shared" ref="E65:F69" si="3">E18</f>
        <v>6.41</v>
      </c>
      <c r="F65" s="430">
        <f t="shared" si="3"/>
        <v>22</v>
      </c>
      <c r="G65" s="431"/>
      <c r="H65" s="417">
        <f>H18</f>
        <v>141.02000000000001</v>
      </c>
      <c r="I65" s="418"/>
      <c r="J65" s="417"/>
      <c r="K65" s="429"/>
      <c r="L65" s="122"/>
      <c r="M65" s="1">
        <v>29</v>
      </c>
    </row>
    <row r="66" spans="2:13" ht="11.25" customHeight="1">
      <c r="B66" s="123">
        <f t="shared" si="1"/>
        <v>40633</v>
      </c>
      <c r="C66" s="419" t="str">
        <f t="shared" si="2"/>
        <v>Faltas</v>
      </c>
      <c r="D66" s="420"/>
      <c r="E66" s="124" t="str">
        <f t="shared" si="3"/>
        <v/>
      </c>
      <c r="F66" s="415" t="str">
        <f t="shared" si="3"/>
        <v/>
      </c>
      <c r="G66" s="431"/>
      <c r="H66" s="417"/>
      <c r="I66" s="418"/>
      <c r="J66" s="413">
        <f>J19</f>
        <v>0</v>
      </c>
      <c r="K66" s="429"/>
      <c r="L66" s="122"/>
      <c r="M66" s="1">
        <v>30</v>
      </c>
    </row>
    <row r="67" spans="2:13" ht="11.25" hidden="1" customHeight="1">
      <c r="B67" s="123">
        <f t="shared" si="1"/>
        <v>40633</v>
      </c>
      <c r="C67" s="419" t="str">
        <f t="shared" si="2"/>
        <v>Horas Extra 50%</v>
      </c>
      <c r="D67" s="420"/>
      <c r="E67" s="124" t="str">
        <f t="shared" si="3"/>
        <v/>
      </c>
      <c r="F67" s="413" t="str">
        <f t="shared" ref="F67:F72" si="4">F20</f>
        <v/>
      </c>
      <c r="G67" s="418"/>
      <c r="H67" s="413" t="str">
        <f>H20</f>
        <v/>
      </c>
      <c r="I67" s="418"/>
      <c r="J67" s="417"/>
      <c r="K67" s="429"/>
      <c r="L67" s="122"/>
      <c r="M67" s="1">
        <v>31</v>
      </c>
    </row>
    <row r="68" spans="2:13" ht="11.25" hidden="1" customHeight="1">
      <c r="B68" s="123">
        <f t="shared" si="1"/>
        <v>40633</v>
      </c>
      <c r="C68" s="419" t="str">
        <f t="shared" si="2"/>
        <v>Horas Extra 75%</v>
      </c>
      <c r="D68" s="420"/>
      <c r="E68" s="124" t="str">
        <f t="shared" si="3"/>
        <v/>
      </c>
      <c r="F68" s="413" t="str">
        <f t="shared" si="4"/>
        <v/>
      </c>
      <c r="G68" s="418"/>
      <c r="H68" s="413" t="str">
        <f>H21</f>
        <v/>
      </c>
      <c r="I68" s="418"/>
      <c r="J68" s="417"/>
      <c r="K68" s="429"/>
      <c r="L68" s="122"/>
      <c r="M68" s="1">
        <v>32</v>
      </c>
    </row>
    <row r="69" spans="2:13" ht="11.25" hidden="1" customHeight="1">
      <c r="B69" s="123">
        <f t="shared" si="1"/>
        <v>40633</v>
      </c>
      <c r="C69" s="419" t="str">
        <f t="shared" si="2"/>
        <v>Horas Extra 100%</v>
      </c>
      <c r="D69" s="420"/>
      <c r="E69" s="124" t="str">
        <f t="shared" si="3"/>
        <v/>
      </c>
      <c r="F69" s="413" t="str">
        <f t="shared" si="4"/>
        <v/>
      </c>
      <c r="G69" s="418"/>
      <c r="H69" s="413" t="str">
        <f>H22</f>
        <v/>
      </c>
      <c r="I69" s="418"/>
      <c r="J69" s="417"/>
      <c r="K69" s="429"/>
      <c r="L69" s="122"/>
      <c r="M69" s="1">
        <v>33</v>
      </c>
    </row>
    <row r="70" spans="2:13" ht="11.25" customHeight="1">
      <c r="B70" s="123">
        <f t="shared" si="1"/>
        <v>40633</v>
      </c>
      <c r="C70" s="419" t="str">
        <f t="shared" si="2"/>
        <v>Comissões /  Complementos</v>
      </c>
      <c r="D70" s="420"/>
      <c r="E70" s="125"/>
      <c r="F70" s="139"/>
      <c r="G70" s="127"/>
      <c r="H70" s="417">
        <f>H23</f>
        <v>0</v>
      </c>
      <c r="I70" s="418"/>
      <c r="L70" s="122"/>
      <c r="M70" s="1">
        <v>34</v>
      </c>
    </row>
    <row r="71" spans="2:13">
      <c r="B71" s="123">
        <f t="shared" si="1"/>
        <v>40633</v>
      </c>
      <c r="C71" s="419" t="str">
        <f>C24</f>
        <v>IRS</v>
      </c>
      <c r="D71" s="420"/>
      <c r="E71" s="129">
        <f>E24</f>
        <v>0</v>
      </c>
      <c r="F71" s="413">
        <f t="shared" si="4"/>
        <v>550</v>
      </c>
      <c r="G71" s="418"/>
      <c r="H71" s="417"/>
      <c r="I71" s="418"/>
      <c r="J71" s="417">
        <f>J24</f>
        <v>0</v>
      </c>
      <c r="K71" s="429"/>
      <c r="L71" s="122"/>
      <c r="M71" s="1">
        <v>35</v>
      </c>
    </row>
    <row r="72" spans="2:13">
      <c r="B72" s="123">
        <f t="shared" si="1"/>
        <v>40633</v>
      </c>
      <c r="C72" s="419" t="str">
        <f>C25</f>
        <v>T.S.U.</v>
      </c>
      <c r="D72" s="420"/>
      <c r="E72" s="140">
        <f>E25</f>
        <v>0.11</v>
      </c>
      <c r="F72" s="413">
        <f t="shared" si="4"/>
        <v>550</v>
      </c>
      <c r="G72" s="418"/>
      <c r="H72" s="417"/>
      <c r="I72" s="418"/>
      <c r="J72" s="417">
        <f>J25</f>
        <v>60.5</v>
      </c>
      <c r="K72" s="429"/>
      <c r="L72" s="122"/>
      <c r="M72" s="1">
        <v>36</v>
      </c>
    </row>
    <row r="73" spans="2:13">
      <c r="B73" s="130"/>
      <c r="C73" s="423"/>
      <c r="D73" s="424"/>
      <c r="E73" s="131"/>
      <c r="F73" s="425"/>
      <c r="G73" s="426"/>
      <c r="H73" s="427"/>
      <c r="I73" s="426"/>
      <c r="J73" s="427"/>
      <c r="K73" s="426"/>
      <c r="L73" s="122"/>
      <c r="M73" s="1">
        <v>37</v>
      </c>
    </row>
    <row r="74" spans="2:13">
      <c r="C74" s="416"/>
      <c r="D74" s="416"/>
      <c r="M74" s="1">
        <v>38</v>
      </c>
    </row>
    <row r="75" spans="2:13">
      <c r="H75" s="412" t="s">
        <v>57</v>
      </c>
      <c r="I75" s="412"/>
      <c r="J75" s="412" t="s">
        <v>58</v>
      </c>
      <c r="K75" s="412"/>
      <c r="M75" s="1">
        <v>39</v>
      </c>
    </row>
    <row r="76" spans="2:13">
      <c r="C76" s="412"/>
      <c r="D76" s="412"/>
      <c r="H76" s="413">
        <f>SUM(H64:I73)</f>
        <v>691.02</v>
      </c>
      <c r="I76" s="413"/>
      <c r="J76" s="413">
        <f>SUM(J64:K73)</f>
        <v>60.5</v>
      </c>
      <c r="K76" s="413"/>
      <c r="M76" s="1">
        <v>40</v>
      </c>
    </row>
    <row r="77" spans="2:13" ht="12" thickBot="1">
      <c r="B77" s="145"/>
      <c r="C77" s="428" t="s">
        <v>59</v>
      </c>
      <c r="D77" s="428"/>
      <c r="E77" s="145"/>
      <c r="M77" s="1">
        <v>41</v>
      </c>
    </row>
    <row r="78" spans="2:13">
      <c r="B78" s="415" t="s">
        <v>60</v>
      </c>
      <c r="C78" s="415"/>
      <c r="D78" s="416" t="s">
        <v>122</v>
      </c>
      <c r="E78" s="416"/>
      <c r="F78" s="412"/>
      <c r="G78" s="412"/>
      <c r="H78" s="412"/>
      <c r="I78" s="412"/>
      <c r="J78" s="414"/>
      <c r="K78" s="414"/>
      <c r="M78" s="1">
        <v>42</v>
      </c>
    </row>
    <row r="79" spans="2:13">
      <c r="B79" s="413">
        <f>B31</f>
        <v>1650</v>
      </c>
      <c r="C79" s="413"/>
      <c r="D79" s="413">
        <f>D31</f>
        <v>0</v>
      </c>
      <c r="E79" s="413"/>
      <c r="F79" s="114" t="s">
        <v>62</v>
      </c>
      <c r="G79" s="114"/>
      <c r="H79" s="114"/>
      <c r="I79" s="114"/>
      <c r="J79" s="132">
        <f>H76-J76</f>
        <v>630.52</v>
      </c>
      <c r="M79" s="1">
        <v>43</v>
      </c>
    </row>
    <row r="80" spans="2:13">
      <c r="D80" s="133"/>
      <c r="M80" s="1">
        <v>44</v>
      </c>
    </row>
    <row r="81" spans="2:13">
      <c r="F81" s="412"/>
      <c r="G81" s="412"/>
      <c r="H81" s="412"/>
      <c r="I81" s="412"/>
      <c r="J81" s="412"/>
      <c r="K81" s="412"/>
      <c r="M81" s="1">
        <v>45</v>
      </c>
    </row>
    <row r="82" spans="2:13">
      <c r="B82" s="141" t="s">
        <v>95</v>
      </c>
      <c r="C82" s="141"/>
      <c r="M82" s="1">
        <v>46</v>
      </c>
    </row>
    <row r="83" spans="2:13">
      <c r="F83" s="113"/>
      <c r="G83" s="142"/>
      <c r="H83" s="142"/>
      <c r="I83" s="142"/>
      <c r="J83" s="142"/>
      <c r="M83" s="1">
        <v>47</v>
      </c>
    </row>
    <row r="84" spans="2:13">
      <c r="K84" s="422" t="s">
        <v>65</v>
      </c>
      <c r="L84" s="422"/>
      <c r="M84" s="1">
        <v>48</v>
      </c>
    </row>
    <row r="85" spans="2:13">
      <c r="B85" s="421" t="s">
        <v>146</v>
      </c>
      <c r="C85" s="421"/>
      <c r="D85" s="421"/>
      <c r="E85" s="421"/>
      <c r="F85" s="421"/>
      <c r="G85" s="421"/>
      <c r="H85" s="421"/>
      <c r="I85" s="421"/>
      <c r="J85" s="421"/>
      <c r="K85" s="421"/>
      <c r="L85" s="421"/>
      <c r="M85" s="1">
        <v>49</v>
      </c>
    </row>
    <row r="87" spans="2:13">
      <c r="J87" s="441" t="s">
        <v>74</v>
      </c>
      <c r="K87" s="441"/>
      <c r="L87" s="441"/>
    </row>
  </sheetData>
  <mergeCells count="128">
    <mergeCell ref="J72:K72"/>
    <mergeCell ref="J71:K71"/>
    <mergeCell ref="J68:K68"/>
    <mergeCell ref="J22:K22"/>
    <mergeCell ref="J25:K25"/>
    <mergeCell ref="F24:G24"/>
    <mergeCell ref="J24:K24"/>
    <mergeCell ref="H24:I24"/>
    <mergeCell ref="J87:L87"/>
    <mergeCell ref="H71:I71"/>
    <mergeCell ref="H72:I72"/>
    <mergeCell ref="J64:K64"/>
    <mergeCell ref="J65:K65"/>
    <mergeCell ref="H17:I17"/>
    <mergeCell ref="J18:K18"/>
    <mergeCell ref="H19:I19"/>
    <mergeCell ref="J17:K17"/>
    <mergeCell ref="J26:K26"/>
    <mergeCell ref="F26:G26"/>
    <mergeCell ref="H23:I23"/>
    <mergeCell ref="H22:I22"/>
    <mergeCell ref="F22:G22"/>
    <mergeCell ref="H26:I26"/>
    <mergeCell ref="J21:K21"/>
    <mergeCell ref="J20:K20"/>
    <mergeCell ref="H20:I20"/>
    <mergeCell ref="H21:I21"/>
    <mergeCell ref="J19:K19"/>
    <mergeCell ref="H18:I18"/>
    <mergeCell ref="H1:L1"/>
    <mergeCell ref="I2:K2"/>
    <mergeCell ref="H16:I16"/>
    <mergeCell ref="J16:K16"/>
    <mergeCell ref="I3:K3"/>
    <mergeCell ref="I8:L8"/>
    <mergeCell ref="F18:G18"/>
    <mergeCell ref="C18:D18"/>
    <mergeCell ref="B12:C12"/>
    <mergeCell ref="C16:D16"/>
    <mergeCell ref="C17:D17"/>
    <mergeCell ref="F15:G15"/>
    <mergeCell ref="F16:G16"/>
    <mergeCell ref="F17:G17"/>
    <mergeCell ref="C24:D24"/>
    <mergeCell ref="F21:G21"/>
    <mergeCell ref="C19:D19"/>
    <mergeCell ref="C21:D21"/>
    <mergeCell ref="C22:D22"/>
    <mergeCell ref="C23:D23"/>
    <mergeCell ref="C20:D20"/>
    <mergeCell ref="F20:G20"/>
    <mergeCell ref="F19:G19"/>
    <mergeCell ref="H25:I25"/>
    <mergeCell ref="J29:K29"/>
    <mergeCell ref="H29:I29"/>
    <mergeCell ref="F25:G25"/>
    <mergeCell ref="C29:D29"/>
    <mergeCell ref="D31:E31"/>
    <mergeCell ref="F31:I31"/>
    <mergeCell ref="B30:C30"/>
    <mergeCell ref="C27:D27"/>
    <mergeCell ref="H28:I28"/>
    <mergeCell ref="J28:K28"/>
    <mergeCell ref="I49:K49"/>
    <mergeCell ref="B32:C32"/>
    <mergeCell ref="K37:L37"/>
    <mergeCell ref="C26:D26"/>
    <mergeCell ref="C25:D25"/>
    <mergeCell ref="B38:L38"/>
    <mergeCell ref="F64:G64"/>
    <mergeCell ref="D30:E30"/>
    <mergeCell ref="F34:K34"/>
    <mergeCell ref="B31:C31"/>
    <mergeCell ref="F62:G62"/>
    <mergeCell ref="F63:G63"/>
    <mergeCell ref="H63:I63"/>
    <mergeCell ref="I50:K50"/>
    <mergeCell ref="I55:L55"/>
    <mergeCell ref="B59:C59"/>
    <mergeCell ref="C63:D63"/>
    <mergeCell ref="C68:D68"/>
    <mergeCell ref="F66:G66"/>
    <mergeCell ref="F67:G67"/>
    <mergeCell ref="J66:K66"/>
    <mergeCell ref="J67:K67"/>
    <mergeCell ref="C66:D66"/>
    <mergeCell ref="F68:G68"/>
    <mergeCell ref="H64:I64"/>
    <mergeCell ref="J69:K69"/>
    <mergeCell ref="H68:I68"/>
    <mergeCell ref="F65:G65"/>
    <mergeCell ref="C69:D69"/>
    <mergeCell ref="C64:D64"/>
    <mergeCell ref="J63:K63"/>
    <mergeCell ref="H66:I66"/>
    <mergeCell ref="H48:L48"/>
    <mergeCell ref="C70:D70"/>
    <mergeCell ref="C65:D65"/>
    <mergeCell ref="C67:D67"/>
    <mergeCell ref="H69:I69"/>
    <mergeCell ref="H65:I65"/>
    <mergeCell ref="H67:I67"/>
    <mergeCell ref="F69:G69"/>
    <mergeCell ref="B85:L85"/>
    <mergeCell ref="K84:L84"/>
    <mergeCell ref="C71:D71"/>
    <mergeCell ref="C73:D73"/>
    <mergeCell ref="F73:G73"/>
    <mergeCell ref="H73:I73"/>
    <mergeCell ref="J73:K73"/>
    <mergeCell ref="J76:K76"/>
    <mergeCell ref="J75:K75"/>
    <mergeCell ref="C77:D77"/>
    <mergeCell ref="H70:I70"/>
    <mergeCell ref="C74:D74"/>
    <mergeCell ref="H75:I75"/>
    <mergeCell ref="C76:D76"/>
    <mergeCell ref="H76:I76"/>
    <mergeCell ref="C72:D72"/>
    <mergeCell ref="F71:G71"/>
    <mergeCell ref="F72:G72"/>
    <mergeCell ref="F81:K81"/>
    <mergeCell ref="B79:C79"/>
    <mergeCell ref="D79:E79"/>
    <mergeCell ref="F78:I78"/>
    <mergeCell ref="J78:K78"/>
    <mergeCell ref="B78:C78"/>
    <mergeCell ref="D78:E78"/>
  </mergeCells>
  <phoneticPr fontId="0" type="noConversion"/>
  <printOptions horizontalCentered="1"/>
  <pageMargins left="0.6692913385826772" right="0.55000000000000004" top="0.27559055118110237" bottom="0.27559055118110237" header="0" footer="0.31496062992125984"/>
  <pageSetup paperSize="9" scale="88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83"/>
  <sheetViews>
    <sheetView zoomScale="80" zoomScaleNormal="80" workbookViewId="0">
      <selection activeCell="B39" sqref="B39"/>
    </sheetView>
  </sheetViews>
  <sheetFormatPr defaultRowHeight="11.25"/>
  <cols>
    <col min="1" max="1" width="9.140625" style="1"/>
    <col min="2" max="3" width="9.140625" style="112"/>
    <col min="4" max="4" width="11.5703125" style="112" customWidth="1"/>
    <col min="5" max="9" width="9.140625" style="112"/>
    <col min="10" max="10" width="9.28515625" style="112" customWidth="1"/>
    <col min="11" max="11" width="9.140625" style="112"/>
    <col min="12" max="12" width="9.7109375" style="112" customWidth="1"/>
    <col min="13" max="16384" width="9.140625" style="1"/>
  </cols>
  <sheetData>
    <row r="1" spans="1:12">
      <c r="A1" s="1">
        <v>69</v>
      </c>
      <c r="H1" s="412" t="s">
        <v>40</v>
      </c>
      <c r="I1" s="412"/>
      <c r="J1" s="412"/>
      <c r="K1" s="412"/>
      <c r="L1" s="412"/>
    </row>
    <row r="2" spans="1:12">
      <c r="I2" s="416" t="s">
        <v>41</v>
      </c>
      <c r="J2" s="416"/>
      <c r="K2" s="416"/>
    </row>
    <row r="3" spans="1:12">
      <c r="I3" s="432">
        <f ca="1">VLOOKUP('Recibo Férias-Natal'!$A$1,'Tabela Final'!$A$5:$AU$155,2)</f>
        <v>40877</v>
      </c>
      <c r="J3" s="432"/>
      <c r="K3" s="432"/>
    </row>
    <row r="6" spans="1:12" ht="12.75" customHeight="1">
      <c r="B6" s="113"/>
      <c r="C6" s="113"/>
      <c r="D6" s="113"/>
      <c r="E6" s="113"/>
      <c r="J6" s="114" t="s">
        <v>42</v>
      </c>
    </row>
    <row r="7" spans="1:12">
      <c r="B7" s="451" t="s">
        <v>145</v>
      </c>
      <c r="C7" s="451"/>
      <c r="D7" s="451"/>
      <c r="E7" s="451"/>
      <c r="F7" s="451"/>
    </row>
    <row r="8" spans="1:12" ht="12.75">
      <c r="G8" s="115" t="s">
        <v>66</v>
      </c>
      <c r="H8" s="116">
        <f ca="1">VLOOKUP('Recibo Férias-Natal'!$A$1,'Tabela Final'!$A$5:$AU$155,3)</f>
        <v>5</v>
      </c>
      <c r="I8" s="196" t="str">
        <f ca="1">VLOOKUP('Recibo Férias-Natal'!$A$1,'Tabela Final'!$A$5:$AU$155,4)</f>
        <v>André</v>
      </c>
      <c r="J8" s="196"/>
      <c r="K8" s="196"/>
      <c r="L8" s="87"/>
    </row>
    <row r="10" spans="1:12" ht="12.75" customHeight="1">
      <c r="B10" s="117" t="s">
        <v>44</v>
      </c>
      <c r="D10" s="119" t="str">
        <f ca="1">VLOOKUP(H8,'Tabela Final'!C5:E44,3)</f>
        <v>Ajud. Electricista</v>
      </c>
      <c r="E10" s="119"/>
    </row>
    <row r="11" spans="1:12">
      <c r="B11" s="117" t="s">
        <v>45</v>
      </c>
      <c r="C11" s="117"/>
      <c r="D11" s="119" t="str">
        <f ca="1">VLOOKUP(H8,' Pessoal'!A2:L34,12)</f>
        <v>243 438 000</v>
      </c>
      <c r="E11" s="120"/>
    </row>
    <row r="12" spans="1:12">
      <c r="B12" s="434" t="s">
        <v>46</v>
      </c>
      <c r="C12" s="434"/>
      <c r="D12" s="450">
        <f ca="1">VLOOKUP(H8,' Pessoal'!A2:M34,13)</f>
        <v>11920341800</v>
      </c>
      <c r="E12" s="450"/>
    </row>
    <row r="15" spans="1:12">
      <c r="B15" s="113" t="s">
        <v>47</v>
      </c>
      <c r="E15" s="113" t="s">
        <v>48</v>
      </c>
      <c r="F15" s="412" t="s">
        <v>30</v>
      </c>
      <c r="G15" s="412"/>
    </row>
    <row r="16" spans="1:12" ht="12" thickBot="1">
      <c r="B16" s="144" t="s">
        <v>49</v>
      </c>
      <c r="C16" s="428" t="s">
        <v>50</v>
      </c>
      <c r="D16" s="428"/>
      <c r="E16" s="144" t="s">
        <v>51</v>
      </c>
      <c r="F16" s="428" t="s">
        <v>52</v>
      </c>
      <c r="G16" s="428"/>
      <c r="H16" s="428" t="s">
        <v>53</v>
      </c>
      <c r="I16" s="428"/>
      <c r="J16" s="428" t="s">
        <v>13</v>
      </c>
      <c r="K16" s="428"/>
    </row>
    <row r="17" spans="2:17">
      <c r="B17" s="123">
        <f t="shared" ref="B17:B25" si="0">$I$3</f>
        <v>40877</v>
      </c>
      <c r="C17" s="419" t="s">
        <v>131</v>
      </c>
      <c r="D17" s="420"/>
      <c r="E17" s="124">
        <f ca="1">ROUND(H17/F17,2)</f>
        <v>18.329999999999998</v>
      </c>
      <c r="F17" s="430">
        <v>30</v>
      </c>
      <c r="G17" s="431"/>
      <c r="H17" s="429">
        <f ca="1">VLOOKUP($A$1,'Tabela Final'!$A$5:$AU$155,30)-VLOOKUP($A$1,'Tabela Final'!$A$5:$AU$155,23)-VLOOKUP($A$1,'Tabela Final'!$A$5:$AU$155,28)</f>
        <v>550</v>
      </c>
      <c r="I17" s="429"/>
      <c r="J17" s="417"/>
      <c r="K17" s="418"/>
    </row>
    <row r="18" spans="2:17">
      <c r="B18" s="123">
        <f t="shared" si="0"/>
        <v>40877</v>
      </c>
      <c r="C18" s="142"/>
      <c r="D18" s="142"/>
      <c r="E18" s="124"/>
      <c r="F18" s="442"/>
      <c r="G18" s="443"/>
      <c r="H18" s="429">
        <f ca="1">VLOOKUP($A$1,'Tabela Final'!$A$5:$AU$155,23)</f>
        <v>0</v>
      </c>
      <c r="I18" s="429"/>
      <c r="J18" s="417"/>
      <c r="K18" s="418"/>
    </row>
    <row r="19" spans="2:17">
      <c r="B19" s="123">
        <f t="shared" si="0"/>
        <v>40877</v>
      </c>
      <c r="C19" s="419"/>
      <c r="D19" s="420"/>
      <c r="E19" s="124"/>
      <c r="F19" s="442"/>
      <c r="G19" s="443"/>
      <c r="H19" s="429">
        <f ca="1">VLOOKUP($A$1,'Tabela Final'!$A$5:$AU$155,28)</f>
        <v>0</v>
      </c>
      <c r="I19" s="429"/>
      <c r="J19" s="417" t="str">
        <f ca="1">IF(N(VLOOKUP(H8,'Tabela Final'!C5:N44,12))&gt;0,VLOOKUP(H8,'Tabela Final'!C5:N44,12),"")</f>
        <v/>
      </c>
      <c r="K19" s="418"/>
    </row>
    <row r="20" spans="2:17" hidden="1">
      <c r="B20" s="123">
        <f t="shared" si="0"/>
        <v>40877</v>
      </c>
      <c r="C20" s="419" t="s">
        <v>69</v>
      </c>
      <c r="D20" s="420"/>
      <c r="E20" s="124" t="str">
        <f ca="1">IF(N(H20)&gt;0,H20/F20,"")</f>
        <v/>
      </c>
      <c r="F20" s="429" t="str">
        <f ca="1">IF(N(H20)&gt;0,VLOOKUP('Recibo Férias-Natal'!H8,'Tabela Final'!C5:AP94,14),"")</f>
        <v/>
      </c>
      <c r="G20" s="418"/>
      <c r="H20" s="436" t="str">
        <f ca="1">VLOOKUP(H8,'Tabela Final'!C5:BK757,17)</f>
        <v/>
      </c>
      <c r="I20" s="449"/>
      <c r="J20" s="417"/>
      <c r="K20" s="418"/>
    </row>
    <row r="21" spans="2:17" hidden="1">
      <c r="B21" s="123">
        <f t="shared" si="0"/>
        <v>40877</v>
      </c>
      <c r="C21" s="419" t="s">
        <v>70</v>
      </c>
      <c r="D21" s="420"/>
      <c r="E21" s="124" t="str">
        <f ca="1">IF(N(H21)&gt;0,H21/F21,"")</f>
        <v/>
      </c>
      <c r="F21" s="429" t="str">
        <f ca="1">IF(N(H21)&gt;0,VLOOKUP('Recibo Férias-Natal'!H9,'Tabela Final'!C5:AP94,15),"")</f>
        <v/>
      </c>
      <c r="G21" s="418"/>
      <c r="H21" s="436" t="str">
        <f ca="1">VLOOKUP(H8,'Tabela Final'!C5:BK757,18)</f>
        <v/>
      </c>
      <c r="I21" s="449"/>
      <c r="J21" s="417"/>
      <c r="K21" s="418"/>
    </row>
    <row r="22" spans="2:17" hidden="1">
      <c r="B22" s="123">
        <f t="shared" si="0"/>
        <v>40877</v>
      </c>
      <c r="C22" s="419" t="s">
        <v>71</v>
      </c>
      <c r="D22" s="420"/>
      <c r="E22" s="124" t="str">
        <f ca="1">IF(N(H22)&gt;0,H22/F22,"")</f>
        <v/>
      </c>
      <c r="F22" s="429" t="str">
        <f ca="1">IF(N(H22)&gt;0,VLOOKUP('Recibo Férias-Natal'!H10,'Tabela Final'!C5:AP94,16),"")</f>
        <v/>
      </c>
      <c r="G22" s="418"/>
      <c r="H22" s="436" t="str">
        <f ca="1">VLOOKUP(H8,'Tabela Final'!C5:BK757,19)</f>
        <v/>
      </c>
      <c r="I22" s="449"/>
      <c r="J22" s="417"/>
      <c r="K22" s="418"/>
      <c r="L22" s="142"/>
    </row>
    <row r="23" spans="2:17" hidden="1">
      <c r="B23" s="123">
        <f t="shared" si="0"/>
        <v>40877</v>
      </c>
      <c r="C23" s="419" t="s">
        <v>73</v>
      </c>
      <c r="D23" s="420"/>
      <c r="E23" s="125"/>
      <c r="F23" s="194"/>
      <c r="G23" s="127"/>
      <c r="H23" s="435" t="str">
        <f ca="1">IF(N(VLOOKUP(H8,'Tabela Final'!C5:AK44,9)+VLOOKUP(H8,'Tabela Final'!C5:O44,12))&gt;0,VLOOKUP(H8,'Tabela Final'!C5:AK44,9)+VLOOKUP(H8,'Tabela Final'!C5:O44,12),"")</f>
        <v/>
      </c>
      <c r="I23" s="449"/>
      <c r="J23" s="142"/>
      <c r="K23" s="128"/>
      <c r="L23" s="142"/>
    </row>
    <row r="24" spans="2:17">
      <c r="B24" s="123">
        <f t="shared" si="0"/>
        <v>40877</v>
      </c>
      <c r="C24" s="419" t="s">
        <v>14</v>
      </c>
      <c r="D24" s="420"/>
      <c r="E24" s="129">
        <f ca="1">VLOOKUP('Recibo Férias-Natal'!$A$1,'Tabela Final'!$A$5:$AU$155,33)</f>
        <v>0</v>
      </c>
      <c r="F24" s="429">
        <f ca="1">H17</f>
        <v>550</v>
      </c>
      <c r="G24" s="418"/>
      <c r="H24" s="445"/>
      <c r="I24" s="446"/>
      <c r="J24" s="417">
        <f ca="1">VLOOKUP($A$1,'Tabela Final'!$A$5:$AU$155,34)</f>
        <v>0</v>
      </c>
      <c r="K24" s="418"/>
      <c r="L24" s="142"/>
    </row>
    <row r="25" spans="2:17">
      <c r="B25" s="123">
        <f t="shared" si="0"/>
        <v>40877</v>
      </c>
      <c r="C25" s="419" t="s">
        <v>56</v>
      </c>
      <c r="D25" s="420"/>
      <c r="E25" s="129">
        <f ca="1">VLOOKUP(H8,' Pessoal'!A2:BJ177,9)</f>
        <v>0.11</v>
      </c>
      <c r="F25" s="429">
        <f ca="1">H17</f>
        <v>550</v>
      </c>
      <c r="G25" s="418"/>
      <c r="H25" s="445"/>
      <c r="I25" s="446"/>
      <c r="J25" s="417">
        <f ca="1">VLOOKUP($A$1,'Tabela Final'!$A$5:$AU$155,32)</f>
        <v>60.5</v>
      </c>
      <c r="K25" s="418"/>
      <c r="L25" s="142"/>
    </row>
    <row r="26" spans="2:17">
      <c r="B26" s="130"/>
      <c r="C26" s="423"/>
      <c r="D26" s="424"/>
      <c r="E26" s="131"/>
      <c r="F26" s="425"/>
      <c r="G26" s="426"/>
      <c r="H26" s="447"/>
      <c r="I26" s="448"/>
      <c r="J26" s="427"/>
      <c r="K26" s="426"/>
      <c r="L26" s="142"/>
    </row>
    <row r="27" spans="2:17">
      <c r="C27" s="416"/>
      <c r="D27" s="416"/>
    </row>
    <row r="28" spans="2:17">
      <c r="H28" s="412" t="s">
        <v>57</v>
      </c>
      <c r="I28" s="412"/>
      <c r="J28" s="412" t="s">
        <v>58</v>
      </c>
      <c r="K28" s="412"/>
    </row>
    <row r="29" spans="2:17" ht="12" thickBot="1">
      <c r="B29" s="143"/>
      <c r="C29" s="428" t="s">
        <v>59</v>
      </c>
      <c r="D29" s="428"/>
      <c r="E29" s="143"/>
      <c r="H29" s="413">
        <f>SUM(H17:I26)</f>
        <v>550</v>
      </c>
      <c r="I29" s="413"/>
      <c r="J29" s="413">
        <f>SUM(J17:K26)</f>
        <v>60.5</v>
      </c>
      <c r="K29" s="413"/>
      <c r="P29" s="444"/>
      <c r="Q29" s="444"/>
    </row>
    <row r="30" spans="2:17">
      <c r="B30" s="416" t="s">
        <v>60</v>
      </c>
      <c r="C30" s="416"/>
      <c r="D30" s="416" t="s">
        <v>61</v>
      </c>
      <c r="E30" s="416"/>
    </row>
    <row r="31" spans="2:17">
      <c r="B31" s="413">
        <f ca="1">VLOOKUP($A$1,'Tabela Final'!$A$5:$AU$155,38)</f>
        <v>6600</v>
      </c>
      <c r="C31" s="413"/>
      <c r="D31" s="413">
        <f ca="1">VLOOKUP($A$1,'Tabela Final'!$A$5:$AU$155,39)</f>
        <v>0</v>
      </c>
      <c r="E31" s="413"/>
      <c r="F31" s="412" t="s">
        <v>62</v>
      </c>
      <c r="G31" s="412"/>
      <c r="H31" s="412"/>
      <c r="I31" s="412"/>
      <c r="J31" s="414">
        <f>H29-J29</f>
        <v>489.5</v>
      </c>
      <c r="K31" s="414"/>
    </row>
    <row r="32" spans="2:17">
      <c r="B32" s="413"/>
      <c r="C32" s="413"/>
    </row>
    <row r="33" spans="2:12">
      <c r="D33" s="133"/>
    </row>
    <row r="34" spans="2:12">
      <c r="F34" s="412" t="s">
        <v>63</v>
      </c>
      <c r="G34" s="412"/>
      <c r="H34" s="412"/>
      <c r="I34" s="412"/>
      <c r="J34" s="412"/>
      <c r="K34" s="412"/>
    </row>
    <row r="36" spans="2:12">
      <c r="F36" s="113" t="s">
        <v>64</v>
      </c>
      <c r="G36" s="134"/>
      <c r="H36" s="134"/>
      <c r="I36" s="134"/>
      <c r="J36" s="134"/>
    </row>
    <row r="37" spans="2:12">
      <c r="K37" s="422" t="s">
        <v>65</v>
      </c>
      <c r="L37" s="422"/>
    </row>
    <row r="38" spans="2:12">
      <c r="B38" s="421" t="s">
        <v>146</v>
      </c>
      <c r="C38" s="421"/>
      <c r="D38" s="421"/>
      <c r="E38" s="421"/>
      <c r="F38" s="421"/>
      <c r="G38" s="421"/>
      <c r="H38" s="421"/>
      <c r="I38" s="421"/>
      <c r="J38" s="421"/>
      <c r="K38" s="421"/>
      <c r="L38" s="421"/>
    </row>
    <row r="39" spans="2:12">
      <c r="B39" s="135"/>
      <c r="C39" s="136"/>
      <c r="D39" s="136"/>
      <c r="E39" s="136"/>
      <c r="F39" s="136"/>
      <c r="G39" s="136"/>
      <c r="H39" s="136"/>
      <c r="I39" s="136"/>
      <c r="J39" s="136"/>
      <c r="K39" s="136"/>
      <c r="L39" s="136"/>
    </row>
    <row r="40" spans="2:12">
      <c r="B40" s="135"/>
      <c r="C40" s="136"/>
      <c r="D40" s="136"/>
      <c r="E40" s="136"/>
      <c r="F40" s="136"/>
      <c r="G40" s="136"/>
      <c r="H40" s="136"/>
      <c r="I40" s="136"/>
      <c r="J40" s="136"/>
      <c r="K40" s="136"/>
      <c r="L40" s="136"/>
    </row>
    <row r="41" spans="2:12">
      <c r="B41" s="137"/>
      <c r="C41" s="137"/>
      <c r="D41" s="137"/>
      <c r="E41" s="137"/>
      <c r="F41" s="137"/>
      <c r="G41" s="138"/>
      <c r="H41" s="138"/>
      <c r="I41" s="138"/>
      <c r="J41" s="138"/>
      <c r="K41" s="138"/>
      <c r="L41" s="138"/>
    </row>
    <row r="42" spans="2:12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</row>
    <row r="44" spans="2:12">
      <c r="H44" s="412" t="s">
        <v>40</v>
      </c>
      <c r="I44" s="412"/>
      <c r="J44" s="412"/>
      <c r="K44" s="412"/>
      <c r="L44" s="412"/>
    </row>
    <row r="45" spans="2:12">
      <c r="I45" s="416" t="s">
        <v>41</v>
      </c>
      <c r="J45" s="416"/>
      <c r="K45" s="416"/>
    </row>
    <row r="46" spans="2:12">
      <c r="I46" s="432">
        <f>I3</f>
        <v>40877</v>
      </c>
      <c r="J46" s="432"/>
      <c r="K46" s="432"/>
    </row>
    <row r="49" spans="2:12" ht="12.75" customHeight="1">
      <c r="B49" s="113"/>
      <c r="C49" s="113"/>
      <c r="D49" s="113"/>
      <c r="E49" s="113"/>
      <c r="J49" s="114" t="s">
        <v>43</v>
      </c>
    </row>
    <row r="50" spans="2:12">
      <c r="B50" s="451" t="s">
        <v>145</v>
      </c>
      <c r="C50" s="451"/>
      <c r="D50" s="451"/>
      <c r="E50" s="451"/>
      <c r="F50" s="451"/>
    </row>
    <row r="51" spans="2:12" ht="12.75">
      <c r="G51" s="115" t="s">
        <v>66</v>
      </c>
      <c r="H51" s="116">
        <f>H8</f>
        <v>5</v>
      </c>
      <c r="I51" s="196" t="str">
        <f>I8</f>
        <v>André</v>
      </c>
      <c r="J51" s="196"/>
      <c r="K51" s="196"/>
      <c r="L51" s="87"/>
    </row>
    <row r="53" spans="2:12" ht="12.75" customHeight="1">
      <c r="B53" s="117" t="s">
        <v>44</v>
      </c>
      <c r="D53" s="119" t="str">
        <f>D10</f>
        <v>Ajud. Electricista</v>
      </c>
      <c r="E53" s="119"/>
    </row>
    <row r="54" spans="2:12">
      <c r="B54" s="117" t="s">
        <v>45</v>
      </c>
      <c r="C54" s="117"/>
      <c r="D54" s="119" t="str">
        <f>D11</f>
        <v>243 438 000</v>
      </c>
      <c r="E54" s="120"/>
    </row>
    <row r="55" spans="2:12">
      <c r="B55" s="434" t="s">
        <v>46</v>
      </c>
      <c r="C55" s="434"/>
      <c r="D55" s="450">
        <f>D12</f>
        <v>11920341800</v>
      </c>
      <c r="E55" s="450"/>
    </row>
    <row r="58" spans="2:12">
      <c r="B58" s="113" t="s">
        <v>47</v>
      </c>
      <c r="E58" s="113" t="s">
        <v>48</v>
      </c>
      <c r="F58" s="412" t="s">
        <v>30</v>
      </c>
      <c r="G58" s="412"/>
    </row>
    <row r="59" spans="2:12" ht="12" thickBot="1">
      <c r="B59" s="144" t="s">
        <v>49</v>
      </c>
      <c r="C59" s="428" t="s">
        <v>50</v>
      </c>
      <c r="D59" s="428"/>
      <c r="E59" s="144" t="s">
        <v>51</v>
      </c>
      <c r="F59" s="428" t="s">
        <v>52</v>
      </c>
      <c r="G59" s="428"/>
      <c r="H59" s="428" t="s">
        <v>53</v>
      </c>
      <c r="I59" s="428"/>
      <c r="J59" s="428" t="s">
        <v>13</v>
      </c>
      <c r="K59" s="428"/>
    </row>
    <row r="60" spans="2:12">
      <c r="B60" s="123">
        <f t="shared" ref="B60:B68" si="1">$I$3</f>
        <v>40877</v>
      </c>
      <c r="C60" s="419" t="str">
        <f>C17</f>
        <v>Sub. Férias/Natal</v>
      </c>
      <c r="D60" s="420"/>
      <c r="E60" s="124">
        <f t="shared" ref="E60:F68" si="2">E17</f>
        <v>18.329999999999998</v>
      </c>
      <c r="F60" s="442">
        <f t="shared" si="2"/>
        <v>30</v>
      </c>
      <c r="G60" s="443"/>
      <c r="H60" s="429">
        <f t="shared" ref="H60:H66" si="3">H17</f>
        <v>550</v>
      </c>
      <c r="I60" s="429"/>
      <c r="J60" s="417"/>
      <c r="K60" s="418"/>
    </row>
    <row r="61" spans="2:12">
      <c r="B61" s="123">
        <f t="shared" si="1"/>
        <v>40877</v>
      </c>
      <c r="C61" s="142"/>
      <c r="D61" s="142"/>
      <c r="E61" s="124">
        <f>E18</f>
        <v>0</v>
      </c>
      <c r="F61" s="442">
        <f t="shared" si="2"/>
        <v>0</v>
      </c>
      <c r="G61" s="443"/>
      <c r="H61" s="417">
        <f t="shared" si="3"/>
        <v>0</v>
      </c>
      <c r="I61" s="418"/>
      <c r="J61" s="417"/>
      <c r="K61" s="418"/>
    </row>
    <row r="62" spans="2:12">
      <c r="B62" s="123">
        <f t="shared" si="1"/>
        <v>40877</v>
      </c>
      <c r="C62" s="419">
        <f t="shared" ref="C62:C68" si="4">C19</f>
        <v>0</v>
      </c>
      <c r="D62" s="420"/>
      <c r="E62" s="124">
        <f>E19</f>
        <v>0</v>
      </c>
      <c r="F62" s="442">
        <f t="shared" si="2"/>
        <v>0</v>
      </c>
      <c r="G62" s="443"/>
      <c r="H62" s="417">
        <f t="shared" si="3"/>
        <v>0</v>
      </c>
      <c r="I62" s="418"/>
      <c r="J62" s="429" t="str">
        <f>J19</f>
        <v/>
      </c>
      <c r="K62" s="418"/>
    </row>
    <row r="63" spans="2:12" hidden="1">
      <c r="B63" s="123">
        <f t="shared" si="1"/>
        <v>40877</v>
      </c>
      <c r="C63" s="419" t="str">
        <f t="shared" si="4"/>
        <v>Horas Extra 50%</v>
      </c>
      <c r="D63" s="420"/>
      <c r="E63" s="124" t="str">
        <f t="shared" si="2"/>
        <v/>
      </c>
      <c r="F63" s="429" t="str">
        <f t="shared" si="2"/>
        <v/>
      </c>
      <c r="G63" s="418"/>
      <c r="H63" s="429" t="str">
        <f t="shared" si="3"/>
        <v/>
      </c>
      <c r="I63" s="418"/>
      <c r="J63" s="417"/>
      <c r="K63" s="418"/>
    </row>
    <row r="64" spans="2:12" hidden="1">
      <c r="B64" s="123">
        <f t="shared" si="1"/>
        <v>40877</v>
      </c>
      <c r="C64" s="419" t="str">
        <f t="shared" si="4"/>
        <v>Horas Extra 75%</v>
      </c>
      <c r="D64" s="420"/>
      <c r="E64" s="124" t="str">
        <f t="shared" si="2"/>
        <v/>
      </c>
      <c r="F64" s="429" t="str">
        <f t="shared" si="2"/>
        <v/>
      </c>
      <c r="G64" s="418"/>
      <c r="H64" s="429" t="str">
        <f t="shared" si="3"/>
        <v/>
      </c>
      <c r="I64" s="418"/>
      <c r="J64" s="417"/>
      <c r="K64" s="418"/>
    </row>
    <row r="65" spans="2:12" hidden="1">
      <c r="B65" s="123">
        <f t="shared" si="1"/>
        <v>40877</v>
      </c>
      <c r="C65" s="419" t="str">
        <f t="shared" si="4"/>
        <v>Horas Extra 100%</v>
      </c>
      <c r="D65" s="420"/>
      <c r="E65" s="124" t="str">
        <f t="shared" si="2"/>
        <v/>
      </c>
      <c r="F65" s="429" t="str">
        <f t="shared" si="2"/>
        <v/>
      </c>
      <c r="G65" s="418"/>
      <c r="H65" s="429" t="str">
        <f t="shared" si="3"/>
        <v/>
      </c>
      <c r="I65" s="418"/>
      <c r="J65" s="417"/>
      <c r="K65" s="418"/>
      <c r="L65" s="142"/>
    </row>
    <row r="66" spans="2:12" hidden="1">
      <c r="B66" s="123">
        <f t="shared" si="1"/>
        <v>40877</v>
      </c>
      <c r="C66" s="419" t="str">
        <f t="shared" si="4"/>
        <v>Comissões /  Complementos</v>
      </c>
      <c r="D66" s="420"/>
      <c r="E66" s="125">
        <f t="shared" si="2"/>
        <v>0</v>
      </c>
      <c r="F66" s="194">
        <f t="shared" si="2"/>
        <v>0</v>
      </c>
      <c r="G66" s="127"/>
      <c r="H66" s="417" t="str">
        <f t="shared" si="3"/>
        <v/>
      </c>
      <c r="I66" s="418"/>
      <c r="J66" s="142"/>
      <c r="K66" s="128"/>
      <c r="L66" s="142"/>
    </row>
    <row r="67" spans="2:12">
      <c r="B67" s="123">
        <f t="shared" si="1"/>
        <v>40877</v>
      </c>
      <c r="C67" s="419" t="str">
        <f t="shared" si="4"/>
        <v>IRS</v>
      </c>
      <c r="D67" s="420"/>
      <c r="E67" s="129">
        <f t="shared" si="2"/>
        <v>0</v>
      </c>
      <c r="F67" s="429">
        <f t="shared" si="2"/>
        <v>550</v>
      </c>
      <c r="G67" s="418"/>
      <c r="H67" s="417"/>
      <c r="I67" s="418"/>
      <c r="J67" s="417">
        <f>J24</f>
        <v>0</v>
      </c>
      <c r="K67" s="418"/>
      <c r="L67" s="142"/>
    </row>
    <row r="68" spans="2:12">
      <c r="B68" s="123">
        <f t="shared" si="1"/>
        <v>40877</v>
      </c>
      <c r="C68" s="419" t="str">
        <f t="shared" si="4"/>
        <v>T.S.U.</v>
      </c>
      <c r="D68" s="420"/>
      <c r="E68" s="140">
        <f t="shared" si="2"/>
        <v>0.11</v>
      </c>
      <c r="F68" s="429">
        <f t="shared" si="2"/>
        <v>550</v>
      </c>
      <c r="G68" s="418"/>
      <c r="H68" s="417"/>
      <c r="I68" s="418"/>
      <c r="J68" s="417">
        <f>J25</f>
        <v>60.5</v>
      </c>
      <c r="K68" s="418"/>
      <c r="L68" s="142"/>
    </row>
    <row r="69" spans="2:12">
      <c r="B69" s="130"/>
      <c r="C69" s="423"/>
      <c r="D69" s="424"/>
      <c r="E69" s="131"/>
      <c r="F69" s="425"/>
      <c r="G69" s="426"/>
      <c r="H69" s="427"/>
      <c r="I69" s="426"/>
      <c r="J69" s="427"/>
      <c r="K69" s="426"/>
      <c r="L69" s="142"/>
    </row>
    <row r="70" spans="2:12">
      <c r="C70" s="416"/>
      <c r="D70" s="416"/>
    </row>
    <row r="71" spans="2:12">
      <c r="H71" s="412" t="s">
        <v>57</v>
      </c>
      <c r="I71" s="412"/>
      <c r="J71" s="412" t="s">
        <v>58</v>
      </c>
      <c r="K71" s="412"/>
    </row>
    <row r="72" spans="2:12">
      <c r="C72" s="412"/>
      <c r="D72" s="412"/>
      <c r="H72" s="413">
        <f>SUM(H60:I69)</f>
        <v>550</v>
      </c>
      <c r="I72" s="413"/>
      <c r="J72" s="413">
        <f>SUM(J60:K69)</f>
        <v>60.5</v>
      </c>
      <c r="K72" s="413"/>
    </row>
    <row r="73" spans="2:12" ht="12" thickBot="1">
      <c r="B73" s="428" t="s">
        <v>59</v>
      </c>
      <c r="C73" s="428"/>
      <c r="D73" s="428"/>
      <c r="E73" s="428"/>
    </row>
    <row r="74" spans="2:12">
      <c r="B74" s="415" t="s">
        <v>60</v>
      </c>
      <c r="C74" s="415"/>
      <c r="D74" s="415" t="s">
        <v>61</v>
      </c>
      <c r="E74" s="415"/>
      <c r="F74" s="412"/>
      <c r="G74" s="412"/>
      <c r="H74" s="412"/>
      <c r="I74" s="412"/>
      <c r="J74" s="414"/>
      <c r="K74" s="414"/>
    </row>
    <row r="75" spans="2:12">
      <c r="B75" s="413">
        <f>B31</f>
        <v>6600</v>
      </c>
      <c r="C75" s="413"/>
      <c r="D75" s="413">
        <f>D31</f>
        <v>0</v>
      </c>
      <c r="E75" s="413"/>
      <c r="F75" s="114" t="s">
        <v>62</v>
      </c>
      <c r="G75" s="114"/>
      <c r="H75" s="114"/>
      <c r="I75" s="114"/>
      <c r="J75" s="197">
        <f>H72-J72</f>
        <v>489.5</v>
      </c>
    </row>
    <row r="76" spans="2:12">
      <c r="D76" s="133"/>
    </row>
    <row r="77" spans="2:12">
      <c r="F77" s="412"/>
      <c r="G77" s="412"/>
      <c r="H77" s="412"/>
      <c r="I77" s="412"/>
      <c r="J77" s="412"/>
      <c r="K77" s="412"/>
    </row>
    <row r="78" spans="2:12">
      <c r="B78" s="141" t="s">
        <v>95</v>
      </c>
    </row>
    <row r="79" spans="2:12">
      <c r="F79" s="113"/>
      <c r="G79" s="142"/>
      <c r="H79" s="142"/>
      <c r="I79" s="142"/>
      <c r="J79" s="142"/>
    </row>
    <row r="80" spans="2:12">
      <c r="K80" s="422" t="s">
        <v>65</v>
      </c>
      <c r="L80" s="422"/>
    </row>
    <row r="81" spans="2:12">
      <c r="B81" s="421" t="s">
        <v>146</v>
      </c>
      <c r="C81" s="421"/>
      <c r="D81" s="421"/>
      <c r="E81" s="421"/>
      <c r="F81" s="421"/>
      <c r="G81" s="421"/>
      <c r="H81" s="421"/>
      <c r="I81" s="421"/>
      <c r="J81" s="421"/>
      <c r="K81" s="421"/>
      <c r="L81" s="421"/>
    </row>
    <row r="83" spans="2:12">
      <c r="J83" s="441" t="s">
        <v>74</v>
      </c>
      <c r="K83" s="441"/>
      <c r="L83" s="441"/>
    </row>
  </sheetData>
  <mergeCells count="130">
    <mergeCell ref="B7:F7"/>
    <mergeCell ref="B50:F50"/>
    <mergeCell ref="H62:I62"/>
    <mergeCell ref="H66:I66"/>
    <mergeCell ref="F61:G61"/>
    <mergeCell ref="H24:I24"/>
    <mergeCell ref="F16:G16"/>
    <mergeCell ref="C24:D24"/>
    <mergeCell ref="F21:G21"/>
    <mergeCell ref="C19:D19"/>
    <mergeCell ref="C63:D63"/>
    <mergeCell ref="C64:D64"/>
    <mergeCell ref="C65:D65"/>
    <mergeCell ref="C66:D66"/>
    <mergeCell ref="F67:G67"/>
    <mergeCell ref="F63:G63"/>
    <mergeCell ref="C67:D67"/>
    <mergeCell ref="C21:D21"/>
    <mergeCell ref="C22:D22"/>
    <mergeCell ref="F17:G17"/>
    <mergeCell ref="C23:D23"/>
    <mergeCell ref="C17:D17"/>
    <mergeCell ref="C20:D20"/>
    <mergeCell ref="F20:G20"/>
    <mergeCell ref="F19:G19"/>
    <mergeCell ref="F18:G18"/>
    <mergeCell ref="F77:K77"/>
    <mergeCell ref="B75:C75"/>
    <mergeCell ref="D75:E75"/>
    <mergeCell ref="F74:I74"/>
    <mergeCell ref="J74:K74"/>
    <mergeCell ref="B74:C74"/>
    <mergeCell ref="D74:E74"/>
    <mergeCell ref="B73:E73"/>
    <mergeCell ref="C69:D69"/>
    <mergeCell ref="F69:G69"/>
    <mergeCell ref="J69:K69"/>
    <mergeCell ref="C72:D72"/>
    <mergeCell ref="H72:I72"/>
    <mergeCell ref="J71:K71"/>
    <mergeCell ref="C70:D70"/>
    <mergeCell ref="H71:I71"/>
    <mergeCell ref="H69:I69"/>
    <mergeCell ref="J65:K65"/>
    <mergeCell ref="H65:I65"/>
    <mergeCell ref="J64:K64"/>
    <mergeCell ref="C68:D68"/>
    <mergeCell ref="F68:G68"/>
    <mergeCell ref="J72:K72"/>
    <mergeCell ref="I46:K46"/>
    <mergeCell ref="K37:L37"/>
    <mergeCell ref="B31:C31"/>
    <mergeCell ref="D31:E31"/>
    <mergeCell ref="J31:K31"/>
    <mergeCell ref="F31:I31"/>
    <mergeCell ref="B32:C32"/>
    <mergeCell ref="F34:K34"/>
    <mergeCell ref="C25:D25"/>
    <mergeCell ref="C29:D29"/>
    <mergeCell ref="B55:C55"/>
    <mergeCell ref="D55:E55"/>
    <mergeCell ref="J59:K59"/>
    <mergeCell ref="H28:I28"/>
    <mergeCell ref="J28:K28"/>
    <mergeCell ref="H44:L44"/>
    <mergeCell ref="I45:K45"/>
    <mergeCell ref="B38:L38"/>
    <mergeCell ref="J29:K29"/>
    <mergeCell ref="H29:I29"/>
    <mergeCell ref="B30:C30"/>
    <mergeCell ref="C26:D26"/>
    <mergeCell ref="C27:D27"/>
    <mergeCell ref="D30:E30"/>
    <mergeCell ref="H18:I18"/>
    <mergeCell ref="H17:I17"/>
    <mergeCell ref="J18:K18"/>
    <mergeCell ref="B12:C12"/>
    <mergeCell ref="D12:E12"/>
    <mergeCell ref="C16:D16"/>
    <mergeCell ref="F15:G15"/>
    <mergeCell ref="H1:L1"/>
    <mergeCell ref="I2:K2"/>
    <mergeCell ref="H16:I16"/>
    <mergeCell ref="J16:K16"/>
    <mergeCell ref="I3:K3"/>
    <mergeCell ref="J17:K17"/>
    <mergeCell ref="J22:K22"/>
    <mergeCell ref="J25:K25"/>
    <mergeCell ref="H23:I23"/>
    <mergeCell ref="H20:I20"/>
    <mergeCell ref="H19:I19"/>
    <mergeCell ref="J20:K20"/>
    <mergeCell ref="J19:K19"/>
    <mergeCell ref="H22:I22"/>
    <mergeCell ref="H21:I21"/>
    <mergeCell ref="F22:G22"/>
    <mergeCell ref="J21:K21"/>
    <mergeCell ref="F64:G64"/>
    <mergeCell ref="F65:G65"/>
    <mergeCell ref="H60:I60"/>
    <mergeCell ref="H61:I61"/>
    <mergeCell ref="H63:I63"/>
    <mergeCell ref="H64:I64"/>
    <mergeCell ref="J24:K24"/>
    <mergeCell ref="J26:K26"/>
    <mergeCell ref="F26:G26"/>
    <mergeCell ref="H25:I25"/>
    <mergeCell ref="H26:I26"/>
    <mergeCell ref="F24:G24"/>
    <mergeCell ref="F25:G25"/>
    <mergeCell ref="P29:Q29"/>
    <mergeCell ref="J83:L83"/>
    <mergeCell ref="H67:I67"/>
    <mergeCell ref="H68:I68"/>
    <mergeCell ref="J60:K60"/>
    <mergeCell ref="J61:K61"/>
    <mergeCell ref="J62:K62"/>
    <mergeCell ref="J63:K63"/>
    <mergeCell ref="J68:K68"/>
    <mergeCell ref="J67:K67"/>
    <mergeCell ref="B81:L81"/>
    <mergeCell ref="K80:L80"/>
    <mergeCell ref="F58:G58"/>
    <mergeCell ref="F59:G59"/>
    <mergeCell ref="H59:I59"/>
    <mergeCell ref="F62:G62"/>
    <mergeCell ref="C59:D59"/>
    <mergeCell ref="C62:D62"/>
    <mergeCell ref="C60:D60"/>
    <mergeCell ref="F60:G60"/>
  </mergeCells>
  <phoneticPr fontId="0" type="noConversion"/>
  <pageMargins left="0.27559055118110237" right="0.31" top="0.31496062992125984" bottom="0.19685039370078741" header="0" footer="0"/>
  <pageSetup paperSize="9" scale="96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L108"/>
  <sheetViews>
    <sheetView zoomScaleNormal="100" workbookViewId="0">
      <selection activeCell="L67" sqref="L67"/>
    </sheetView>
  </sheetViews>
  <sheetFormatPr defaultRowHeight="12.75"/>
  <cols>
    <col min="2" max="4" width="9.140625" style="83"/>
    <col min="5" max="5" width="8.28515625" style="83" customWidth="1"/>
    <col min="6" max="6" width="3.7109375" style="83" customWidth="1"/>
    <col min="7" max="7" width="8.5703125" style="83" customWidth="1"/>
    <col min="8" max="8" width="12" style="83" customWidth="1"/>
    <col min="9" max="9" width="9.140625" style="83"/>
    <col min="10" max="10" width="10.28515625" style="83" customWidth="1"/>
    <col min="11" max="12" width="9.140625" style="83"/>
  </cols>
  <sheetData>
    <row r="1" spans="1:12" ht="15.75" customHeight="1">
      <c r="A1">
        <v>57</v>
      </c>
      <c r="B1" s="77"/>
      <c r="C1" s="78"/>
      <c r="D1" s="78"/>
      <c r="E1" s="78"/>
      <c r="F1" s="78"/>
      <c r="G1" s="78"/>
      <c r="H1" s="466" t="s">
        <v>82</v>
      </c>
      <c r="I1" s="467"/>
      <c r="J1" s="467"/>
      <c r="K1" s="467"/>
      <c r="L1" s="466"/>
    </row>
    <row r="2" spans="1:12" ht="15.75" customHeight="1">
      <c r="A2" s="46">
        <v>1</v>
      </c>
      <c r="B2" s="77"/>
      <c r="C2" s="78"/>
      <c r="D2" s="78"/>
      <c r="E2" s="78"/>
      <c r="F2" s="78"/>
      <c r="G2" s="78"/>
      <c r="H2" s="466"/>
      <c r="I2" s="467"/>
      <c r="J2" s="467"/>
      <c r="K2" s="467"/>
      <c r="L2" s="466"/>
    </row>
    <row r="3" spans="1:12" ht="15.75" customHeight="1">
      <c r="B3" s="77"/>
      <c r="C3" s="78"/>
      <c r="D3" s="78"/>
      <c r="E3" s="78"/>
      <c r="F3" s="78"/>
      <c r="G3" s="78"/>
      <c r="H3" s="464" t="s">
        <v>83</v>
      </c>
      <c r="I3" s="465"/>
      <c r="J3" s="465"/>
      <c r="K3" s="465"/>
      <c r="L3" s="464"/>
    </row>
    <row r="4" spans="1:12" ht="15.75">
      <c r="B4" s="77"/>
      <c r="C4" s="78"/>
      <c r="D4" s="78"/>
      <c r="E4" s="78"/>
      <c r="F4" s="78"/>
      <c r="G4" s="78"/>
      <c r="H4" s="464"/>
      <c r="I4" s="465"/>
      <c r="J4" s="465"/>
      <c r="K4" s="465"/>
      <c r="L4" s="464"/>
    </row>
    <row r="5" spans="1:12" ht="15.75">
      <c r="B5" s="77"/>
      <c r="C5" s="78"/>
      <c r="D5" s="78"/>
      <c r="E5" s="78"/>
      <c r="F5" s="78"/>
      <c r="G5" s="78"/>
      <c r="H5" s="99"/>
      <c r="I5" s="100"/>
      <c r="J5" s="100"/>
      <c r="K5" s="100"/>
      <c r="L5" s="99"/>
    </row>
    <row r="6" spans="1:12" ht="18.75">
      <c r="B6" s="79" t="s">
        <v>132</v>
      </c>
      <c r="C6" s="80"/>
      <c r="D6" s="80"/>
      <c r="E6" s="80"/>
      <c r="F6" s="80"/>
      <c r="G6" s="80"/>
      <c r="H6" s="81"/>
      <c r="I6" s="82"/>
      <c r="J6" s="467" t="s">
        <v>151</v>
      </c>
      <c r="K6" s="467"/>
      <c r="L6" s="467"/>
    </row>
    <row r="7" spans="1:12" ht="13.5" customHeight="1">
      <c r="B7" s="101" t="s">
        <v>145</v>
      </c>
      <c r="C7" s="78"/>
      <c r="D7" s="78"/>
      <c r="E7" s="78"/>
      <c r="F7" s="78"/>
      <c r="H7" s="84"/>
      <c r="I7" s="84"/>
      <c r="J7" s="84"/>
      <c r="K7" s="84"/>
      <c r="L7" s="84"/>
    </row>
    <row r="8" spans="1:12" ht="13.5" customHeight="1">
      <c r="B8" s="101" t="s">
        <v>148</v>
      </c>
      <c r="C8" s="78"/>
      <c r="D8" s="78"/>
      <c r="E8" s="78"/>
      <c r="F8" s="78"/>
    </row>
    <row r="9" spans="1:12" ht="13.5" customHeight="1">
      <c r="B9" s="87" t="s">
        <v>149</v>
      </c>
      <c r="C9" s="87"/>
      <c r="D9" s="87"/>
      <c r="I9" s="85"/>
      <c r="J9" s="85"/>
      <c r="K9" s="85"/>
    </row>
    <row r="12" spans="1:12">
      <c r="G12" s="86"/>
      <c r="H12" s="452"/>
      <c r="I12" s="452"/>
      <c r="J12" s="452"/>
      <c r="K12" s="452"/>
      <c r="L12" s="452"/>
    </row>
    <row r="13" spans="1:12">
      <c r="G13" s="86"/>
      <c r="H13" s="452"/>
      <c r="I13" s="452"/>
      <c r="J13" s="452"/>
      <c r="K13" s="452"/>
      <c r="L13" s="452"/>
    </row>
    <row r="14" spans="1:12">
      <c r="G14" s="86"/>
      <c r="H14" s="87"/>
      <c r="I14" s="87"/>
      <c r="J14" s="87"/>
      <c r="K14" s="87"/>
      <c r="L14" s="87"/>
    </row>
    <row r="15" spans="1:12">
      <c r="B15" s="79" t="s">
        <v>133</v>
      </c>
      <c r="C15" s="80"/>
      <c r="D15" s="80"/>
      <c r="E15" s="80"/>
      <c r="F15" s="80"/>
      <c r="G15" s="80"/>
      <c r="H15" s="80"/>
      <c r="I15" s="86"/>
      <c r="J15" s="86"/>
      <c r="K15" s="86"/>
    </row>
    <row r="16" spans="1:12">
      <c r="B16" s="106" t="s">
        <v>134</v>
      </c>
      <c r="C16" s="107"/>
      <c r="D16" s="468" t="str">
        <f ca="1">VLOOKUP($A$1,'Tabela Final'!$A$5:$AU$155,4)</f>
        <v>Nuno</v>
      </c>
      <c r="E16" s="468"/>
      <c r="F16" s="468"/>
      <c r="G16" s="468"/>
      <c r="H16" s="468"/>
    </row>
    <row r="17" spans="2:12" ht="7.5" customHeight="1">
      <c r="B17" s="107"/>
      <c r="C17" s="107"/>
    </row>
    <row r="18" spans="2:12">
      <c r="B18" s="463" t="s">
        <v>44</v>
      </c>
      <c r="C18" s="463"/>
      <c r="D18" s="433" t="str">
        <f ca="1">VLOOKUP(A2,' Pessoal'!A1:L38,3)</f>
        <v>Gerente</v>
      </c>
      <c r="E18" s="433" t="e">
        <f ca="1">VLOOKUP(I13,' Pessoal'!B6:M38,12)</f>
        <v>#N/A</v>
      </c>
    </row>
    <row r="19" spans="2:12">
      <c r="B19" s="463" t="s">
        <v>45</v>
      </c>
      <c r="C19" s="463"/>
      <c r="D19" s="433">
        <f ca="1">VLOOKUP(A2,' Pessoal'!A2:L39,12)</f>
        <v>215600000</v>
      </c>
      <c r="E19" s="433" t="e">
        <f ca="1">VLOOKUP(I14,' Pessoal'!B7:M39,12)</f>
        <v>#N/A</v>
      </c>
    </row>
    <row r="20" spans="2:12">
      <c r="B20" s="463" t="s">
        <v>135</v>
      </c>
      <c r="C20" s="463"/>
      <c r="D20" s="433">
        <f ca="1">VLOOKUP(A2,' Pessoal'!A2:M39,13)</f>
        <v>11075114000</v>
      </c>
      <c r="E20" s="433"/>
    </row>
    <row r="21" spans="2:12">
      <c r="B21" s="89"/>
      <c r="C21" s="89"/>
      <c r="D21" s="86"/>
      <c r="E21" s="86"/>
    </row>
    <row r="22" spans="2:12">
      <c r="B22" s="89"/>
      <c r="C22" s="89"/>
      <c r="D22" s="86"/>
      <c r="E22" s="86"/>
    </row>
    <row r="23" spans="2:12">
      <c r="B23" s="89"/>
      <c r="C23" s="89"/>
      <c r="D23" s="86"/>
      <c r="E23" s="86"/>
    </row>
    <row r="28" spans="2:12" ht="15">
      <c r="B28" s="454" t="s">
        <v>84</v>
      </c>
      <c r="C28" s="454"/>
      <c r="D28" s="454"/>
      <c r="E28" s="454"/>
      <c r="F28" s="454"/>
      <c r="G28" s="454"/>
      <c r="H28" s="454"/>
      <c r="I28" s="454"/>
      <c r="J28" s="454"/>
      <c r="K28" s="454"/>
      <c r="L28" s="454"/>
    </row>
    <row r="29" spans="2:12">
      <c r="B29" s="86"/>
      <c r="C29" s="86"/>
      <c r="D29" s="86"/>
      <c r="E29" s="86"/>
      <c r="F29" s="86"/>
      <c r="G29" s="86"/>
      <c r="H29" s="86"/>
      <c r="I29" s="86"/>
      <c r="J29" s="86"/>
      <c r="K29" s="86"/>
      <c r="L29" s="86"/>
    </row>
    <row r="31" spans="2:12">
      <c r="B31" s="452" t="s">
        <v>85</v>
      </c>
      <c r="C31" s="452"/>
      <c r="D31" s="452"/>
      <c r="E31" s="452"/>
      <c r="G31" s="455" t="s">
        <v>86</v>
      </c>
      <c r="H31" s="456"/>
      <c r="I31" s="457" t="s">
        <v>87</v>
      </c>
      <c r="J31" s="456"/>
      <c r="K31" s="455" t="s">
        <v>88</v>
      </c>
      <c r="L31" s="455"/>
    </row>
    <row r="32" spans="2:12">
      <c r="B32" s="90"/>
      <c r="C32" s="90"/>
      <c r="D32" s="90"/>
      <c r="E32" s="90"/>
      <c r="F32" s="90"/>
      <c r="G32" s="91"/>
      <c r="H32" s="92"/>
      <c r="I32" s="93"/>
      <c r="J32" s="94"/>
    </row>
    <row r="33" spans="2:12" ht="14.85" customHeight="1">
      <c r="B33" s="458" t="s">
        <v>89</v>
      </c>
      <c r="C33" s="458"/>
      <c r="D33" s="458"/>
      <c r="E33" s="458"/>
      <c r="F33" s="95"/>
      <c r="G33" s="460">
        <f ca="1">VLOOKUP($A$1,'Tabela Final'!$A$5:$AU$155,39)</f>
        <v>1186.56</v>
      </c>
      <c r="H33" s="461"/>
      <c r="I33" s="462">
        <f ca="1">VLOOKUP($A$1,'Tabela Final'!$A$5:$AU$155,38)</f>
        <v>0</v>
      </c>
      <c r="J33" s="461"/>
      <c r="K33" s="459"/>
      <c r="L33" s="459"/>
    </row>
    <row r="34" spans="2:12">
      <c r="D34" s="84"/>
      <c r="E34" s="84"/>
      <c r="F34" s="84"/>
      <c r="G34" s="96"/>
      <c r="H34" s="97"/>
      <c r="I34" s="98"/>
      <c r="J34" s="94"/>
    </row>
    <row r="35" spans="2:12">
      <c r="D35" s="84"/>
      <c r="E35" s="84"/>
      <c r="F35" s="84"/>
      <c r="G35" s="96"/>
      <c r="H35" s="97"/>
      <c r="I35" s="98"/>
      <c r="J35" s="94"/>
    </row>
    <row r="36" spans="2:12">
      <c r="D36" s="84"/>
      <c r="E36" s="84"/>
      <c r="F36" s="84"/>
      <c r="G36" s="96"/>
      <c r="H36" s="97"/>
      <c r="I36" s="98"/>
      <c r="J36" s="94"/>
    </row>
    <row r="37" spans="2:12">
      <c r="G37" s="78"/>
      <c r="H37" s="94"/>
      <c r="I37" s="98"/>
      <c r="J37" s="94"/>
    </row>
    <row r="39" spans="2:12" ht="15">
      <c r="B39" s="454" t="s">
        <v>90</v>
      </c>
      <c r="C39" s="454"/>
      <c r="D39" s="454"/>
      <c r="E39" s="454"/>
      <c r="F39" s="454"/>
      <c r="G39" s="454"/>
      <c r="H39" s="454"/>
      <c r="I39" s="454"/>
      <c r="J39" s="454"/>
      <c r="K39" s="454"/>
      <c r="L39" s="454"/>
    </row>
    <row r="40" spans="2:12">
      <c r="B40" s="86"/>
      <c r="C40" s="86"/>
      <c r="D40" s="86"/>
      <c r="E40" s="86"/>
      <c r="F40" s="86"/>
      <c r="G40" s="86"/>
      <c r="H40" s="86"/>
      <c r="I40" s="86"/>
      <c r="J40" s="86"/>
      <c r="K40" s="86"/>
      <c r="L40" s="86"/>
    </row>
    <row r="42" spans="2:12">
      <c r="B42" s="452" t="s">
        <v>91</v>
      </c>
      <c r="C42" s="452"/>
      <c r="D42" s="452"/>
      <c r="E42" s="452"/>
      <c r="F42" s="452"/>
      <c r="G42" s="452"/>
      <c r="H42" s="460">
        <f ca="1">VLOOKUP($A$1,'Tabela Final'!$A$5:$AU$155,40)</f>
        <v>1034.5200000000002</v>
      </c>
      <c r="I42" s="460"/>
    </row>
    <row r="46" spans="2:12">
      <c r="B46" s="108"/>
      <c r="C46" s="109"/>
      <c r="D46" s="109"/>
      <c r="E46" s="109"/>
      <c r="F46" s="109"/>
      <c r="G46" s="105"/>
      <c r="H46" s="109"/>
      <c r="I46" s="109"/>
      <c r="J46" s="109"/>
      <c r="K46" s="109"/>
      <c r="L46" s="105"/>
    </row>
    <row r="47" spans="2:12">
      <c r="B47" s="98"/>
      <c r="C47" s="472" t="s">
        <v>150</v>
      </c>
      <c r="D47" s="472"/>
      <c r="E47" s="472"/>
      <c r="F47" s="78"/>
      <c r="G47" s="94"/>
      <c r="H47" s="78"/>
      <c r="I47" s="78"/>
      <c r="J47" s="78"/>
      <c r="K47" s="78"/>
      <c r="L47" s="94"/>
    </row>
    <row r="48" spans="2:12">
      <c r="B48" s="98"/>
      <c r="C48" s="473" t="s">
        <v>93</v>
      </c>
      <c r="D48" s="472"/>
      <c r="E48" s="472"/>
      <c r="F48" s="78"/>
      <c r="G48" s="94"/>
      <c r="H48" s="78"/>
      <c r="I48" s="78"/>
      <c r="J48" s="78"/>
      <c r="K48" s="78"/>
      <c r="L48" s="94"/>
    </row>
    <row r="49" spans="2:12">
      <c r="B49" s="98"/>
      <c r="C49" s="78"/>
      <c r="D49" s="78"/>
      <c r="E49" s="78"/>
      <c r="F49" s="78"/>
      <c r="G49" s="94"/>
      <c r="H49" s="78"/>
      <c r="I49" s="78"/>
      <c r="J49" s="78"/>
      <c r="K49" s="78"/>
      <c r="L49" s="94"/>
    </row>
    <row r="50" spans="2:12">
      <c r="B50" s="98"/>
      <c r="C50" s="78"/>
      <c r="D50" s="78"/>
      <c r="E50" s="78"/>
      <c r="F50" s="78"/>
      <c r="G50" s="94"/>
      <c r="H50" s="78"/>
      <c r="I50" s="78"/>
      <c r="J50" s="78"/>
      <c r="K50" s="78"/>
      <c r="L50" s="94"/>
    </row>
    <row r="51" spans="2:12">
      <c r="B51" s="110"/>
      <c r="C51" s="80"/>
      <c r="D51" s="80"/>
      <c r="E51" s="80"/>
      <c r="F51" s="80"/>
      <c r="G51" s="111"/>
      <c r="H51" s="80"/>
      <c r="I51" s="80"/>
      <c r="J51" s="80"/>
      <c r="K51" s="80"/>
      <c r="L51" s="111"/>
    </row>
    <row r="58" spans="2:12" ht="15.75" customHeight="1">
      <c r="B58" s="77"/>
      <c r="C58" s="78"/>
      <c r="D58" s="78"/>
      <c r="E58" s="78"/>
      <c r="F58" s="78"/>
      <c r="G58" s="78"/>
      <c r="H58" s="466" t="s">
        <v>82</v>
      </c>
      <c r="I58" s="467"/>
      <c r="J58" s="467"/>
      <c r="K58" s="467"/>
      <c r="L58" s="466"/>
    </row>
    <row r="59" spans="2:12" ht="15.75" customHeight="1">
      <c r="B59" s="77"/>
      <c r="C59" s="78"/>
      <c r="D59" s="78"/>
      <c r="E59" s="78"/>
      <c r="F59" s="78"/>
      <c r="G59" s="78"/>
      <c r="H59" s="466"/>
      <c r="I59" s="467"/>
      <c r="J59" s="467"/>
      <c r="K59" s="467"/>
      <c r="L59" s="466"/>
    </row>
    <row r="60" spans="2:12" ht="15.75" customHeight="1">
      <c r="B60" s="77"/>
      <c r="C60" s="78"/>
      <c r="D60" s="78"/>
      <c r="E60" s="78"/>
      <c r="F60" s="78"/>
      <c r="G60" s="78"/>
      <c r="H60" s="464" t="s">
        <v>83</v>
      </c>
      <c r="I60" s="465"/>
      <c r="J60" s="465"/>
      <c r="K60" s="465"/>
      <c r="L60" s="464"/>
    </row>
    <row r="61" spans="2:12" ht="15.75" customHeight="1">
      <c r="B61" s="77"/>
      <c r="C61" s="78"/>
      <c r="D61" s="78"/>
      <c r="E61" s="78"/>
      <c r="F61" s="78"/>
      <c r="G61" s="78"/>
      <c r="H61" s="464"/>
      <c r="I61" s="465"/>
      <c r="J61" s="465"/>
      <c r="K61" s="465"/>
      <c r="L61" s="464"/>
    </row>
    <row r="62" spans="2:12" ht="15.75" customHeight="1">
      <c r="B62" s="77"/>
      <c r="C62" s="78"/>
      <c r="D62" s="78"/>
      <c r="E62" s="78"/>
      <c r="F62" s="78"/>
      <c r="G62" s="78"/>
      <c r="H62" s="99"/>
      <c r="I62" s="100"/>
      <c r="J62" s="100"/>
      <c r="K62" s="100"/>
      <c r="L62" s="99"/>
    </row>
    <row r="63" spans="2:12" ht="18.75" customHeight="1">
      <c r="B63" s="79" t="s">
        <v>132</v>
      </c>
      <c r="C63" s="80"/>
      <c r="D63" s="80"/>
      <c r="E63" s="80"/>
      <c r="F63" s="80"/>
      <c r="G63" s="80"/>
      <c r="H63" s="81"/>
      <c r="I63" s="82"/>
      <c r="J63" s="467" t="str">
        <f>J6</f>
        <v>ANO 2011</v>
      </c>
      <c r="K63" s="467"/>
      <c r="L63" s="467"/>
    </row>
    <row r="64" spans="2:12" ht="13.5" customHeight="1">
      <c r="B64" s="101" t="s">
        <v>145</v>
      </c>
      <c r="C64" s="78"/>
      <c r="D64" s="78"/>
      <c r="E64" s="78"/>
      <c r="F64" s="78"/>
      <c r="H64" s="84"/>
      <c r="I64" s="84"/>
      <c r="J64" s="84"/>
      <c r="K64" s="84"/>
      <c r="L64" s="84"/>
    </row>
    <row r="65" spans="2:12" ht="13.5" customHeight="1">
      <c r="B65" s="101" t="s">
        <v>148</v>
      </c>
      <c r="C65" s="78"/>
      <c r="D65" s="78"/>
      <c r="E65" s="78"/>
      <c r="F65" s="78"/>
    </row>
    <row r="66" spans="2:12" ht="13.5" customHeight="1">
      <c r="B66" s="87" t="s">
        <v>149</v>
      </c>
      <c r="I66" s="85"/>
      <c r="J66" s="85"/>
      <c r="K66" s="85"/>
    </row>
    <row r="69" spans="2:12">
      <c r="G69" s="86"/>
      <c r="H69" s="452"/>
      <c r="I69" s="452"/>
      <c r="J69" s="452"/>
      <c r="K69" s="452"/>
      <c r="L69" s="452"/>
    </row>
    <row r="70" spans="2:12">
      <c r="G70" s="86"/>
      <c r="H70" s="452"/>
      <c r="I70" s="452"/>
      <c r="J70" s="452"/>
      <c r="K70" s="452"/>
      <c r="L70" s="452"/>
    </row>
    <row r="71" spans="2:12">
      <c r="G71" s="86"/>
      <c r="H71" s="87"/>
      <c r="I71" s="87"/>
      <c r="J71" s="87"/>
      <c r="K71" s="87"/>
      <c r="L71" s="87"/>
    </row>
    <row r="72" spans="2:12">
      <c r="B72" s="79" t="s">
        <v>133</v>
      </c>
      <c r="C72" s="80"/>
      <c r="D72" s="80"/>
      <c r="E72" s="80"/>
      <c r="F72" s="80"/>
      <c r="G72" s="88"/>
      <c r="H72" s="88"/>
      <c r="I72" s="86"/>
      <c r="J72" s="86"/>
      <c r="K72" s="86"/>
    </row>
    <row r="73" spans="2:12">
      <c r="B73" s="106" t="s">
        <v>134</v>
      </c>
      <c r="C73" s="106"/>
      <c r="D73" s="433" t="str">
        <f>D16</f>
        <v>Nuno</v>
      </c>
      <c r="E73" s="433"/>
      <c r="F73" s="433"/>
      <c r="G73" s="433"/>
      <c r="H73" s="433"/>
    </row>
    <row r="74" spans="2:12" ht="7.5" customHeight="1">
      <c r="B74" s="106"/>
      <c r="C74" s="106"/>
    </row>
    <row r="75" spans="2:12">
      <c r="B75" s="463" t="s">
        <v>44</v>
      </c>
      <c r="C75" s="463"/>
      <c r="D75" s="433" t="str">
        <f>D18</f>
        <v>Gerente</v>
      </c>
      <c r="E75" s="433"/>
    </row>
    <row r="76" spans="2:12">
      <c r="B76" s="463" t="s">
        <v>45</v>
      </c>
      <c r="C76" s="463"/>
      <c r="D76" s="433">
        <f>D19</f>
        <v>215600000</v>
      </c>
      <c r="E76" s="433"/>
    </row>
    <row r="77" spans="2:12">
      <c r="B77" s="463" t="s">
        <v>135</v>
      </c>
      <c r="C77" s="463"/>
      <c r="D77" s="433">
        <f>D20</f>
        <v>11075114000</v>
      </c>
      <c r="E77" s="433"/>
    </row>
    <row r="79" spans="2:12">
      <c r="B79" s="89"/>
      <c r="C79" s="89"/>
      <c r="D79" s="86"/>
      <c r="E79" s="86"/>
    </row>
    <row r="80" spans="2:12">
      <c r="B80" s="89"/>
      <c r="C80" s="89"/>
      <c r="D80" s="86"/>
      <c r="E80" s="86"/>
    </row>
    <row r="85" spans="2:12" ht="15">
      <c r="B85" s="454" t="s">
        <v>84</v>
      </c>
      <c r="C85" s="454"/>
      <c r="D85" s="454"/>
      <c r="E85" s="454"/>
      <c r="F85" s="454"/>
      <c r="G85" s="454"/>
      <c r="H85" s="454"/>
      <c r="I85" s="454"/>
      <c r="J85" s="454"/>
      <c r="K85" s="454"/>
      <c r="L85" s="454"/>
    </row>
    <row r="86" spans="2:12">
      <c r="B86" s="86"/>
      <c r="C86" s="86"/>
      <c r="D86" s="86"/>
      <c r="E86" s="86"/>
      <c r="F86" s="86"/>
      <c r="G86" s="86"/>
      <c r="H86" s="86"/>
      <c r="I86" s="86"/>
      <c r="J86" s="86"/>
      <c r="K86" s="86"/>
      <c r="L86" s="86"/>
    </row>
    <row r="88" spans="2:12">
      <c r="B88" s="452" t="s">
        <v>85</v>
      </c>
      <c r="C88" s="452"/>
      <c r="D88" s="452"/>
      <c r="E88" s="452"/>
      <c r="G88" s="455" t="s">
        <v>86</v>
      </c>
      <c r="H88" s="456"/>
      <c r="I88" s="457" t="s">
        <v>87</v>
      </c>
      <c r="J88" s="456"/>
      <c r="K88" s="455" t="s">
        <v>88</v>
      </c>
      <c r="L88" s="455"/>
    </row>
    <row r="89" spans="2:12">
      <c r="B89" s="90"/>
      <c r="C89" s="90"/>
      <c r="D89" s="90"/>
      <c r="E89" s="90"/>
      <c r="F89" s="90"/>
      <c r="G89" s="102"/>
      <c r="H89" s="103"/>
      <c r="I89" s="104"/>
      <c r="J89" s="105"/>
    </row>
    <row r="90" spans="2:12" s="47" customFormat="1" ht="12.75" customHeight="1">
      <c r="B90" s="458" t="s">
        <v>89</v>
      </c>
      <c r="C90" s="458"/>
      <c r="D90" s="458"/>
      <c r="E90" s="458"/>
      <c r="F90" s="95"/>
      <c r="G90" s="460">
        <f>G33</f>
        <v>1186.56</v>
      </c>
      <c r="H90" s="474"/>
      <c r="I90" s="469">
        <f>I33</f>
        <v>0</v>
      </c>
      <c r="J90" s="470"/>
      <c r="K90" s="471"/>
      <c r="L90" s="471"/>
    </row>
    <row r="91" spans="2:12">
      <c r="D91" s="84"/>
      <c r="E91" s="84"/>
      <c r="F91" s="84"/>
      <c r="G91" s="96"/>
      <c r="H91" s="97"/>
      <c r="I91" s="98"/>
      <c r="J91" s="94"/>
    </row>
    <row r="92" spans="2:12">
      <c r="D92" s="84"/>
      <c r="E92" s="84"/>
      <c r="F92" s="84"/>
      <c r="G92" s="96"/>
      <c r="H92" s="97"/>
      <c r="I92" s="98"/>
      <c r="J92" s="94"/>
    </row>
    <row r="93" spans="2:12">
      <c r="D93" s="84"/>
      <c r="E93" s="84"/>
      <c r="F93" s="84"/>
      <c r="G93" s="96"/>
      <c r="H93" s="97"/>
      <c r="I93" s="98"/>
      <c r="J93" s="94"/>
    </row>
    <row r="94" spans="2:12">
      <c r="G94" s="78"/>
      <c r="H94" s="94"/>
      <c r="I94" s="98"/>
      <c r="J94" s="94"/>
    </row>
    <row r="96" spans="2:12" ht="15">
      <c r="B96" s="454" t="s">
        <v>90</v>
      </c>
      <c r="C96" s="454"/>
      <c r="D96" s="454"/>
      <c r="E96" s="454"/>
      <c r="F96" s="454"/>
      <c r="G96" s="454"/>
      <c r="H96" s="454"/>
      <c r="I96" s="454"/>
      <c r="J96" s="454"/>
      <c r="K96" s="454"/>
      <c r="L96" s="454"/>
    </row>
    <row r="97" spans="2:12">
      <c r="B97" s="86"/>
      <c r="C97" s="86"/>
      <c r="D97" s="86"/>
      <c r="E97" s="86"/>
      <c r="F97" s="86"/>
      <c r="G97" s="86"/>
      <c r="H97" s="86"/>
      <c r="I97" s="86"/>
      <c r="J97" s="86"/>
      <c r="K97" s="86"/>
      <c r="L97" s="86"/>
    </row>
    <row r="99" spans="2:12">
      <c r="B99" s="452" t="s">
        <v>91</v>
      </c>
      <c r="C99" s="452"/>
      <c r="D99" s="452"/>
      <c r="E99" s="452"/>
      <c r="F99" s="452"/>
      <c r="G99" s="452"/>
      <c r="H99" s="453">
        <f>H42</f>
        <v>1034.5200000000002</v>
      </c>
      <c r="I99" s="453"/>
    </row>
    <row r="103" spans="2:12">
      <c r="B103" s="108"/>
      <c r="C103" s="109"/>
      <c r="D103" s="109"/>
      <c r="E103" s="109"/>
      <c r="F103" s="109"/>
      <c r="G103" s="105"/>
      <c r="H103" s="109"/>
      <c r="I103" s="109"/>
      <c r="J103" s="109"/>
      <c r="K103" s="109"/>
      <c r="L103" s="105"/>
    </row>
    <row r="104" spans="2:12">
      <c r="B104" s="98"/>
      <c r="C104" s="472" t="s">
        <v>150</v>
      </c>
      <c r="D104" s="472"/>
      <c r="E104" s="472"/>
      <c r="F104" s="78"/>
      <c r="G104" s="94"/>
      <c r="H104" s="78"/>
      <c r="I104" s="78"/>
      <c r="J104" s="78"/>
      <c r="K104" s="78"/>
      <c r="L104" s="94"/>
    </row>
    <row r="105" spans="2:12">
      <c r="B105" s="98"/>
      <c r="C105" s="473" t="s">
        <v>93</v>
      </c>
      <c r="D105" s="472"/>
      <c r="E105" s="472"/>
      <c r="F105" s="78"/>
      <c r="G105" s="94"/>
      <c r="H105" s="78"/>
      <c r="I105" s="78"/>
      <c r="J105" s="78"/>
      <c r="K105" s="78"/>
      <c r="L105" s="94"/>
    </row>
    <row r="106" spans="2:12">
      <c r="B106" s="98"/>
      <c r="C106" s="78"/>
      <c r="D106" s="78"/>
      <c r="E106" s="78"/>
      <c r="F106" s="78"/>
      <c r="G106" s="94"/>
      <c r="H106" s="78"/>
      <c r="I106" s="78"/>
      <c r="J106" s="78"/>
      <c r="K106" s="78"/>
      <c r="L106" s="94"/>
    </row>
    <row r="107" spans="2:12">
      <c r="B107" s="98"/>
      <c r="C107" s="78"/>
      <c r="D107" s="78"/>
      <c r="E107" s="78"/>
      <c r="F107" s="78"/>
      <c r="G107" s="94"/>
      <c r="H107" s="78"/>
      <c r="I107" s="78"/>
      <c r="J107" s="78"/>
      <c r="K107" s="78"/>
      <c r="L107" s="94"/>
    </row>
    <row r="108" spans="2:12">
      <c r="B108" s="110"/>
      <c r="C108" s="80"/>
      <c r="D108" s="80"/>
      <c r="E108" s="80"/>
      <c r="F108" s="80"/>
      <c r="G108" s="111"/>
      <c r="H108" s="80"/>
      <c r="I108" s="80"/>
      <c r="J108" s="80"/>
      <c r="K108" s="80"/>
      <c r="L108" s="111"/>
    </row>
  </sheetData>
  <mergeCells count="52">
    <mergeCell ref="B76:C76"/>
    <mergeCell ref="D76:E76"/>
    <mergeCell ref="K88:L88"/>
    <mergeCell ref="G90:H90"/>
    <mergeCell ref="H58:L59"/>
    <mergeCell ref="H60:L61"/>
    <mergeCell ref="J63:L63"/>
    <mergeCell ref="D73:H73"/>
    <mergeCell ref="C104:E104"/>
    <mergeCell ref="C105:E105"/>
    <mergeCell ref="H69:L69"/>
    <mergeCell ref="H70:L70"/>
    <mergeCell ref="B75:C75"/>
    <mergeCell ref="D75:E75"/>
    <mergeCell ref="B19:C19"/>
    <mergeCell ref="H12:L12"/>
    <mergeCell ref="H13:L13"/>
    <mergeCell ref="D16:H16"/>
    <mergeCell ref="I90:J90"/>
    <mergeCell ref="K90:L90"/>
    <mergeCell ref="C47:E47"/>
    <mergeCell ref="C48:E48"/>
    <mergeCell ref="B77:C77"/>
    <mergeCell ref="D77:E77"/>
    <mergeCell ref="B20:C20"/>
    <mergeCell ref="D20:E20"/>
    <mergeCell ref="B31:E31"/>
    <mergeCell ref="G31:H31"/>
    <mergeCell ref="H3:L4"/>
    <mergeCell ref="H1:L2"/>
    <mergeCell ref="J6:L6"/>
    <mergeCell ref="B28:L28"/>
    <mergeCell ref="B18:C18"/>
    <mergeCell ref="D18:E18"/>
    <mergeCell ref="K33:L33"/>
    <mergeCell ref="K31:L31"/>
    <mergeCell ref="I31:J31"/>
    <mergeCell ref="B33:E33"/>
    <mergeCell ref="D19:E19"/>
    <mergeCell ref="B42:G42"/>
    <mergeCell ref="G33:H33"/>
    <mergeCell ref="I33:J33"/>
    <mergeCell ref="H42:I42"/>
    <mergeCell ref="B39:L39"/>
    <mergeCell ref="B99:G99"/>
    <mergeCell ref="H99:I99"/>
    <mergeCell ref="B85:L85"/>
    <mergeCell ref="B88:E88"/>
    <mergeCell ref="G88:H88"/>
    <mergeCell ref="I88:J88"/>
    <mergeCell ref="B96:L96"/>
    <mergeCell ref="B90:E90"/>
  </mergeCells>
  <phoneticPr fontId="0" type="noConversion"/>
  <pageMargins left="0.31" right="0.35" top="0.61" bottom="0.9" header="0" footer="0"/>
  <pageSetup paperSize="9" fitToHeight="2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G26"/>
  <sheetViews>
    <sheetView tabSelected="1" workbookViewId="0">
      <selection activeCell="C29" sqref="C29"/>
    </sheetView>
  </sheetViews>
  <sheetFormatPr defaultRowHeight="12.75"/>
  <cols>
    <col min="2" max="2" width="7.28515625" customWidth="1"/>
    <col min="3" max="3" width="22.5703125" bestFit="1" customWidth="1"/>
    <col min="4" max="4" width="11" bestFit="1" customWidth="1"/>
    <col min="5" max="5" width="5.5703125" bestFit="1" customWidth="1"/>
    <col min="6" max="6" width="21.42578125" bestFit="1" customWidth="1"/>
    <col min="7" max="7" width="11" bestFit="1" customWidth="1"/>
  </cols>
  <sheetData>
    <row r="1" spans="1:7">
      <c r="A1">
        <v>1</v>
      </c>
      <c r="C1" s="65" t="str">
        <f>VLOOKUP($A$1,B13:G155,2)</f>
        <v>Janeiro</v>
      </c>
      <c r="D1" s="6"/>
      <c r="F1" s="195">
        <v>2011</v>
      </c>
    </row>
    <row r="2" spans="1:7">
      <c r="B2" s="51"/>
      <c r="C2" s="51"/>
      <c r="D2" s="51"/>
      <c r="E2" s="51"/>
      <c r="F2" s="51"/>
      <c r="G2" s="52"/>
    </row>
    <row r="3" spans="1:7">
      <c r="B3" s="475" t="s">
        <v>96</v>
      </c>
      <c r="C3" s="476"/>
      <c r="D3" s="477"/>
      <c r="E3" s="478" t="s">
        <v>97</v>
      </c>
      <c r="F3" s="479"/>
      <c r="G3" s="480"/>
    </row>
    <row r="4" spans="1:7">
      <c r="B4" s="55">
        <v>631</v>
      </c>
      <c r="C4" s="56" t="s">
        <v>98</v>
      </c>
      <c r="D4" s="57">
        <f ca="1">VLOOKUP($A$1,'Tabela Final'!$A$5:$BW$193,49)</f>
        <v>1068.02</v>
      </c>
      <c r="E4" s="55">
        <v>245</v>
      </c>
      <c r="F4" s="56" t="s">
        <v>99</v>
      </c>
      <c r="G4" s="57">
        <f ca="1">VLOOKUP($A$1,'Tabela Final'!$A$5:$BW$193,48)</f>
        <v>663.25</v>
      </c>
    </row>
    <row r="5" spans="1:7">
      <c r="B5" s="53">
        <v>632</v>
      </c>
      <c r="C5" s="54" t="s">
        <v>100</v>
      </c>
      <c r="D5" s="58">
        <f ca="1">VLOOKUP($A$1,'Tabela Final'!$A$5:$BW$193,50)</f>
        <v>1357.04</v>
      </c>
      <c r="E5" s="53">
        <v>2421</v>
      </c>
      <c r="F5" s="54" t="s">
        <v>101</v>
      </c>
      <c r="G5" s="58">
        <f ca="1">VLOOKUP($A$1,'Tabela Final'!$A$5:$BW$193,41)</f>
        <v>74.16</v>
      </c>
    </row>
    <row r="6" spans="1:7">
      <c r="B6" s="53"/>
      <c r="C6" s="54"/>
      <c r="D6" s="58"/>
      <c r="E6" s="53">
        <v>2311</v>
      </c>
      <c r="F6" s="54" t="s">
        <v>102</v>
      </c>
      <c r="G6" s="58">
        <f ca="1">VLOOKUP($A$1,'Tabela Final'!$A$5:$BW$193,46)</f>
        <v>907.65</v>
      </c>
    </row>
    <row r="7" spans="1:7">
      <c r="B7" s="53"/>
      <c r="C7" s="54"/>
      <c r="D7" s="58"/>
      <c r="E7" s="53">
        <v>2312</v>
      </c>
      <c r="F7" s="54" t="s">
        <v>103</v>
      </c>
      <c r="G7" s="58">
        <f ca="1">VLOOKUP($A$1,'Tabela Final'!$A$5:$BW$193,47)</f>
        <v>1238.79</v>
      </c>
    </row>
    <row r="8" spans="1:7">
      <c r="B8" s="53">
        <v>6351</v>
      </c>
      <c r="C8" s="54" t="s">
        <v>104</v>
      </c>
      <c r="D8" s="58">
        <f ca="1">VLOOKUP($A$1,'Tabela Final'!$A$5:$BW$193,43)</f>
        <v>196.98749999999998</v>
      </c>
      <c r="E8" s="59"/>
      <c r="F8" s="54"/>
      <c r="G8" s="58"/>
    </row>
    <row r="9" spans="1:7">
      <c r="B9" s="60">
        <v>6352</v>
      </c>
      <c r="C9" s="61" t="s">
        <v>105</v>
      </c>
      <c r="D9" s="63">
        <f ca="1">VLOOKUP($A$1,'Tabela Final'!$A$5:$BW$193,45)</f>
        <v>255.31</v>
      </c>
      <c r="E9" s="62"/>
      <c r="F9" s="61"/>
      <c r="G9" s="63"/>
    </row>
    <row r="10" spans="1:7">
      <c r="D10" s="199">
        <f>SUM(D4:D9)</f>
        <v>2877.3575000000001</v>
      </c>
      <c r="E10" s="64"/>
      <c r="F10" s="64"/>
      <c r="G10" s="199">
        <f>SUM(G4:G9)</f>
        <v>2883.85</v>
      </c>
    </row>
    <row r="11" spans="1:7">
      <c r="D11" s="481"/>
      <c r="E11" s="481"/>
    </row>
    <row r="13" spans="1:7">
      <c r="B13">
        <v>1</v>
      </c>
      <c r="C13" t="s">
        <v>108</v>
      </c>
      <c r="D13" s="76"/>
    </row>
    <row r="14" spans="1:7">
      <c r="B14">
        <v>6</v>
      </c>
      <c r="C14" t="s">
        <v>109</v>
      </c>
      <c r="D14" s="76"/>
    </row>
    <row r="15" spans="1:7">
      <c r="B15">
        <v>11</v>
      </c>
      <c r="C15" t="s">
        <v>110</v>
      </c>
      <c r="D15" s="76"/>
    </row>
    <row r="16" spans="1:7">
      <c r="B16">
        <v>16</v>
      </c>
      <c r="C16" t="s">
        <v>111</v>
      </c>
      <c r="D16" s="76"/>
    </row>
    <row r="17" spans="2:3">
      <c r="B17">
        <v>21</v>
      </c>
      <c r="C17" t="s">
        <v>112</v>
      </c>
    </row>
    <row r="18" spans="2:3">
      <c r="B18">
        <v>26</v>
      </c>
      <c r="C18" t="s">
        <v>113</v>
      </c>
    </row>
    <row r="19" spans="2:3">
      <c r="B19">
        <v>31</v>
      </c>
      <c r="C19" t="s">
        <v>114</v>
      </c>
    </row>
    <row r="20" spans="2:3">
      <c r="B20">
        <v>36</v>
      </c>
      <c r="C20" t="s">
        <v>115</v>
      </c>
    </row>
    <row r="21" spans="2:3">
      <c r="B21">
        <v>41</v>
      </c>
      <c r="C21" t="s">
        <v>116</v>
      </c>
    </row>
    <row r="22" spans="2:3">
      <c r="B22">
        <v>46</v>
      </c>
      <c r="C22" t="s">
        <v>117</v>
      </c>
    </row>
    <row r="23" spans="2:3">
      <c r="B23">
        <v>51</v>
      </c>
      <c r="C23" t="s">
        <v>118</v>
      </c>
    </row>
    <row r="24" spans="2:3">
      <c r="B24">
        <v>56</v>
      </c>
      <c r="C24" t="s">
        <v>119</v>
      </c>
    </row>
    <row r="25" spans="2:3">
      <c r="B25">
        <v>61</v>
      </c>
      <c r="C25" t="s">
        <v>147</v>
      </c>
    </row>
    <row r="26" spans="2:3">
      <c r="B26">
        <v>64</v>
      </c>
      <c r="C26" t="s">
        <v>136</v>
      </c>
    </row>
  </sheetData>
  <mergeCells count="3">
    <mergeCell ref="B3:D3"/>
    <mergeCell ref="E3:G3"/>
    <mergeCell ref="D11:E11"/>
  </mergeCells>
  <phoneticPr fontId="7" type="noConversion"/>
  <printOptions horizontalCentered="1"/>
  <pageMargins left="0.74803149606299213" right="0.74803149606299213" top="0.98425196850393704" bottom="0.98425196850393704" header="0" footer="0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5</vt:i4>
      </vt:variant>
    </vt:vector>
  </HeadingPairs>
  <TitlesOfParts>
    <vt:vector size="11" baseType="lpstr">
      <vt:lpstr>Tabela Final</vt:lpstr>
      <vt:lpstr> Pessoal</vt:lpstr>
      <vt:lpstr>Recibo</vt:lpstr>
      <vt:lpstr>Recibo Férias-Natal</vt:lpstr>
      <vt:lpstr>Declaração IRS</vt:lpstr>
      <vt:lpstr>Segurança Social</vt:lpstr>
      <vt:lpstr>'Declaração IRS'!Print_Area</vt:lpstr>
      <vt:lpstr>Recibo!Print_Area</vt:lpstr>
      <vt:lpstr>'Recibo Férias-Natal'!Print_Area</vt:lpstr>
      <vt:lpstr>'Segurança Social'!Print_Area</vt:lpstr>
      <vt:lpstr>'Tabela Final'!Print_Area</vt:lpstr>
    </vt:vector>
  </TitlesOfParts>
  <Company>Sector Terciário Porto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Pc1</dc:creator>
  <cp:lastModifiedBy>Administrador</cp:lastModifiedBy>
  <cp:lastPrinted>2011-03-28T11:09:11Z</cp:lastPrinted>
  <dcterms:created xsi:type="dcterms:W3CDTF">2003-06-17T10:29:56Z</dcterms:created>
  <dcterms:modified xsi:type="dcterms:W3CDTF">2011-03-28T14:40:25Z</dcterms:modified>
</cp:coreProperties>
</file>