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EsteLivro" defaultThemeVersion="124226"/>
  <bookViews>
    <workbookView xWindow="75" yWindow="405" windowWidth="15480" windowHeight="11055" tabRatio="799" firstSheet="1" activeTab="12"/>
  </bookViews>
  <sheets>
    <sheet name="Regras de Utilização" sheetId="24" r:id="rId1"/>
    <sheet name="Pressupostos" sheetId="12" r:id="rId2"/>
    <sheet name="VN" sheetId="1" r:id="rId3"/>
    <sheet name="CMVMC" sheetId="15" r:id="rId4"/>
    <sheet name="FSE" sheetId="6" r:id="rId5"/>
    <sheet name="Gastos com Pessoal" sheetId="7" r:id="rId6"/>
    <sheet name="FundoManeio" sheetId="3" r:id="rId7"/>
    <sheet name="Investimento" sheetId="25" r:id="rId8"/>
    <sheet name="Financiamento" sheetId="9" r:id="rId9"/>
    <sheet name="Ponto Crítico" sheetId="29" r:id="rId10"/>
    <sheet name="DR" sheetId="2" r:id="rId11"/>
    <sheet name="Cash Flow" sheetId="18" r:id="rId12"/>
    <sheet name="PlanoFinanceiro" sheetId="20" r:id="rId13"/>
    <sheet name="Balanço" sheetId="4" r:id="rId14"/>
    <sheet name="Indicadores" sheetId="5" r:id="rId15"/>
    <sheet name="Avaliação" sheetId="11" r:id="rId16"/>
    <sheet name="Calculos Auxiliares" sheetId="28" r:id="rId17"/>
  </sheets>
  <externalReferences>
    <externalReference r:id="rId18"/>
    <externalReference r:id="rId19"/>
  </externalReferences>
  <definedNames>
    <definedName name="anscount" hidden="1">1</definedName>
    <definedName name="_xlnm.Print_Area" localSheetId="15">Avaliação!$A$1:$I$48</definedName>
    <definedName name="_xlnm.Print_Area" localSheetId="13">Balanço!$A$1:$H$51</definedName>
    <definedName name="_xlnm.Print_Area" localSheetId="16">'Calculos Auxiliares'!$A$1:$H$159</definedName>
    <definedName name="_xlnm.Print_Area" localSheetId="11">'Cash Flow'!$A$1:$H$23</definedName>
    <definedName name="_xlnm.Print_Area" localSheetId="3">CMVMC!$A$1:$H$29</definedName>
    <definedName name="_xlnm.Print_Area" localSheetId="10">DR!$A$1:$G$32</definedName>
    <definedName name="_xlnm.Print_Area" localSheetId="8">Financiamento!$A$1:$H$98</definedName>
    <definedName name="_xlnm.Print_Area" localSheetId="4">FSE!$A$1:$K$53</definedName>
    <definedName name="_xlnm.Print_Area" localSheetId="6">FundoManeio!$A$1:$H$27</definedName>
    <definedName name="_xlnm.Print_Area" localSheetId="5">'Gastos com Pessoal'!$A$1:$I$87</definedName>
    <definedName name="_xlnm.Print_Area" localSheetId="14">Indicadores!$A$1:$G$28</definedName>
    <definedName name="_xlnm.Print_Area" localSheetId="7">Investimento!$A$1:$H$166</definedName>
    <definedName name="_xlnm.Print_Area" localSheetId="12">PlanoFinanceiro!$A$1:$H$35</definedName>
    <definedName name="_xlnm.Print_Area" localSheetId="9">'Ponto Crítico'!$A$1:$G$13</definedName>
    <definedName name="_xlnm.Print_Area" localSheetId="1">Pressupostos!$A$1:$E$51</definedName>
    <definedName name="_xlnm.Print_Area" localSheetId="0">'Regras de Utilização'!$B$1:$C$39</definedName>
    <definedName name="_xlnm.Print_Area" localSheetId="2">VN!$A$1:$H$88</definedName>
    <definedName name="Bu">[1]INPUT!$B$10</definedName>
    <definedName name="DC">[1]INPUT!$B$8</definedName>
    <definedName name="EXHIBIT_01">#REF!</definedName>
    <definedName name="EXHIBIT_02" localSheetId="16">#REF!</definedName>
    <definedName name="EXHIBIT_02" localSheetId="9">#REF!</definedName>
    <definedName name="EXHIBIT_02">#REF!</definedName>
    <definedName name="EXHIBIT_05" localSheetId="16">#REF!</definedName>
    <definedName name="EXHIBIT_05" localSheetId="9">#REF!</definedName>
    <definedName name="EXHIBIT_05">#REF!</definedName>
    <definedName name="EXHIBIT_06" localSheetId="16">#REF!</definedName>
    <definedName name="EXHIBIT_06" localSheetId="9">#REF!</definedName>
    <definedName name="EXHIBIT_06">#REF!</definedName>
    <definedName name="EXHIBIT_07" localSheetId="16">#REF!</definedName>
    <definedName name="EXHIBIT_07" localSheetId="9">#REF!</definedName>
    <definedName name="EXHIBIT_07">#REF!</definedName>
    <definedName name="EXHIBIT_08" localSheetId="16">#REF!</definedName>
    <definedName name="EXHIBIT_08" localSheetId="9">#REF!</definedName>
    <definedName name="EXHIBIT_08">#REF!</definedName>
    <definedName name="new_proj">'[2]Novos Projectos'!$A$3:$A$57</definedName>
    <definedName name="Pm">[1]INPUT!$B$6</definedName>
    <definedName name="Rd">[1]INPUT!$B$4</definedName>
    <definedName name="t">[1]INPUT!$B$7</definedName>
    <definedName name="TD">[1]INPUT!$B$9</definedName>
    <definedName name="_xlnm.Print_Titles" localSheetId="8">Financiamento!$1:$6</definedName>
    <definedName name="_xlnm.Print_Titles" localSheetId="5">'Gastos com Pessoal'!$1:$4</definedName>
    <definedName name="_xlnm.Print_Titles" localSheetId="2">VN!$1:$5</definedName>
    <definedName name="VARa">[1]INPUT!$B$12</definedName>
  </definedNames>
  <calcPr calcId="125725"/>
</workbook>
</file>

<file path=xl/calcChain.xml><?xml version="1.0" encoding="utf-8"?>
<calcChain xmlns="http://schemas.openxmlformats.org/spreadsheetml/2006/main">
  <c r="D57" i="28"/>
  <c r="D58"/>
  <c r="D59"/>
  <c r="D60"/>
  <c r="D61"/>
  <c r="D62"/>
  <c r="D63"/>
  <c r="D64"/>
  <c r="D65"/>
  <c r="D66"/>
  <c r="D67"/>
  <c r="D68"/>
  <c r="D69"/>
  <c r="D70"/>
  <c r="D71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D126"/>
  <c r="E126"/>
  <c r="F126"/>
  <c r="G126"/>
  <c r="H126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89"/>
  <c r="G89"/>
  <c r="H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89"/>
  <c r="C113"/>
  <c r="C112"/>
  <c r="C111"/>
  <c r="C110"/>
  <c r="C118"/>
  <c r="C117"/>
  <c r="C116"/>
  <c r="C108"/>
  <c r="C107"/>
  <c r="C106"/>
  <c r="C104"/>
  <c r="C103"/>
  <c r="C102"/>
  <c r="C101"/>
  <c r="C100"/>
  <c r="H52" l="1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51"/>
  <c r="D52"/>
  <c r="D53"/>
  <c r="D54"/>
  <c r="D55"/>
  <c r="D56"/>
  <c r="D72"/>
  <c r="D73"/>
  <c r="D74"/>
  <c r="D75"/>
  <c r="D76"/>
  <c r="D77"/>
  <c r="D78"/>
  <c r="D79"/>
  <c r="D80"/>
  <c r="D81"/>
  <c r="D82"/>
  <c r="D51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H46"/>
  <c r="F46"/>
  <c r="G46"/>
  <c r="E46"/>
  <c r="D65" i="7" l="1"/>
  <c r="D64" l="1"/>
  <c r="D20" i="1"/>
  <c r="E20" s="1"/>
  <c r="F20" s="1"/>
  <c r="G20" s="1"/>
  <c r="H20" s="1"/>
  <c r="C21" l="1"/>
  <c r="C11" i="15" s="1"/>
  <c r="C13" i="1"/>
  <c r="E65" i="7" l="1"/>
  <c r="F65"/>
  <c r="G65"/>
  <c r="H65"/>
  <c r="I65"/>
  <c r="E64"/>
  <c r="G12"/>
  <c r="H12" s="1"/>
  <c r="C16" i="6"/>
  <c r="C9" i="29"/>
  <c r="B9"/>
  <c r="D9"/>
  <c r="E9"/>
  <c r="F9"/>
  <c r="G9"/>
  <c r="A9"/>
  <c r="A8"/>
  <c r="C8" i="1"/>
  <c r="D8" s="1"/>
  <c r="G2" i="29"/>
  <c r="G1"/>
  <c r="C13" i="6"/>
  <c r="C15"/>
  <c r="C17"/>
  <c r="C18"/>
  <c r="C19"/>
  <c r="C20"/>
  <c r="C22"/>
  <c r="C23"/>
  <c r="C24"/>
  <c r="C25"/>
  <c r="C27"/>
  <c r="C28"/>
  <c r="C29"/>
  <c r="C31"/>
  <c r="C32"/>
  <c r="C33"/>
  <c r="C35"/>
  <c r="C36"/>
  <c r="C37"/>
  <c r="C38"/>
  <c r="C39"/>
  <c r="C40"/>
  <c r="C41"/>
  <c r="C42"/>
  <c r="G50" i="11"/>
  <c r="C11"/>
  <c r="B59" s="1"/>
  <c r="D125" i="28"/>
  <c r="E125"/>
  <c r="H125"/>
  <c r="C126"/>
  <c r="C125"/>
  <c r="H1"/>
  <c r="C43"/>
  <c r="D43" s="1"/>
  <c r="D46"/>
  <c r="C46"/>
  <c r="E11" i="20"/>
  <c r="G11"/>
  <c r="H11"/>
  <c r="C85" i="7"/>
  <c r="C86"/>
  <c r="C84"/>
  <c r="C58"/>
  <c r="C57"/>
  <c r="D46" i="4"/>
  <c r="E46"/>
  <c r="F46"/>
  <c r="G46"/>
  <c r="H46"/>
  <c r="C31"/>
  <c r="D31" s="1"/>
  <c r="E31" s="1"/>
  <c r="F31" s="1"/>
  <c r="G31" s="1"/>
  <c r="H31" s="1"/>
  <c r="C28"/>
  <c r="D28" s="1"/>
  <c r="E28" s="1"/>
  <c r="C26"/>
  <c r="D26" s="1"/>
  <c r="E26" s="1"/>
  <c r="F26" s="1"/>
  <c r="G26" s="1"/>
  <c r="H26" s="1"/>
  <c r="D27" i="2"/>
  <c r="E15" i="20" s="1"/>
  <c r="E27" i="2"/>
  <c r="F15" i="20" s="1"/>
  <c r="F27" i="2"/>
  <c r="G27"/>
  <c r="C71" i="25"/>
  <c r="B144"/>
  <c r="H150"/>
  <c r="C72"/>
  <c r="B158"/>
  <c r="F162" s="1"/>
  <c r="G162" s="1"/>
  <c r="H162" s="1"/>
  <c r="B151"/>
  <c r="B137"/>
  <c r="H143" s="1"/>
  <c r="B128"/>
  <c r="H134"/>
  <c r="B121"/>
  <c r="B114"/>
  <c r="H120" s="1"/>
  <c r="B107"/>
  <c r="F111" s="1"/>
  <c r="G111" s="1"/>
  <c r="H111" s="1"/>
  <c r="B100"/>
  <c r="B93"/>
  <c r="G98" s="1"/>
  <c r="H98" s="1"/>
  <c r="H106"/>
  <c r="G105"/>
  <c r="H105" s="1"/>
  <c r="F104"/>
  <c r="G104" s="1"/>
  <c r="H104" s="1"/>
  <c r="E103"/>
  <c r="F103" s="1"/>
  <c r="G103" s="1"/>
  <c r="H103" s="1"/>
  <c r="D102"/>
  <c r="E102" s="1"/>
  <c r="F102" s="1"/>
  <c r="G102" s="1"/>
  <c r="H102" s="1"/>
  <c r="C101"/>
  <c r="D101" s="1"/>
  <c r="B84"/>
  <c r="H90" s="1"/>
  <c r="B77"/>
  <c r="H83" s="1"/>
  <c r="C85"/>
  <c r="D85" s="1"/>
  <c r="C52"/>
  <c r="D52" s="1"/>
  <c r="C51"/>
  <c r="D51" s="1"/>
  <c r="E51" s="1"/>
  <c r="F51" s="1"/>
  <c r="G51" s="1"/>
  <c r="H51" s="1"/>
  <c r="C50"/>
  <c r="D50" s="1"/>
  <c r="E50" s="1"/>
  <c r="F50" s="1"/>
  <c r="G50" s="1"/>
  <c r="C49"/>
  <c r="D49" s="1"/>
  <c r="E49" s="1"/>
  <c r="F49" s="1"/>
  <c r="G49" s="1"/>
  <c r="H49" s="1"/>
  <c r="C53"/>
  <c r="D53" s="1"/>
  <c r="E53" s="1"/>
  <c r="F53" s="1"/>
  <c r="G53" s="1"/>
  <c r="H53" s="1"/>
  <c r="C41"/>
  <c r="D41" s="1"/>
  <c r="E41" s="1"/>
  <c r="F41" s="1"/>
  <c r="G41" s="1"/>
  <c r="H41" s="1"/>
  <c r="C42"/>
  <c r="D42" s="1"/>
  <c r="E42" s="1"/>
  <c r="F42" s="1"/>
  <c r="G42" s="1"/>
  <c r="H42" s="1"/>
  <c r="C43"/>
  <c r="D43" s="1"/>
  <c r="C44"/>
  <c r="D44" s="1"/>
  <c r="E44" s="1"/>
  <c r="F44" s="1"/>
  <c r="G44" s="1"/>
  <c r="H44" s="1"/>
  <c r="C45"/>
  <c r="D45" s="1"/>
  <c r="E45" s="1"/>
  <c r="F45" s="1"/>
  <c r="G45" s="1"/>
  <c r="H45" s="1"/>
  <c r="C46"/>
  <c r="D46" s="1"/>
  <c r="E46" s="1"/>
  <c r="F46" s="1"/>
  <c r="G46" s="1"/>
  <c r="H46" s="1"/>
  <c r="C40"/>
  <c r="D40" s="1"/>
  <c r="E40" s="1"/>
  <c r="F40" s="1"/>
  <c r="G40" s="1"/>
  <c r="H40" s="1"/>
  <c r="C35"/>
  <c r="D35" s="1"/>
  <c r="C36"/>
  <c r="D36" s="1"/>
  <c r="E36" s="1"/>
  <c r="F36" s="1"/>
  <c r="G36" s="1"/>
  <c r="H36" s="1"/>
  <c r="C37"/>
  <c r="D37" s="1"/>
  <c r="E37" s="1"/>
  <c r="F37" s="1"/>
  <c r="G37" s="1"/>
  <c r="H37" s="1"/>
  <c r="D78" i="7"/>
  <c r="G13" i="6"/>
  <c r="G15"/>
  <c r="H15" s="1"/>
  <c r="I15" s="1"/>
  <c r="J15" s="1"/>
  <c r="K15" s="1"/>
  <c r="G16"/>
  <c r="H16" s="1"/>
  <c r="I16" s="1"/>
  <c r="J16" s="1"/>
  <c r="K16" s="1"/>
  <c r="G17"/>
  <c r="H17" s="1"/>
  <c r="I17" s="1"/>
  <c r="J17" s="1"/>
  <c r="K17" s="1"/>
  <c r="G18"/>
  <c r="G19"/>
  <c r="H19" s="1"/>
  <c r="I19" s="1"/>
  <c r="J19" s="1"/>
  <c r="K19" s="1"/>
  <c r="G20"/>
  <c r="H20" s="1"/>
  <c r="I20" s="1"/>
  <c r="J20" s="1"/>
  <c r="K20" s="1"/>
  <c r="G22"/>
  <c r="H22" s="1"/>
  <c r="I22" s="1"/>
  <c r="J22" s="1"/>
  <c r="K22" s="1"/>
  <c r="G23"/>
  <c r="G24"/>
  <c r="H24" s="1"/>
  <c r="I24" s="1"/>
  <c r="G25"/>
  <c r="G27"/>
  <c r="H27" s="1"/>
  <c r="I27" s="1"/>
  <c r="J27" s="1"/>
  <c r="K27" s="1"/>
  <c r="G28"/>
  <c r="G29"/>
  <c r="H29" s="1"/>
  <c r="I29" s="1"/>
  <c r="J29" s="1"/>
  <c r="K29" s="1"/>
  <c r="G31"/>
  <c r="G32"/>
  <c r="H32" s="1"/>
  <c r="I32" s="1"/>
  <c r="J32" s="1"/>
  <c r="K32" s="1"/>
  <c r="G33"/>
  <c r="G35"/>
  <c r="H35" s="1"/>
  <c r="I35" s="1"/>
  <c r="J35" s="1"/>
  <c r="K35" s="1"/>
  <c r="G36"/>
  <c r="G37"/>
  <c r="H37" s="1"/>
  <c r="I37" s="1"/>
  <c r="J37" s="1"/>
  <c r="K37" s="1"/>
  <c r="G38"/>
  <c r="G39"/>
  <c r="H39" s="1"/>
  <c r="I39" s="1"/>
  <c r="J39" s="1"/>
  <c r="K39" s="1"/>
  <c r="G40"/>
  <c r="G41"/>
  <c r="H41" s="1"/>
  <c r="G42"/>
  <c r="H23"/>
  <c r="I23" s="1"/>
  <c r="J23" s="1"/>
  <c r="K23" s="1"/>
  <c r="H25"/>
  <c r="I25" s="1"/>
  <c r="J25" s="1"/>
  <c r="K25" s="1"/>
  <c r="H28"/>
  <c r="I28" s="1"/>
  <c r="J28" s="1"/>
  <c r="K28" s="1"/>
  <c r="H31"/>
  <c r="I31" s="1"/>
  <c r="J31" s="1"/>
  <c r="K31" s="1"/>
  <c r="H33"/>
  <c r="I33" s="1"/>
  <c r="J33" s="1"/>
  <c r="K33" s="1"/>
  <c r="H36"/>
  <c r="H38"/>
  <c r="I38" s="1"/>
  <c r="J38" s="1"/>
  <c r="K38" s="1"/>
  <c r="H40"/>
  <c r="I40" s="1"/>
  <c r="J40" s="1"/>
  <c r="K40" s="1"/>
  <c r="I36"/>
  <c r="J36" s="1"/>
  <c r="K36" s="1"/>
  <c r="F13"/>
  <c r="F15"/>
  <c r="F16"/>
  <c r="F17"/>
  <c r="F18"/>
  <c r="F19"/>
  <c r="F20"/>
  <c r="F22"/>
  <c r="F23"/>
  <c r="F24"/>
  <c r="F25"/>
  <c r="F27"/>
  <c r="F28"/>
  <c r="F29"/>
  <c r="F31"/>
  <c r="F32"/>
  <c r="F33"/>
  <c r="F35"/>
  <c r="F36"/>
  <c r="F37"/>
  <c r="F38"/>
  <c r="F39"/>
  <c r="F40"/>
  <c r="F41"/>
  <c r="F42"/>
  <c r="D12" i="25"/>
  <c r="D21"/>
  <c r="D28"/>
  <c r="E12"/>
  <c r="E21"/>
  <c r="E28"/>
  <c r="F12"/>
  <c r="F21"/>
  <c r="F28"/>
  <c r="G12"/>
  <c r="G21"/>
  <c r="G28"/>
  <c r="H12"/>
  <c r="H21"/>
  <c r="H28"/>
  <c r="C12"/>
  <c r="C21"/>
  <c r="C28"/>
  <c r="E27" i="7"/>
  <c r="E41" s="1"/>
  <c r="E28"/>
  <c r="E42" s="1"/>
  <c r="E29"/>
  <c r="E43" s="1"/>
  <c r="E30"/>
  <c r="E44" s="1"/>
  <c r="E31"/>
  <c r="E45" s="1"/>
  <c r="E32"/>
  <c r="E46" s="1"/>
  <c r="E33"/>
  <c r="E47" s="1"/>
  <c r="E34"/>
  <c r="E48" s="1"/>
  <c r="E35"/>
  <c r="E49" s="1"/>
  <c r="E36"/>
  <c r="E50" s="1"/>
  <c r="E37"/>
  <c r="E51" s="1"/>
  <c r="E23"/>
  <c r="E60" s="1"/>
  <c r="E77" s="1"/>
  <c r="F33"/>
  <c r="F47" s="1"/>
  <c r="F37"/>
  <c r="F51" s="1"/>
  <c r="F23"/>
  <c r="G7"/>
  <c r="H7" s="1"/>
  <c r="I7" s="1"/>
  <c r="G23"/>
  <c r="G60" s="1"/>
  <c r="G77" s="1"/>
  <c r="D41"/>
  <c r="D57" s="1"/>
  <c r="D42"/>
  <c r="D43"/>
  <c r="D44"/>
  <c r="D45"/>
  <c r="D46"/>
  <c r="D47"/>
  <c r="D48"/>
  <c r="D49"/>
  <c r="D50"/>
  <c r="D51"/>
  <c r="D23"/>
  <c r="D60" s="1"/>
  <c r="D77" s="1"/>
  <c r="D46" i="1"/>
  <c r="E46" s="1"/>
  <c r="D16"/>
  <c r="E16" s="1"/>
  <c r="F16" s="1"/>
  <c r="F36" s="1"/>
  <c r="F33" s="1"/>
  <c r="C9" i="15"/>
  <c r="B71" i="9"/>
  <c r="B83"/>
  <c r="H87" s="1"/>
  <c r="H88" s="1"/>
  <c r="H90" s="1"/>
  <c r="B59"/>
  <c r="H63" s="1"/>
  <c r="B35"/>
  <c r="F39" s="1"/>
  <c r="D27"/>
  <c r="B31" i="25"/>
  <c r="B72" i="1"/>
  <c r="B78"/>
  <c r="C13" i="12"/>
  <c r="B18" i="15"/>
  <c r="B27" i="2"/>
  <c r="C15" i="20" s="1"/>
  <c r="C27" i="2"/>
  <c r="D15" i="20" s="1"/>
  <c r="G15"/>
  <c r="H15"/>
  <c r="C10"/>
  <c r="D10"/>
  <c r="E10"/>
  <c r="F10"/>
  <c r="G10"/>
  <c r="H10"/>
  <c r="C12"/>
  <c r="D12"/>
  <c r="G12"/>
  <c r="H12"/>
  <c r="C12" i="11"/>
  <c r="D12" s="1"/>
  <c r="D14" i="1"/>
  <c r="C33"/>
  <c r="C14" i="15" s="1"/>
  <c r="C98" i="9"/>
  <c r="C23" i="20" s="1"/>
  <c r="D38" i="9"/>
  <c r="D41" s="1"/>
  <c r="C26"/>
  <c r="C32" s="1"/>
  <c r="C14" i="12"/>
  <c r="C15"/>
  <c r="C66" i="1"/>
  <c r="C76" s="1"/>
  <c r="C54"/>
  <c r="D34"/>
  <c r="E34" s="1"/>
  <c r="D36"/>
  <c r="D33" s="1"/>
  <c r="A15" i="15"/>
  <c r="A14"/>
  <c r="A12"/>
  <c r="A11"/>
  <c r="A10"/>
  <c r="A9"/>
  <c r="C7" i="25"/>
  <c r="C33" s="1"/>
  <c r="D62" i="1"/>
  <c r="E62" s="1"/>
  <c r="F62" s="1"/>
  <c r="G62" s="1"/>
  <c r="H62" s="1"/>
  <c r="D18"/>
  <c r="D24"/>
  <c r="E24" s="1"/>
  <c r="D22"/>
  <c r="E22" s="1"/>
  <c r="D28"/>
  <c r="E28" s="1"/>
  <c r="D26"/>
  <c r="D40"/>
  <c r="E40" s="1"/>
  <c r="D38"/>
  <c r="D48"/>
  <c r="E48" s="1"/>
  <c r="F48" s="1"/>
  <c r="D50"/>
  <c r="D52"/>
  <c r="E52" s="1"/>
  <c r="F52" s="1"/>
  <c r="G52" s="1"/>
  <c r="H52" s="1"/>
  <c r="D58"/>
  <c r="D60"/>
  <c r="D64"/>
  <c r="E38"/>
  <c r="F38" s="1"/>
  <c r="G38" s="1"/>
  <c r="H38" s="1"/>
  <c r="E50"/>
  <c r="F50" s="1"/>
  <c r="G50" s="1"/>
  <c r="H50" s="1"/>
  <c r="E64"/>
  <c r="F64" s="1"/>
  <c r="G64" s="1"/>
  <c r="H64" s="1"/>
  <c r="C17"/>
  <c r="C25"/>
  <c r="C12" i="15" s="1"/>
  <c r="C37" i="1"/>
  <c r="C15" i="15" s="1"/>
  <c r="C75" i="1"/>
  <c r="C78" s="1"/>
  <c r="H2" i="25"/>
  <c r="H1"/>
  <c r="D6" i="7"/>
  <c r="D71" s="1"/>
  <c r="D82" s="1"/>
  <c r="A27"/>
  <c r="A41" s="1"/>
  <c r="A37"/>
  <c r="A51" s="1"/>
  <c r="A36"/>
  <c r="A50" s="1"/>
  <c r="A35"/>
  <c r="A49" s="1"/>
  <c r="A34"/>
  <c r="A48" s="1"/>
  <c r="A33"/>
  <c r="A47" s="1"/>
  <c r="A32"/>
  <c r="A46" s="1"/>
  <c r="A31"/>
  <c r="A45" s="1"/>
  <c r="A30"/>
  <c r="A44" s="1"/>
  <c r="A29"/>
  <c r="A43" s="1"/>
  <c r="A28"/>
  <c r="A42" s="1"/>
  <c r="B6" i="5"/>
  <c r="B25" s="1"/>
  <c r="C32" i="1"/>
  <c r="C45"/>
  <c r="H1"/>
  <c r="C46" i="4"/>
  <c r="C50" i="9"/>
  <c r="C62"/>
  <c r="C74"/>
  <c r="C86"/>
  <c r="H1" i="20"/>
  <c r="H2"/>
  <c r="H1" i="18"/>
  <c r="H2"/>
  <c r="H1" i="15"/>
  <c r="H2"/>
  <c r="I1" i="11"/>
  <c r="G1" i="5"/>
  <c r="H2" i="3"/>
  <c r="H1"/>
  <c r="H2" i="4"/>
  <c r="H1"/>
  <c r="G2" i="2"/>
  <c r="G1"/>
  <c r="H2" i="9"/>
  <c r="H1"/>
  <c r="K2" i="6"/>
  <c r="K1"/>
  <c r="I2" i="7"/>
  <c r="I1"/>
  <c r="H2" i="1"/>
  <c r="H1" i="7"/>
  <c r="J1" i="6"/>
  <c r="F1" i="5"/>
  <c r="H1" i="11"/>
  <c r="G74" i="9"/>
  <c r="G77" s="1"/>
  <c r="G80" s="1"/>
  <c r="H74" s="1"/>
  <c r="H86"/>
  <c r="H89" s="1"/>
  <c r="H92" s="1"/>
  <c r="E60" i="1"/>
  <c r="F60" s="1"/>
  <c r="G60" s="1"/>
  <c r="H60" s="1"/>
  <c r="E26"/>
  <c r="E18"/>
  <c r="E17" s="1"/>
  <c r="C41"/>
  <c r="C70" s="1"/>
  <c r="E36"/>
  <c r="G36" s="1"/>
  <c r="H36" s="1"/>
  <c r="H27" i="9"/>
  <c r="F27"/>
  <c r="G63"/>
  <c r="H39"/>
  <c r="E27"/>
  <c r="C47" i="25"/>
  <c r="C84"/>
  <c r="G29"/>
  <c r="G19" i="20" s="1"/>
  <c r="H29" i="25"/>
  <c r="H19" i="18" s="1"/>
  <c r="F29" i="25"/>
  <c r="F19" i="18" s="1"/>
  <c r="D29" i="25"/>
  <c r="D19" i="18" s="1"/>
  <c r="C54" i="25"/>
  <c r="E31"/>
  <c r="G31"/>
  <c r="C31"/>
  <c r="D31"/>
  <c r="F31"/>
  <c r="H31"/>
  <c r="D37" i="1"/>
  <c r="D15" i="15" s="1"/>
  <c r="D21" i="1"/>
  <c r="D11" i="15" s="1"/>
  <c r="C27" i="9"/>
  <c r="F19" i="20"/>
  <c r="C11" i="18"/>
  <c r="E11"/>
  <c r="H11"/>
  <c r="D11"/>
  <c r="F11"/>
  <c r="G11"/>
  <c r="F30" i="7"/>
  <c r="F29"/>
  <c r="G29" s="1"/>
  <c r="F28"/>
  <c r="H42" i="6"/>
  <c r="I42" s="1"/>
  <c r="J42" s="1"/>
  <c r="K42" s="1"/>
  <c r="D17" i="1"/>
  <c r="D10" i="15" s="1"/>
  <c r="E14" i="1"/>
  <c r="F14" s="1"/>
  <c r="C38" i="25"/>
  <c r="C100"/>
  <c r="C75"/>
  <c r="E29"/>
  <c r="F88"/>
  <c r="G88" s="1"/>
  <c r="H88" s="1"/>
  <c r="H99"/>
  <c r="E87"/>
  <c r="G89"/>
  <c r="H89" s="1"/>
  <c r="D146"/>
  <c r="E146" s="1"/>
  <c r="F148"/>
  <c r="G148" s="1"/>
  <c r="H148" s="1"/>
  <c r="E161"/>
  <c r="F161" s="1"/>
  <c r="G163"/>
  <c r="H163" s="1"/>
  <c r="H164"/>
  <c r="C145"/>
  <c r="D145" s="1"/>
  <c r="E147"/>
  <c r="F147" s="1"/>
  <c r="G147" s="1"/>
  <c r="H147" s="1"/>
  <c r="C159"/>
  <c r="D160"/>
  <c r="E160"/>
  <c r="F160" s="1"/>
  <c r="G160" s="1"/>
  <c r="H160" s="1"/>
  <c r="C29"/>
  <c r="C19" i="18" s="1"/>
  <c r="C138" i="25"/>
  <c r="D139"/>
  <c r="E139"/>
  <c r="F139" s="1"/>
  <c r="G139" s="1"/>
  <c r="H139" s="1"/>
  <c r="E140"/>
  <c r="F140" s="1"/>
  <c r="G140" s="1"/>
  <c r="H140" s="1"/>
  <c r="F141"/>
  <c r="G141" s="1"/>
  <c r="H141" s="1"/>
  <c r="G149"/>
  <c r="H149"/>
  <c r="C152"/>
  <c r="D152" s="1"/>
  <c r="E154"/>
  <c r="F154" s="1"/>
  <c r="G154" s="1"/>
  <c r="H154" s="1"/>
  <c r="F155"/>
  <c r="G155" s="1"/>
  <c r="H155" s="1"/>
  <c r="G142"/>
  <c r="H142" s="1"/>
  <c r="D153"/>
  <c r="E153" s="1"/>
  <c r="F153" s="1"/>
  <c r="G153" s="1"/>
  <c r="H153" s="1"/>
  <c r="G156"/>
  <c r="H156" s="1"/>
  <c r="H157"/>
  <c r="E80"/>
  <c r="F80" s="1"/>
  <c r="G80" s="1"/>
  <c r="H80" s="1"/>
  <c r="E96"/>
  <c r="F96" s="1"/>
  <c r="G96" s="1"/>
  <c r="H96" s="1"/>
  <c r="C115"/>
  <c r="C114" s="1"/>
  <c r="E117"/>
  <c r="F117" s="1"/>
  <c r="G117" s="1"/>
  <c r="H117" s="1"/>
  <c r="C129"/>
  <c r="D129" s="1"/>
  <c r="D116"/>
  <c r="E116" s="1"/>
  <c r="F116" s="1"/>
  <c r="F118"/>
  <c r="G118" s="1"/>
  <c r="H118" s="1"/>
  <c r="H19" i="20"/>
  <c r="F132" i="25"/>
  <c r="G132" s="1"/>
  <c r="H132" s="1"/>
  <c r="D130"/>
  <c r="E130" s="1"/>
  <c r="F130" s="1"/>
  <c r="G130" s="1"/>
  <c r="H130" s="1"/>
  <c r="E131"/>
  <c r="F131" s="1"/>
  <c r="G131" s="1"/>
  <c r="H131" s="1"/>
  <c r="G133"/>
  <c r="H133" s="1"/>
  <c r="C78"/>
  <c r="D78" s="1"/>
  <c r="E78" s="1"/>
  <c r="G82"/>
  <c r="H82" s="1"/>
  <c r="C94"/>
  <c r="C108"/>
  <c r="D108" s="1"/>
  <c r="G112"/>
  <c r="H112" s="1"/>
  <c r="H113"/>
  <c r="G119"/>
  <c r="H119" s="1"/>
  <c r="C122"/>
  <c r="D122" s="1"/>
  <c r="D123"/>
  <c r="E123" s="1"/>
  <c r="E124"/>
  <c r="F124" s="1"/>
  <c r="G124" s="1"/>
  <c r="H124" s="1"/>
  <c r="F125"/>
  <c r="G125" s="1"/>
  <c r="H125" s="1"/>
  <c r="D109"/>
  <c r="E109" s="1"/>
  <c r="F109" s="1"/>
  <c r="E110"/>
  <c r="F110" s="1"/>
  <c r="G110" s="1"/>
  <c r="H110" s="1"/>
  <c r="G126"/>
  <c r="H127"/>
  <c r="C121"/>
  <c r="D95"/>
  <c r="E95" s="1"/>
  <c r="F97"/>
  <c r="G97" s="1"/>
  <c r="H97" s="1"/>
  <c r="D79"/>
  <c r="E79" s="1"/>
  <c r="F79" s="1"/>
  <c r="G79" s="1"/>
  <c r="H79" s="1"/>
  <c r="F81"/>
  <c r="G81" s="1"/>
  <c r="G19" i="18"/>
  <c r="G30" i="7"/>
  <c r="H30" s="1"/>
  <c r="F44"/>
  <c r="F43"/>
  <c r="G28"/>
  <c r="H28" s="1"/>
  <c r="F42"/>
  <c r="C144" i="25"/>
  <c r="H126"/>
  <c r="C151"/>
  <c r="D115"/>
  <c r="D114" s="1"/>
  <c r="C107"/>
  <c r="D94"/>
  <c r="D93" s="1"/>
  <c r="C93"/>
  <c r="C77"/>
  <c r="C91" s="1"/>
  <c r="C170" s="1"/>
  <c r="C177" s="1"/>
  <c r="C11" i="4" s="1"/>
  <c r="G42" i="7"/>
  <c r="E94" i="25"/>
  <c r="H50"/>
  <c r="E57" i="7"/>
  <c r="E73"/>
  <c r="F26" i="1"/>
  <c r="G26" s="1"/>
  <c r="H26" s="1"/>
  <c r="B10" i="5"/>
  <c r="B21"/>
  <c r="F51" i="6"/>
  <c r="F47"/>
  <c r="B11" i="29" s="1"/>
  <c r="G47" i="6"/>
  <c r="C11" i="29" s="1"/>
  <c r="C7" i="11"/>
  <c r="B7" i="29"/>
  <c r="F31" i="7"/>
  <c r="G31" s="1"/>
  <c r="E52"/>
  <c r="E59" s="1"/>
  <c r="E76" s="1"/>
  <c r="E74"/>
  <c r="E85" s="1"/>
  <c r="G27" i="9"/>
  <c r="F27" i="7"/>
  <c r="G27" s="1"/>
  <c r="E8" i="1"/>
  <c r="E7" i="11" s="1"/>
  <c r="C6" i="5"/>
  <c r="C25" s="1"/>
  <c r="D32" i="1"/>
  <c r="D57"/>
  <c r="D45"/>
  <c r="D7" i="9"/>
  <c r="D13" s="1"/>
  <c r="A37" s="1"/>
  <c r="D12" i="1"/>
  <c r="D7" i="11"/>
  <c r="D7" i="25"/>
  <c r="D33"/>
  <c r="E6" i="7"/>
  <c r="E55"/>
  <c r="D29" i="11"/>
  <c r="D7" i="4"/>
  <c r="D7" i="20"/>
  <c r="D7" i="18"/>
  <c r="C7" i="2"/>
  <c r="D7" i="3"/>
  <c r="G12" i="6"/>
  <c r="G7"/>
  <c r="D7" i="15"/>
  <c r="D11" i="7"/>
  <c r="D26" s="1"/>
  <c r="D40" s="1"/>
  <c r="B16" i="5"/>
  <c r="E84" i="7"/>
  <c r="C176" i="25"/>
  <c r="D176" s="1"/>
  <c r="E176" s="1"/>
  <c r="F176" s="1"/>
  <c r="G176" s="1"/>
  <c r="H176" s="1"/>
  <c r="E39" i="9"/>
  <c r="D39"/>
  <c r="D11" i="11"/>
  <c r="E11" s="1"/>
  <c r="C13"/>
  <c r="C12" i="1"/>
  <c r="C7" i="15"/>
  <c r="F7" i="6"/>
  <c r="F12"/>
  <c r="C7" i="3"/>
  <c r="B7" i="2"/>
  <c r="C7" i="18"/>
  <c r="C7" i="20"/>
  <c r="C7" i="4"/>
  <c r="C57" i="1"/>
  <c r="C7" i="9"/>
  <c r="C13" s="1"/>
  <c r="A25" s="1"/>
  <c r="E58" i="7"/>
  <c r="C7" i="29"/>
  <c r="F60" i="7"/>
  <c r="F77" s="1"/>
  <c r="D74"/>
  <c r="D85" s="1"/>
  <c r="D58"/>
  <c r="D73"/>
  <c r="D52"/>
  <c r="D59" s="1"/>
  <c r="E108" i="25"/>
  <c r="F108" s="1"/>
  <c r="G108" s="1"/>
  <c r="E122"/>
  <c r="G116"/>
  <c r="H116" s="1"/>
  <c r="H77" i="9"/>
  <c r="G75"/>
  <c r="G76" s="1"/>
  <c r="H75"/>
  <c r="F8" i="1"/>
  <c r="E7" i="29" s="1"/>
  <c r="E32" i="1"/>
  <c r="D6" i="5"/>
  <c r="D10" s="1"/>
  <c r="C128" i="25"/>
  <c r="D54" i="1"/>
  <c r="D75" s="1"/>
  <c r="D55" i="7"/>
  <c r="E58" i="1"/>
  <c r="G57" i="11"/>
  <c r="G58" s="1"/>
  <c r="F57"/>
  <c r="F58" s="1"/>
  <c r="E57"/>
  <c r="E58" s="1"/>
  <c r="D57"/>
  <c r="D58" s="1"/>
  <c r="C57"/>
  <c r="C58" s="1"/>
  <c r="B57"/>
  <c r="B58" s="1"/>
  <c r="B47" i="9"/>
  <c r="F51" s="1"/>
  <c r="F45" i="7"/>
  <c r="F41"/>
  <c r="E57" i="1"/>
  <c r="E7" i="15"/>
  <c r="D7" i="2"/>
  <c r="C59" i="11"/>
  <c r="E71" i="7"/>
  <c r="E82" s="1"/>
  <c r="E11"/>
  <c r="E26" s="1"/>
  <c r="E40" s="1"/>
  <c r="C10" i="5"/>
  <c r="C21"/>
  <c r="H7" i="6"/>
  <c r="E7" i="9"/>
  <c r="E13" s="1"/>
  <c r="A49" s="1"/>
  <c r="E12" i="1"/>
  <c r="E29" i="11"/>
  <c r="E7" i="4"/>
  <c r="E45" i="1"/>
  <c r="D7" i="29"/>
  <c r="D84" i="7"/>
  <c r="D86"/>
  <c r="C31" i="3" s="1"/>
  <c r="G34" i="1"/>
  <c r="H34" s="1"/>
  <c r="H33" s="1"/>
  <c r="F58"/>
  <c r="E66"/>
  <c r="E76" s="1"/>
  <c r="D16" i="5"/>
  <c r="G8" i="1"/>
  <c r="F7" i="29" s="1"/>
  <c r="E7" i="2"/>
  <c r="F7" i="15"/>
  <c r="F7" i="18"/>
  <c r="F12" i="1"/>
  <c r="F7" i="9"/>
  <c r="F13" s="1"/>
  <c r="A61" s="1"/>
  <c r="F57" i="1"/>
  <c r="F45"/>
  <c r="F7" i="3"/>
  <c r="F122" i="25"/>
  <c r="G122" s="1"/>
  <c r="H122" s="1"/>
  <c r="F78"/>
  <c r="E77"/>
  <c r="F73" i="7"/>
  <c r="F57"/>
  <c r="G45" i="1"/>
  <c r="G12"/>
  <c r="G58"/>
  <c r="G66" s="1"/>
  <c r="G76" s="1"/>
  <c r="F66"/>
  <c r="F76" s="1"/>
  <c r="F84" i="7"/>
  <c r="D144" i="25"/>
  <c r="E145"/>
  <c r="G45" i="6"/>
  <c r="H18"/>
  <c r="I18" s="1"/>
  <c r="J18" s="1"/>
  <c r="K18" s="1"/>
  <c r="D75" i="7"/>
  <c r="F145" i="25"/>
  <c r="G145" s="1"/>
  <c r="G33" i="1"/>
  <c r="J12" i="6"/>
  <c r="G7" i="25"/>
  <c r="G33" s="1"/>
  <c r="G7" i="9"/>
  <c r="G13" s="1"/>
  <c r="A73" s="1"/>
  <c r="G78" i="25"/>
  <c r="F7"/>
  <c r="F33" s="1"/>
  <c r="E51" i="9"/>
  <c r="F6" i="7"/>
  <c r="F71" s="1"/>
  <c r="F82" s="1"/>
  <c r="E7" i="20"/>
  <c r="H12" i="6"/>
  <c r="E86" i="7"/>
  <c r="E7" i="18"/>
  <c r="E7" i="3"/>
  <c r="E7" i="25"/>
  <c r="E33" s="1"/>
  <c r="G44" i="7"/>
  <c r="C19" i="20"/>
  <c r="D138" i="25"/>
  <c r="D137" s="1"/>
  <c r="C137"/>
  <c r="D75"/>
  <c r="E75" s="1"/>
  <c r="F75" s="1"/>
  <c r="G75" s="1"/>
  <c r="H75" s="1"/>
  <c r="A78"/>
  <c r="A79" s="1"/>
  <c r="A86" s="1"/>
  <c r="A95" s="1"/>
  <c r="A102" s="1"/>
  <c r="A109" s="1"/>
  <c r="A116" s="1"/>
  <c r="A123" s="1"/>
  <c r="A130" s="1"/>
  <c r="F94"/>
  <c r="G94" s="1"/>
  <c r="H94" s="1"/>
  <c r="D159"/>
  <c r="D158" s="1"/>
  <c r="C158"/>
  <c r="F87"/>
  <c r="E19" i="20"/>
  <c r="E19" i="18"/>
  <c r="D44" i="9"/>
  <c r="E41" s="1"/>
  <c r="C13" i="15"/>
  <c r="F24" i="1"/>
  <c r="G24" s="1"/>
  <c r="H24" s="1"/>
  <c r="A85" i="25"/>
  <c r="A94" s="1"/>
  <c r="A101" s="1"/>
  <c r="D31" i="3"/>
  <c r="H78" i="25"/>
  <c r="E159"/>
  <c r="E158" s="1"/>
  <c r="E138"/>
  <c r="E137" s="1"/>
  <c r="F55" i="7"/>
  <c r="G14" i="15"/>
  <c r="F159" i="25"/>
  <c r="G159" s="1"/>
  <c r="E13" i="1"/>
  <c r="E9" i="15" s="1"/>
  <c r="G14" i="1"/>
  <c r="H14" s="1"/>
  <c r="F11" i="7" l="1"/>
  <c r="F26" s="1"/>
  <c r="F40" s="1"/>
  <c r="G51" i="9"/>
  <c r="D21" i="5"/>
  <c r="E6"/>
  <c r="G57" i="1"/>
  <c r="J7" i="6"/>
  <c r="G32" i="1"/>
  <c r="G7" i="15"/>
  <c r="G7" i="11"/>
  <c r="F7" i="4"/>
  <c r="I12" i="6"/>
  <c r="F7" i="20"/>
  <c r="I7" i="6"/>
  <c r="F7" i="11"/>
  <c r="F29"/>
  <c r="F32" i="1"/>
  <c r="G6" i="7"/>
  <c r="D25" i="5"/>
  <c r="C16"/>
  <c r="E75" i="7"/>
  <c r="C169" i="25"/>
  <c r="D169" s="1"/>
  <c r="E169" s="1"/>
  <c r="F169" s="1"/>
  <c r="G169" s="1"/>
  <c r="H169" s="1"/>
  <c r="G39" i="9"/>
  <c r="F63"/>
  <c r="C29" i="11"/>
  <c r="B49" s="1"/>
  <c r="C49" s="1"/>
  <c r="D49" s="1"/>
  <c r="E49" s="1"/>
  <c r="F49" s="1"/>
  <c r="G49" s="1"/>
  <c r="C124" i="28"/>
  <c r="C49"/>
  <c r="C87" s="1"/>
  <c r="D19" i="20"/>
  <c r="D77" i="25"/>
  <c r="C28" i="9"/>
  <c r="C30" s="1"/>
  <c r="E35" i="25"/>
  <c r="D38"/>
  <c r="H58" i="1"/>
  <c r="H66" s="1"/>
  <c r="H76" s="1"/>
  <c r="E33"/>
  <c r="E14" i="15" s="1"/>
  <c r="G37" i="7"/>
  <c r="G33"/>
  <c r="F35"/>
  <c r="E12" i="11"/>
  <c r="F12" s="1"/>
  <c r="G12" s="1"/>
  <c r="H12" s="1"/>
  <c r="I12" s="1"/>
  <c r="D13"/>
  <c r="D14" s="1"/>
  <c r="F146" i="25"/>
  <c r="E144"/>
  <c r="D41" i="1"/>
  <c r="D70" s="1"/>
  <c r="D14" i="15"/>
  <c r="F77" i="25"/>
  <c r="D86"/>
  <c r="E86" s="1"/>
  <c r="F86" s="1"/>
  <c r="G86" s="1"/>
  <c r="H86" s="1"/>
  <c r="C165"/>
  <c r="C172" s="1"/>
  <c r="C179" s="1"/>
  <c r="C12" i="4" s="1"/>
  <c r="D49" i="28"/>
  <c r="D87" s="1"/>
  <c r="D124"/>
  <c r="D59" i="11"/>
  <c r="F11"/>
  <c r="E13"/>
  <c r="A80" i="25"/>
  <c r="F6" i="5"/>
  <c r="G29" i="11"/>
  <c r="G7" i="4"/>
  <c r="H6" i="7"/>
  <c r="F7" i="2"/>
  <c r="G7" i="3"/>
  <c r="G7" i="20"/>
  <c r="G7" i="18"/>
  <c r="H8" i="1"/>
  <c r="H51" i="9"/>
  <c r="D13" i="15"/>
  <c r="F45" i="6"/>
  <c r="G49"/>
  <c r="H145" i="25"/>
  <c r="H81"/>
  <c r="H77" s="1"/>
  <c r="G77"/>
  <c r="G109"/>
  <c r="H109" s="1"/>
  <c r="F107"/>
  <c r="E85"/>
  <c r="D84"/>
  <c r="H159"/>
  <c r="D91"/>
  <c r="D170" s="1"/>
  <c r="D177" s="1"/>
  <c r="D11" i="4" s="1"/>
  <c r="F95" i="25"/>
  <c r="E93"/>
  <c r="F123"/>
  <c r="E121"/>
  <c r="G161"/>
  <c r="H161" s="1"/>
  <c r="F158"/>
  <c r="F46" i="1"/>
  <c r="G46" s="1"/>
  <c r="E54"/>
  <c r="E75" s="1"/>
  <c r="E78" s="1"/>
  <c r="E107" i="25"/>
  <c r="D107"/>
  <c r="D121"/>
  <c r="C77" i="1"/>
  <c r="D66"/>
  <c r="D76" s="1"/>
  <c r="F36" i="7"/>
  <c r="F34"/>
  <c r="F32"/>
  <c r="H76" i="9"/>
  <c r="H80"/>
  <c r="H27" i="7"/>
  <c r="H41" s="1"/>
  <c r="G41"/>
  <c r="H31"/>
  <c r="I31" s="1"/>
  <c r="I45" s="1"/>
  <c r="G45"/>
  <c r="I30"/>
  <c r="I44" s="1"/>
  <c r="H44"/>
  <c r="H29"/>
  <c r="G43"/>
  <c r="I27"/>
  <c r="G51" i="6"/>
  <c r="H13"/>
  <c r="I13" s="1"/>
  <c r="J13" s="1"/>
  <c r="D40" i="9"/>
  <c r="D42" s="1"/>
  <c r="E38"/>
  <c r="E40" s="1"/>
  <c r="E42" s="1"/>
  <c r="H91"/>
  <c r="C97"/>
  <c r="B28" i="2" s="1"/>
  <c r="C24" i="20" s="1"/>
  <c r="C95" i="9"/>
  <c r="C39" i="4" s="1"/>
  <c r="C37" s="1"/>
  <c r="D26" i="9"/>
  <c r="D29"/>
  <c r="D98" s="1"/>
  <c r="D23" i="20" s="1"/>
  <c r="F43" i="6"/>
  <c r="F53" s="1"/>
  <c r="E115" i="25"/>
  <c r="C135"/>
  <c r="C166" s="1"/>
  <c r="B24" i="2" s="1"/>
  <c r="C10" i="18" s="1"/>
  <c r="E101" i="25"/>
  <c r="F101" s="1"/>
  <c r="F100" s="1"/>
  <c r="D100"/>
  <c r="D135" s="1"/>
  <c r="F138"/>
  <c r="E129"/>
  <c r="D128"/>
  <c r="E152"/>
  <c r="D151"/>
  <c r="E52"/>
  <c r="D54"/>
  <c r="C55"/>
  <c r="D165"/>
  <c r="E43"/>
  <c r="D47"/>
  <c r="F49" i="6"/>
  <c r="G43"/>
  <c r="I41"/>
  <c r="J41" s="1"/>
  <c r="K41" s="1"/>
  <c r="H51"/>
  <c r="C29" i="1"/>
  <c r="C69" s="1"/>
  <c r="G16"/>
  <c r="F13"/>
  <c r="F9" i="15" s="1"/>
  <c r="D13" i="1"/>
  <c r="D9" i="15" s="1"/>
  <c r="J24" i="6"/>
  <c r="K24" s="1"/>
  <c r="D25" i="1"/>
  <c r="D12" i="15" s="1"/>
  <c r="E25" i="1"/>
  <c r="E12" i="15" s="1"/>
  <c r="F28" i="1"/>
  <c r="F22"/>
  <c r="E21"/>
  <c r="E11" i="15" s="1"/>
  <c r="F18" i="1"/>
  <c r="G18" s="1"/>
  <c r="H18" s="1"/>
  <c r="E10" i="15"/>
  <c r="I28" i="7"/>
  <c r="I42" s="1"/>
  <c r="H42"/>
  <c r="E66"/>
  <c r="E68" s="1"/>
  <c r="E87"/>
  <c r="A139" i="25"/>
  <c r="A146" s="1"/>
  <c r="A153" s="1"/>
  <c r="A160" s="1"/>
  <c r="A108"/>
  <c r="A115" s="1"/>
  <c r="A122" s="1"/>
  <c r="A129" s="1"/>
  <c r="A138"/>
  <c r="A145" s="1"/>
  <c r="A152" s="1"/>
  <c r="A159" s="1"/>
  <c r="H108"/>
  <c r="H107" s="1"/>
  <c r="G107"/>
  <c r="C171"/>
  <c r="C30" i="3"/>
  <c r="D87" i="7"/>
  <c r="D30" i="3"/>
  <c r="H14" i="15"/>
  <c r="D77" i="1"/>
  <c r="D78"/>
  <c r="F14" i="15"/>
  <c r="G78" i="9"/>
  <c r="G79" s="1"/>
  <c r="H78"/>
  <c r="H79" s="1"/>
  <c r="D76" i="7"/>
  <c r="D79" s="1"/>
  <c r="B15" i="2" s="1"/>
  <c r="D66" i="7"/>
  <c r="D68" s="1"/>
  <c r="G87" i="25"/>
  <c r="G48" i="1"/>
  <c r="H48" s="1"/>
  <c r="F54"/>
  <c r="F75" s="1"/>
  <c r="C8" i="15"/>
  <c r="H46" i="1"/>
  <c r="G54"/>
  <c r="G75" s="1"/>
  <c r="E37"/>
  <c r="F40"/>
  <c r="I12" i="7"/>
  <c r="H23"/>
  <c r="H60" s="1"/>
  <c r="H77" s="1"/>
  <c r="F64"/>
  <c r="E78"/>
  <c r="E79" s="1"/>
  <c r="C15" i="2" s="1"/>
  <c r="G71" i="7" l="1"/>
  <c r="G82" s="1"/>
  <c r="G55"/>
  <c r="G11"/>
  <c r="G26" s="1"/>
  <c r="G40" s="1"/>
  <c r="E25" i="5"/>
  <c r="E10"/>
  <c r="E21"/>
  <c r="E16"/>
  <c r="E14" i="11"/>
  <c r="C31" i="9"/>
  <c r="C38"/>
  <c r="F49" i="7"/>
  <c r="G35"/>
  <c r="G51"/>
  <c r="H37"/>
  <c r="F35" i="25"/>
  <c r="E38"/>
  <c r="G47" i="7"/>
  <c r="H33"/>
  <c r="H54" i="1"/>
  <c r="H75" s="1"/>
  <c r="H45" i="7"/>
  <c r="E77" i="1"/>
  <c r="G146" i="25"/>
  <c r="F144"/>
  <c r="H7" i="11"/>
  <c r="I7" s="1"/>
  <c r="G7" i="29"/>
  <c r="H7" i="9"/>
  <c r="H13" s="1"/>
  <c r="A85" s="1"/>
  <c r="K12" i="6"/>
  <c r="G7" i="2"/>
  <c r="H12" i="1"/>
  <c r="K7" i="6"/>
  <c r="G6" i="5"/>
  <c r="H7" i="3"/>
  <c r="I6" i="7"/>
  <c r="H57" i="1"/>
  <c r="H7" i="20"/>
  <c r="H32" i="1"/>
  <c r="H7" i="15"/>
  <c r="H29" i="11"/>
  <c r="I29" s="1"/>
  <c r="H45" i="1"/>
  <c r="H7" i="4"/>
  <c r="H7" i="25"/>
  <c r="H33" s="1"/>
  <c r="H7" i="18"/>
  <c r="F25" i="5"/>
  <c r="F10"/>
  <c r="F16"/>
  <c r="F21"/>
  <c r="H11" i="7"/>
  <c r="H26" s="1"/>
  <c r="H40" s="1"/>
  <c r="H55"/>
  <c r="H71"/>
  <c r="H82" s="1"/>
  <c r="A81" i="25"/>
  <c r="A87"/>
  <c r="A96" s="1"/>
  <c r="A103" s="1"/>
  <c r="F13" i="11"/>
  <c r="F14" s="1"/>
  <c r="E59"/>
  <c r="G11"/>
  <c r="H47" i="6"/>
  <c r="D11" i="29" s="1"/>
  <c r="F46" i="7"/>
  <c r="G32"/>
  <c r="F50"/>
  <c r="G36"/>
  <c r="H158" i="25"/>
  <c r="F48" i="7"/>
  <c r="G34"/>
  <c r="G123" i="25"/>
  <c r="F121"/>
  <c r="G95"/>
  <c r="F93"/>
  <c r="G158"/>
  <c r="E84"/>
  <c r="E91" s="1"/>
  <c r="F85"/>
  <c r="D43" i="9"/>
  <c r="B14" i="2"/>
  <c r="I29" i="7"/>
  <c r="I43" s="1"/>
  <c r="H43"/>
  <c r="G73"/>
  <c r="G57"/>
  <c r="H73"/>
  <c r="H57"/>
  <c r="I43" i="6"/>
  <c r="E14" i="2" s="1"/>
  <c r="I47" i="6"/>
  <c r="E11" i="29" s="1"/>
  <c r="I51" i="6"/>
  <c r="I53" s="1"/>
  <c r="H43"/>
  <c r="D14" i="2" s="1"/>
  <c r="H45" i="6"/>
  <c r="H49" s="1"/>
  <c r="I45"/>
  <c r="I49" s="1"/>
  <c r="D8" i="15"/>
  <c r="D18" s="1"/>
  <c r="E43" i="9"/>
  <c r="E44"/>
  <c r="D32"/>
  <c r="D28"/>
  <c r="E114" i="25"/>
  <c r="F115"/>
  <c r="G101"/>
  <c r="G100" s="1"/>
  <c r="E100"/>
  <c r="D55"/>
  <c r="F137"/>
  <c r="G138"/>
  <c r="F129"/>
  <c r="E128"/>
  <c r="D172"/>
  <c r="D179" s="1"/>
  <c r="D12" i="4" s="1"/>
  <c r="F52" i="25"/>
  <c r="E54"/>
  <c r="F152"/>
  <c r="E151"/>
  <c r="E165" s="1"/>
  <c r="E172" s="1"/>
  <c r="F43"/>
  <c r="E47"/>
  <c r="E55" s="1"/>
  <c r="C14" i="2"/>
  <c r="G53" i="6"/>
  <c r="C71" i="1"/>
  <c r="C80" s="1"/>
  <c r="B8" i="2" s="1"/>
  <c r="B8" i="29" s="1"/>
  <c r="C72" i="1"/>
  <c r="C82" s="1"/>
  <c r="H16"/>
  <c r="H13" s="1"/>
  <c r="H9" i="15" s="1"/>
  <c r="G13" i="1"/>
  <c r="G9" i="15" s="1"/>
  <c r="E8"/>
  <c r="E18" s="1"/>
  <c r="E29" i="1"/>
  <c r="E69" s="1"/>
  <c r="E72" s="1"/>
  <c r="E82" s="1"/>
  <c r="D29"/>
  <c r="D69" s="1"/>
  <c r="F25"/>
  <c r="F12" i="15" s="1"/>
  <c r="G28" i="1"/>
  <c r="G22"/>
  <c r="F21"/>
  <c r="F11" i="15" s="1"/>
  <c r="F17" i="1"/>
  <c r="F37"/>
  <c r="G40"/>
  <c r="G17"/>
  <c r="H17"/>
  <c r="D166" i="25"/>
  <c r="C24" i="2" s="1"/>
  <c r="D10" i="18" s="1"/>
  <c r="H77" i="1"/>
  <c r="H78"/>
  <c r="F78"/>
  <c r="F77"/>
  <c r="C178" i="25"/>
  <c r="C173"/>
  <c r="G64" i="7"/>
  <c r="F78"/>
  <c r="I23"/>
  <c r="I60" s="1"/>
  <c r="I77" s="1"/>
  <c r="I41"/>
  <c r="E15" i="15"/>
  <c r="E13" s="1"/>
  <c r="E41" i="1"/>
  <c r="E70" s="1"/>
  <c r="F10" i="15"/>
  <c r="G78" i="1"/>
  <c r="G77"/>
  <c r="C16" i="15"/>
  <c r="C18"/>
  <c r="H87" i="25"/>
  <c r="D171"/>
  <c r="K13" i="6"/>
  <c r="J51"/>
  <c r="J43"/>
  <c r="J45"/>
  <c r="J47"/>
  <c r="F11" i="29" s="1"/>
  <c r="G35" i="25" l="1"/>
  <c r="F38"/>
  <c r="H47" i="7"/>
  <c r="I33"/>
  <c r="I47" s="1"/>
  <c r="H51"/>
  <c r="I37"/>
  <c r="I51" s="1"/>
  <c r="G49"/>
  <c r="H35"/>
  <c r="H146" i="25"/>
  <c r="H144" s="1"/>
  <c r="G144"/>
  <c r="A110"/>
  <c r="A117" s="1"/>
  <c r="A124" s="1"/>
  <c r="A131" s="1"/>
  <c r="A140"/>
  <c r="A147" s="1"/>
  <c r="A154" s="1"/>
  <c r="A161" s="1"/>
  <c r="G13" i="11"/>
  <c r="G14" s="1"/>
  <c r="F59"/>
  <c r="H11"/>
  <c r="A82" i="25"/>
  <c r="A88"/>
  <c r="A97" s="1"/>
  <c r="A104" s="1"/>
  <c r="I11" i="7"/>
  <c r="I26" s="1"/>
  <c r="I40" s="1"/>
  <c r="I71"/>
  <c r="I82" s="1"/>
  <c r="I55"/>
  <c r="G21" i="5"/>
  <c r="G10"/>
  <c r="G25"/>
  <c r="G16"/>
  <c r="G85" i="25"/>
  <c r="F84"/>
  <c r="F91" s="1"/>
  <c r="F170" s="1"/>
  <c r="F177" s="1"/>
  <c r="F11" i="4" s="1"/>
  <c r="H95" i="25"/>
  <c r="H93" s="1"/>
  <c r="G93"/>
  <c r="H123"/>
  <c r="H121" s="1"/>
  <c r="G121"/>
  <c r="G50" i="7"/>
  <c r="H36"/>
  <c r="G46"/>
  <c r="H32"/>
  <c r="E170" i="25"/>
  <c r="E177" s="1"/>
  <c r="G48" i="7"/>
  <c r="H34"/>
  <c r="F58"/>
  <c r="F52"/>
  <c r="F59" s="1"/>
  <c r="F76" s="1"/>
  <c r="F74"/>
  <c r="G84"/>
  <c r="H84"/>
  <c r="D16" i="15"/>
  <c r="D11" i="3" s="1"/>
  <c r="D16" i="4" s="1"/>
  <c r="H53" i="6"/>
  <c r="F41" i="9"/>
  <c r="F38"/>
  <c r="D30"/>
  <c r="D31" s="1"/>
  <c r="E29"/>
  <c r="E26"/>
  <c r="D95"/>
  <c r="D39" i="4" s="1"/>
  <c r="G115" i="25"/>
  <c r="F114"/>
  <c r="H101"/>
  <c r="H100" s="1"/>
  <c r="E135"/>
  <c r="E171" s="1"/>
  <c r="G137"/>
  <c r="H138"/>
  <c r="H137" s="1"/>
  <c r="G129"/>
  <c r="F128"/>
  <c r="F135" s="1"/>
  <c r="F171" s="1"/>
  <c r="G152"/>
  <c r="F151"/>
  <c r="F165" s="1"/>
  <c r="F172" s="1"/>
  <c r="G52"/>
  <c r="F54"/>
  <c r="E179"/>
  <c r="E12" i="4" s="1"/>
  <c r="E166" i="25"/>
  <c r="D24" i="2" s="1"/>
  <c r="E10" i="18" s="1"/>
  <c r="G43" i="25"/>
  <c r="F47"/>
  <c r="F55" s="1"/>
  <c r="C84" i="1"/>
  <c r="C10" i="3" s="1"/>
  <c r="C32"/>
  <c r="C29" s="1"/>
  <c r="C12" s="1"/>
  <c r="C18" i="4" s="1"/>
  <c r="E16" i="15"/>
  <c r="D13" i="2" s="1"/>
  <c r="D10" i="29" s="1"/>
  <c r="E71" i="1"/>
  <c r="E80" s="1"/>
  <c r="D8" i="2" s="1"/>
  <c r="E32" i="3"/>
  <c r="F29" i="1"/>
  <c r="F69" s="1"/>
  <c r="F72" s="1"/>
  <c r="F82" s="1"/>
  <c r="F8" i="15"/>
  <c r="D72" i="1"/>
  <c r="D82" s="1"/>
  <c r="D32" i="3" s="1"/>
  <c r="D29" s="1"/>
  <c r="D18" s="1"/>
  <c r="D71" i="1"/>
  <c r="D80" s="1"/>
  <c r="C8" i="2" s="1"/>
  <c r="H28" i="1"/>
  <c r="H25" s="1"/>
  <c r="H12" i="15" s="1"/>
  <c r="G25" i="1"/>
  <c r="G12" i="15" s="1"/>
  <c r="H22" i="1"/>
  <c r="H21" s="1"/>
  <c r="H11" i="15" s="1"/>
  <c r="G21" i="1"/>
  <c r="G11" i="15" s="1"/>
  <c r="J53" i="6"/>
  <c r="F14" i="2"/>
  <c r="K51" i="6"/>
  <c r="K45"/>
  <c r="K47"/>
  <c r="G11" i="29" s="1"/>
  <c r="K43" i="6"/>
  <c r="E84" i="1"/>
  <c r="I73" i="7"/>
  <c r="I57"/>
  <c r="G78"/>
  <c r="H64"/>
  <c r="E11" i="4"/>
  <c r="H10" i="15"/>
  <c r="H40" i="1"/>
  <c r="H37" s="1"/>
  <c r="G37"/>
  <c r="J49" i="6"/>
  <c r="D178" i="25"/>
  <c r="D173"/>
  <c r="B13" i="2"/>
  <c r="C11" i="3"/>
  <c r="C20" i="15"/>
  <c r="F18"/>
  <c r="C10" i="4"/>
  <c r="C9" s="1"/>
  <c r="C180" i="25"/>
  <c r="G10" i="15"/>
  <c r="G29" i="1"/>
  <c r="G69" s="1"/>
  <c r="F15" i="15"/>
  <c r="F13" s="1"/>
  <c r="F41" i="1"/>
  <c r="F70" s="1"/>
  <c r="C17" i="3" l="1"/>
  <c r="C9"/>
  <c r="H35" i="25"/>
  <c r="H38" s="1"/>
  <c r="G38"/>
  <c r="I35" i="7"/>
  <c r="I49" s="1"/>
  <c r="H49"/>
  <c r="E124" i="28"/>
  <c r="E49"/>
  <c r="E87" s="1"/>
  <c r="A83" i="25"/>
  <c r="A90" s="1"/>
  <c r="A99" s="1"/>
  <c r="A106" s="1"/>
  <c r="A89"/>
  <c r="A98" s="1"/>
  <c r="A105" s="1"/>
  <c r="A141"/>
  <c r="A148" s="1"/>
  <c r="A155" s="1"/>
  <c r="A162" s="1"/>
  <c r="A111"/>
  <c r="A118" s="1"/>
  <c r="A125" s="1"/>
  <c r="A132" s="1"/>
  <c r="H13" i="11"/>
  <c r="H14" s="1"/>
  <c r="G59"/>
  <c r="I11"/>
  <c r="I13" s="1"/>
  <c r="F71" i="1"/>
  <c r="F80" s="1"/>
  <c r="F84" s="1"/>
  <c r="C87"/>
  <c r="B17" i="2" s="1"/>
  <c r="H48" i="7"/>
  <c r="I34"/>
  <c r="I48" s="1"/>
  <c r="H46"/>
  <c r="I32"/>
  <c r="I46" s="1"/>
  <c r="H50"/>
  <c r="I36"/>
  <c r="I50" s="1"/>
  <c r="F85"/>
  <c r="F86"/>
  <c r="E31" i="3" s="1"/>
  <c r="F75" i="7"/>
  <c r="F79" s="1"/>
  <c r="D15" i="2" s="1"/>
  <c r="F66" i="7"/>
  <c r="F68" s="1"/>
  <c r="G58"/>
  <c r="G52"/>
  <c r="G59" s="1"/>
  <c r="G76" s="1"/>
  <c r="G74"/>
  <c r="H85" i="25"/>
  <c r="H84" s="1"/>
  <c r="H91" s="1"/>
  <c r="G84"/>
  <c r="G91" s="1"/>
  <c r="D20" i="15"/>
  <c r="D17" i="3" s="1"/>
  <c r="D43" i="4" s="1"/>
  <c r="C13" i="2"/>
  <c r="C10" i="29" s="1"/>
  <c r="G8" i="15"/>
  <c r="G18" s="1"/>
  <c r="F40" i="9"/>
  <c r="F42" s="1"/>
  <c r="F43" s="1"/>
  <c r="F44"/>
  <c r="D97"/>
  <c r="C28" i="2" s="1"/>
  <c r="D24" i="20" s="1"/>
  <c r="E28" i="9"/>
  <c r="E32"/>
  <c r="D37" i="4"/>
  <c r="B50" i="11"/>
  <c r="E20" i="15"/>
  <c r="E17" i="3" s="1"/>
  <c r="E43" i="4" s="1"/>
  <c r="G114" i="25"/>
  <c r="H115"/>
  <c r="H114" s="1"/>
  <c r="E178"/>
  <c r="E10" i="4" s="1"/>
  <c r="E173" i="25"/>
  <c r="E9" i="4"/>
  <c r="C18" i="3"/>
  <c r="C20" s="1"/>
  <c r="F166" i="25"/>
  <c r="E24" i="2" s="1"/>
  <c r="F10" i="18" s="1"/>
  <c r="H129" i="25"/>
  <c r="H128" s="1"/>
  <c r="H135" s="1"/>
  <c r="G128"/>
  <c r="G135" s="1"/>
  <c r="G171" s="1"/>
  <c r="F179"/>
  <c r="F12" i="4" s="1"/>
  <c r="F173" i="25"/>
  <c r="H52"/>
  <c r="H54" s="1"/>
  <c r="G54"/>
  <c r="G151"/>
  <c r="G165" s="1"/>
  <c r="H152"/>
  <c r="H151" s="1"/>
  <c r="H165" s="1"/>
  <c r="H43"/>
  <c r="H47" s="1"/>
  <c r="G47"/>
  <c r="F178"/>
  <c r="C17" i="4"/>
  <c r="D12" i="3"/>
  <c r="D18" i="4" s="1"/>
  <c r="E11" i="3"/>
  <c r="E16" i="4" s="1"/>
  <c r="F16" i="15"/>
  <c r="F20" s="1"/>
  <c r="F17" i="3" s="1"/>
  <c r="H29" i="1"/>
  <c r="H69" s="1"/>
  <c r="H72" s="1"/>
  <c r="H82" s="1"/>
  <c r="D84"/>
  <c r="D10" i="3" s="1"/>
  <c r="H8" i="15"/>
  <c r="H18" s="1"/>
  <c r="E8" i="2"/>
  <c r="E13"/>
  <c r="E10" i="29" s="1"/>
  <c r="G72" i="1"/>
  <c r="G82" s="1"/>
  <c r="C16" i="4"/>
  <c r="C15" i="3"/>
  <c r="G15" i="15"/>
  <c r="G13" s="1"/>
  <c r="G41" i="1"/>
  <c r="G70" s="1"/>
  <c r="G71" s="1"/>
  <c r="G80" s="1"/>
  <c r="I84" i="7"/>
  <c r="D8" i="29"/>
  <c r="D12" s="1"/>
  <c r="D7" i="5"/>
  <c r="D26"/>
  <c r="F32" i="3"/>
  <c r="G14" i="2"/>
  <c r="K53" i="6"/>
  <c r="K49"/>
  <c r="C8" i="29"/>
  <c r="C12" s="1"/>
  <c r="C13" s="1"/>
  <c r="C7" i="5"/>
  <c r="C43" i="4"/>
  <c r="B10" i="29"/>
  <c r="B12" s="1"/>
  <c r="B13" s="1"/>
  <c r="B26" i="5"/>
  <c r="B23" i="2"/>
  <c r="B26" s="1"/>
  <c r="D10" i="4"/>
  <c r="D9" s="1"/>
  <c r="D180" i="25"/>
  <c r="H15" i="15"/>
  <c r="H13" s="1"/>
  <c r="H41" i="1"/>
  <c r="H70" s="1"/>
  <c r="I64" i="7"/>
  <c r="I78" s="1"/>
  <c r="H78"/>
  <c r="E87" i="1"/>
  <c r="D17" i="2" s="1"/>
  <c r="D23" s="1"/>
  <c r="D26" s="1"/>
  <c r="E10" i="3"/>
  <c r="D9" l="1"/>
  <c r="C22" i="4"/>
  <c r="C15" s="1"/>
  <c r="C23" s="1"/>
  <c r="B13" i="5" s="1"/>
  <c r="H170" i="25"/>
  <c r="H177" s="1"/>
  <c r="D13" i="29"/>
  <c r="H166" i="25"/>
  <c r="G24" i="2" s="1"/>
  <c r="H10" i="18" s="1"/>
  <c r="H124" i="28"/>
  <c r="H49"/>
  <c r="H87" s="1"/>
  <c r="I14" i="11"/>
  <c r="A112" i="25"/>
  <c r="A119" s="1"/>
  <c r="A126" s="1"/>
  <c r="A133" s="1"/>
  <c r="A142"/>
  <c r="A149" s="1"/>
  <c r="A156" s="1"/>
  <c r="A163" s="1"/>
  <c r="A113"/>
  <c r="A120" s="1"/>
  <c r="A127" s="1"/>
  <c r="A134" s="1"/>
  <c r="A143"/>
  <c r="A150" s="1"/>
  <c r="A157" s="1"/>
  <c r="A164" s="1"/>
  <c r="G85" i="7"/>
  <c r="G86"/>
  <c r="F31" i="3" s="1"/>
  <c r="G75" i="7"/>
  <c r="G79" s="1"/>
  <c r="E15" i="2" s="1"/>
  <c r="G66" i="7"/>
  <c r="G68" s="1"/>
  <c r="F87"/>
  <c r="E30" i="3"/>
  <c r="E29" s="1"/>
  <c r="I74" i="7"/>
  <c r="I58"/>
  <c r="I75" s="1"/>
  <c r="I52"/>
  <c r="I59" s="1"/>
  <c r="I76" s="1"/>
  <c r="G170" i="25"/>
  <c r="G177" s="1"/>
  <c r="H52" i="7"/>
  <c r="H59" s="1"/>
  <c r="H76" s="1"/>
  <c r="H74"/>
  <c r="H58"/>
  <c r="H71" i="1"/>
  <c r="H80" s="1"/>
  <c r="G8" i="2" s="1"/>
  <c r="G16" i="15"/>
  <c r="G11" i="3" s="1"/>
  <c r="G16" i="4" s="1"/>
  <c r="D20" i="3"/>
  <c r="C26" i="5"/>
  <c r="G38" i="9"/>
  <c r="G41"/>
  <c r="F29"/>
  <c r="F26"/>
  <c r="E30"/>
  <c r="E31" s="1"/>
  <c r="E180" i="25"/>
  <c r="H171"/>
  <c r="H178" s="1"/>
  <c r="H10" i="4" s="1"/>
  <c r="G172" i="25"/>
  <c r="G166"/>
  <c r="F24" i="2" s="1"/>
  <c r="G10" i="18" s="1"/>
  <c r="H172" i="25"/>
  <c r="G55"/>
  <c r="G178"/>
  <c r="G10" i="4" s="1"/>
  <c r="F10"/>
  <c r="F9" s="1"/>
  <c r="F180" i="25"/>
  <c r="H55"/>
  <c r="H16" i="15"/>
  <c r="G13" i="2" s="1"/>
  <c r="G10" i="29" s="1"/>
  <c r="F11" i="3"/>
  <c r="F16" i="4" s="1"/>
  <c r="D87" i="1"/>
  <c r="C17" i="2" s="1"/>
  <c r="C23" s="1"/>
  <c r="C26" s="1"/>
  <c r="D9" i="18" s="1"/>
  <c r="D12" s="1"/>
  <c r="B27" i="5"/>
  <c r="H84" i="1"/>
  <c r="E9" i="20"/>
  <c r="E9" i="18"/>
  <c r="E12" s="1"/>
  <c r="G84" i="1"/>
  <c r="F8" i="2"/>
  <c r="G11" i="4"/>
  <c r="B19" i="5"/>
  <c r="B29" i="2"/>
  <c r="B28" i="5" s="1"/>
  <c r="C9" i="18"/>
  <c r="C12" s="1"/>
  <c r="C9" i="20"/>
  <c r="I79" i="7"/>
  <c r="G15" i="2" s="1"/>
  <c r="H32" i="3"/>
  <c r="C22"/>
  <c r="C24" s="1"/>
  <c r="H11" i="4"/>
  <c r="F43"/>
  <c r="F87" i="1"/>
  <c r="E17" i="2" s="1"/>
  <c r="F10" i="3"/>
  <c r="D27" i="5"/>
  <c r="I66" i="7"/>
  <c r="I68" s="1"/>
  <c r="D15" i="3"/>
  <c r="G32"/>
  <c r="E7" i="5"/>
  <c r="E8" i="29"/>
  <c r="E12" s="1"/>
  <c r="E26" i="5"/>
  <c r="D22" i="4" l="1"/>
  <c r="E9" i="3"/>
  <c r="E13" i="29"/>
  <c r="E23" i="2"/>
  <c r="E26" s="1"/>
  <c r="F9" i="18" s="1"/>
  <c r="F12" s="1"/>
  <c r="H85" i="7"/>
  <c r="H86"/>
  <c r="G31" i="3" s="1"/>
  <c r="I85" i="7"/>
  <c r="I86"/>
  <c r="H31" i="3" s="1"/>
  <c r="G87" i="7"/>
  <c r="F30" i="3"/>
  <c r="F29" s="1"/>
  <c r="D17" i="4"/>
  <c r="D15" s="1"/>
  <c r="D23" s="1"/>
  <c r="C13" i="5" s="1"/>
  <c r="H75" i="7"/>
  <c r="H66"/>
  <c r="H68" s="1"/>
  <c r="E12" i="3"/>
  <c r="E18"/>
  <c r="E20" s="1"/>
  <c r="H79" i="7"/>
  <c r="F15" i="2" s="1"/>
  <c r="D22" i="3"/>
  <c r="D24" s="1"/>
  <c r="D20" i="20" s="1"/>
  <c r="F13" i="2"/>
  <c r="F10" i="29" s="1"/>
  <c r="G20" i="15"/>
  <c r="G17" i="3" s="1"/>
  <c r="C29" i="2"/>
  <c r="C28" i="5" s="1"/>
  <c r="H20" i="15"/>
  <c r="H17" i="3" s="1"/>
  <c r="H11"/>
  <c r="H16" i="4" s="1"/>
  <c r="G40" i="9"/>
  <c r="G42" s="1"/>
  <c r="G43" s="1"/>
  <c r="G44"/>
  <c r="F32"/>
  <c r="F28"/>
  <c r="B12" i="5"/>
  <c r="C27"/>
  <c r="H179" i="25"/>
  <c r="H173"/>
  <c r="G179"/>
  <c r="G173"/>
  <c r="C19" i="5"/>
  <c r="D9" i="20"/>
  <c r="E17" i="4"/>
  <c r="E27" i="5"/>
  <c r="G43" i="4"/>
  <c r="D14" i="9"/>
  <c r="H43" i="4"/>
  <c r="B30" i="2"/>
  <c r="B31" s="1"/>
  <c r="G10" i="3"/>
  <c r="G87" i="1"/>
  <c r="F17" i="2" s="1"/>
  <c r="H87" i="1"/>
  <c r="G17" i="2" s="1"/>
  <c r="G23" s="1"/>
  <c r="G26" s="1"/>
  <c r="H10" i="3"/>
  <c r="F17" i="4"/>
  <c r="C20" i="20"/>
  <c r="C26" s="1"/>
  <c r="C14"/>
  <c r="C8" i="9"/>
  <c r="C10" s="1"/>
  <c r="C14" i="18"/>
  <c r="C16" s="1"/>
  <c r="C14" i="9"/>
  <c r="F8" i="29"/>
  <c r="F7" i="5"/>
  <c r="E14" i="9"/>
  <c r="G26" i="5"/>
  <c r="G8" i="29"/>
  <c r="G12" s="1"/>
  <c r="G13" s="1"/>
  <c r="G7" i="5"/>
  <c r="E22" i="4" l="1"/>
  <c r="F9" i="3"/>
  <c r="F11" i="20"/>
  <c r="F28" i="4"/>
  <c r="G28" s="1"/>
  <c r="H28" s="1"/>
  <c r="F9" i="20"/>
  <c r="F26" i="5"/>
  <c r="F12" i="29"/>
  <c r="F13" s="1"/>
  <c r="C12" i="5"/>
  <c r="F12" i="3"/>
  <c r="F18"/>
  <c r="F20" s="1"/>
  <c r="E18" i="4"/>
  <c r="E15" s="1"/>
  <c r="E23" s="1"/>
  <c r="D13" i="5" s="1"/>
  <c r="E15" i="3"/>
  <c r="E22" s="1"/>
  <c r="E24" s="1"/>
  <c r="E8" i="9" s="1"/>
  <c r="E10" s="1"/>
  <c r="H30" i="3"/>
  <c r="H29" s="1"/>
  <c r="I87" i="7"/>
  <c r="H87"/>
  <c r="G30" i="3"/>
  <c r="G29" s="1"/>
  <c r="F23" i="2"/>
  <c r="F26" s="1"/>
  <c r="D8" i="9"/>
  <c r="D10" s="1"/>
  <c r="H41"/>
  <c r="H38"/>
  <c r="F30"/>
  <c r="F31" s="1"/>
  <c r="G26"/>
  <c r="G29"/>
  <c r="G12" i="4"/>
  <c r="G9" s="1"/>
  <c r="G180" i="25"/>
  <c r="H12" i="4"/>
  <c r="H9" s="1"/>
  <c r="H180" i="25"/>
  <c r="D14" i="20"/>
  <c r="D14" i="18"/>
  <c r="D16" s="1"/>
  <c r="B8" i="5"/>
  <c r="B11"/>
  <c r="C32" i="2"/>
  <c r="C30" s="1"/>
  <c r="C32" i="4"/>
  <c r="H9" i="20"/>
  <c r="H9" i="18"/>
  <c r="H12" s="1"/>
  <c r="G27" i="5"/>
  <c r="C21" i="18"/>
  <c r="H17" i="4"/>
  <c r="G17"/>
  <c r="F14" i="9"/>
  <c r="D21" i="20"/>
  <c r="D26" s="1"/>
  <c r="C44" i="4"/>
  <c r="G9" i="3" l="1"/>
  <c r="F22" i="4"/>
  <c r="F27" i="5"/>
  <c r="G9" i="18"/>
  <c r="G12" s="1"/>
  <c r="G14" i="9" s="1"/>
  <c r="G20" s="1"/>
  <c r="G9" i="20"/>
  <c r="E20"/>
  <c r="E14" i="18"/>
  <c r="E21" s="1"/>
  <c r="E14" i="20"/>
  <c r="D12" i="5"/>
  <c r="D21" i="18"/>
  <c r="D9" i="11" s="1"/>
  <c r="D16" s="1"/>
  <c r="L12" s="1"/>
  <c r="G12" i="3"/>
  <c r="G18"/>
  <c r="G20" s="1"/>
  <c r="H18"/>
  <c r="H20" s="1"/>
  <c r="H12"/>
  <c r="F18" i="4"/>
  <c r="F15" i="3"/>
  <c r="F22" s="1"/>
  <c r="F24" s="1"/>
  <c r="H40" i="9"/>
  <c r="H42" s="1"/>
  <c r="H43" s="1"/>
  <c r="H44"/>
  <c r="G32"/>
  <c r="G28"/>
  <c r="C31" i="11"/>
  <c r="C23" i="18"/>
  <c r="C9" i="11"/>
  <c r="C33" i="4"/>
  <c r="D29"/>
  <c r="H14" i="9"/>
  <c r="H20" s="1"/>
  <c r="E21" i="20"/>
  <c r="C31" i="2"/>
  <c r="D44" i="4"/>
  <c r="F15" l="1"/>
  <c r="F23" s="1"/>
  <c r="H9" i="3"/>
  <c r="H22" i="4" s="1"/>
  <c r="G22"/>
  <c r="E16" i="18"/>
  <c r="D31" i="11"/>
  <c r="D42" s="1"/>
  <c r="D23" i="18"/>
  <c r="E23"/>
  <c r="F14" i="20"/>
  <c r="F8" i="9"/>
  <c r="F10" s="1"/>
  <c r="F20" i="20"/>
  <c r="F14" i="18"/>
  <c r="H18" i="4"/>
  <c r="H15" s="1"/>
  <c r="H23" s="1"/>
  <c r="G18"/>
  <c r="G15" s="1"/>
  <c r="G23" s="1"/>
  <c r="G15" i="3"/>
  <c r="G22" s="1"/>
  <c r="G24" s="1"/>
  <c r="E13" i="5"/>
  <c r="E12"/>
  <c r="G30" i="9"/>
  <c r="G31" s="1"/>
  <c r="H29"/>
  <c r="H26"/>
  <c r="D32" i="2"/>
  <c r="D32" i="4"/>
  <c r="C11" i="5"/>
  <c r="C8"/>
  <c r="B51" i="11"/>
  <c r="B52" s="1"/>
  <c r="B53" s="1"/>
  <c r="B14" i="5"/>
  <c r="B17"/>
  <c r="E31" i="11"/>
  <c r="D22"/>
  <c r="C16"/>
  <c r="C22"/>
  <c r="C36"/>
  <c r="C42"/>
  <c r="H15" i="3" l="1"/>
  <c r="H22" s="1"/>
  <c r="H24" s="1"/>
  <c r="E42" i="11"/>
  <c r="B54"/>
  <c r="B60" s="1"/>
  <c r="C33" s="1"/>
  <c r="G20" i="20"/>
  <c r="G14"/>
  <c r="G17" s="1"/>
  <c r="G14" i="18"/>
  <c r="G8" i="9"/>
  <c r="G10" s="1"/>
  <c r="F16" i="18"/>
  <c r="F21"/>
  <c r="F13" i="5"/>
  <c r="F12"/>
  <c r="G13"/>
  <c r="G12"/>
  <c r="H32" i="9"/>
  <c r="H28"/>
  <c r="C38" i="11"/>
  <c r="L30"/>
  <c r="M30" s="1"/>
  <c r="N30" s="1"/>
  <c r="D33" i="4"/>
  <c r="E29"/>
  <c r="L11" i="11"/>
  <c r="M11" s="1"/>
  <c r="D18"/>
  <c r="C18"/>
  <c r="F31" l="1"/>
  <c r="F23" i="18"/>
  <c r="H14" i="20"/>
  <c r="H17" s="1"/>
  <c r="H20"/>
  <c r="H14" i="18"/>
  <c r="H8" i="9"/>
  <c r="H10" s="1"/>
  <c r="G21" i="18"/>
  <c r="G31" i="11" s="1"/>
  <c r="G16" i="18"/>
  <c r="H30" i="9"/>
  <c r="H31" s="1"/>
  <c r="N11" i="11"/>
  <c r="M12"/>
  <c r="C51"/>
  <c r="C17" i="5"/>
  <c r="C14"/>
  <c r="H21" i="18" l="1"/>
  <c r="H16"/>
  <c r="G23"/>
  <c r="G42" i="11"/>
  <c r="F42"/>
  <c r="N12"/>
  <c r="H23" i="18" l="1"/>
  <c r="H31" i="11"/>
  <c r="H42" s="1"/>
  <c r="C11" i="20" l="1"/>
  <c r="C17" s="1"/>
  <c r="C27" s="1"/>
  <c r="C28" s="1"/>
  <c r="C20" i="9"/>
  <c r="D17" s="1"/>
  <c r="C45" i="4"/>
  <c r="C42" s="1"/>
  <c r="D20" i="9" l="1"/>
  <c r="D11" i="20"/>
  <c r="D17" s="1"/>
  <c r="D27" s="1"/>
  <c r="D28" s="1"/>
  <c r="B23" i="5"/>
  <c r="C49" i="4"/>
  <c r="B22" i="5"/>
  <c r="C30" i="20"/>
  <c r="D45" i="4"/>
  <c r="D30" i="20" l="1"/>
  <c r="D42" i="4"/>
  <c r="E45"/>
  <c r="B18" i="5"/>
  <c r="C51" i="4"/>
  <c r="C53" s="1"/>
  <c r="F45" l="1"/>
  <c r="C23" i="5"/>
  <c r="C22"/>
  <c r="D49" i="4"/>
  <c r="G45" l="1"/>
  <c r="C18" i="5"/>
  <c r="D51" i="4"/>
  <c r="D53" s="1"/>
  <c r="D54" s="1"/>
  <c r="H45" l="1"/>
  <c r="E12" i="20"/>
  <c r="E17" s="1"/>
  <c r="E20" i="9"/>
  <c r="E50"/>
  <c r="E52" s="1"/>
  <c r="F12" i="20" l="1"/>
  <c r="F17" s="1"/>
  <c r="F62" i="9"/>
  <c r="F20"/>
  <c r="E54"/>
  <c r="E97" s="1"/>
  <c r="D28" i="2" s="1"/>
  <c r="E53" i="9"/>
  <c r="F65" l="1"/>
  <c r="F68" s="1"/>
  <c r="F64"/>
  <c r="F66" s="1"/>
  <c r="E24" i="20"/>
  <c r="D19" i="5"/>
  <c r="D29" i="2"/>
  <c r="E98" i="9"/>
  <c r="E23" i="20" s="1"/>
  <c r="E56" i="9"/>
  <c r="E55"/>
  <c r="F67" l="1"/>
  <c r="G62"/>
  <c r="G65"/>
  <c r="E26" i="20"/>
  <c r="E27" s="1"/>
  <c r="E28" s="1"/>
  <c r="E9" i="11"/>
  <c r="F50" i="9"/>
  <c r="F53"/>
  <c r="F98" s="1"/>
  <c r="F23" i="20" s="1"/>
  <c r="E95" i="9"/>
  <c r="E39" i="4" s="1"/>
  <c r="D30" i="2"/>
  <c r="D31" s="1"/>
  <c r="D28" i="5"/>
  <c r="G64" i="9" l="1"/>
  <c r="G66" s="1"/>
  <c r="G67" s="1"/>
  <c r="G68"/>
  <c r="E32" i="2"/>
  <c r="D8" i="5"/>
  <c r="D11"/>
  <c r="E32" i="4"/>
  <c r="E16" i="11"/>
  <c r="E22"/>
  <c r="E37" i="4"/>
  <c r="C50" i="11"/>
  <c r="F52" i="9"/>
  <c r="F56"/>
  <c r="E30" i="20"/>
  <c r="F21"/>
  <c r="E44" i="4"/>
  <c r="E42" s="1"/>
  <c r="H65" i="9" l="1"/>
  <c r="H62"/>
  <c r="G53"/>
  <c r="G98" s="1"/>
  <c r="G23" i="20" s="1"/>
  <c r="G50" i="9"/>
  <c r="F95"/>
  <c r="F39" i="4" s="1"/>
  <c r="C52" i="11"/>
  <c r="C54" s="1"/>
  <c r="E18"/>
  <c r="L13"/>
  <c r="M13" s="1"/>
  <c r="F29" i="4"/>
  <c r="E33"/>
  <c r="D23" i="5"/>
  <c r="D22"/>
  <c r="E49" i="4"/>
  <c r="F54" i="9"/>
  <c r="F55" s="1"/>
  <c r="F97" l="1"/>
  <c r="E28" i="2" s="1"/>
  <c r="F24" i="20" s="1"/>
  <c r="F26" s="1"/>
  <c r="F27" s="1"/>
  <c r="F28" s="1"/>
  <c r="H68" i="9"/>
  <c r="H64"/>
  <c r="D18" i="5"/>
  <c r="E51" i="4"/>
  <c r="E53" s="1"/>
  <c r="E54" s="1"/>
  <c r="D51" i="11"/>
  <c r="D17" i="5"/>
  <c r="D14"/>
  <c r="N13" i="11"/>
  <c r="F37" i="4"/>
  <c r="D50" i="11"/>
  <c r="C53"/>
  <c r="C60" s="1"/>
  <c r="D33" s="1"/>
  <c r="D34" s="1"/>
  <c r="G52" i="9"/>
  <c r="G56"/>
  <c r="F9" i="11" l="1"/>
  <c r="F22" s="1"/>
  <c r="E19" i="5"/>
  <c r="E29" i="2"/>
  <c r="E30" s="1"/>
  <c r="E31" s="1"/>
  <c r="H66" i="9"/>
  <c r="H67" s="1"/>
  <c r="G54"/>
  <c r="G55" s="1"/>
  <c r="D36" i="11"/>
  <c r="F16"/>
  <c r="H50" i="9"/>
  <c r="H53"/>
  <c r="H98" s="1"/>
  <c r="H23" i="20" s="1"/>
  <c r="G95" i="9"/>
  <c r="G39" i="4" s="1"/>
  <c r="D52" i="11"/>
  <c r="D53" s="1"/>
  <c r="F30" i="20"/>
  <c r="E28" i="5" l="1"/>
  <c r="D54" i="11"/>
  <c r="D60" s="1"/>
  <c r="E33" s="1"/>
  <c r="E34" s="1"/>
  <c r="E36" s="1"/>
  <c r="L32" s="1"/>
  <c r="G97" i="9"/>
  <c r="F28" i="2" s="1"/>
  <c r="G24" i="20" s="1"/>
  <c r="E8" i="5"/>
  <c r="E11"/>
  <c r="F32" i="2"/>
  <c r="F32" i="4"/>
  <c r="G37"/>
  <c r="E50" i="11"/>
  <c r="H52" i="9"/>
  <c r="H56"/>
  <c r="H95" s="1"/>
  <c r="H39" i="4" s="1"/>
  <c r="G21" i="20"/>
  <c r="F44" i="4"/>
  <c r="F42" s="1"/>
  <c r="L14" i="11"/>
  <c r="M14" s="1"/>
  <c r="F18"/>
  <c r="D38"/>
  <c r="L31"/>
  <c r="M31" s="1"/>
  <c r="F19" i="5" l="1"/>
  <c r="F29" i="2"/>
  <c r="F30" s="1"/>
  <c r="F31" s="1"/>
  <c r="G9" i="11"/>
  <c r="G22" s="1"/>
  <c r="E38"/>
  <c r="G26" i="20"/>
  <c r="G27" s="1"/>
  <c r="G28" s="1"/>
  <c r="G30" s="1"/>
  <c r="N14" i="11"/>
  <c r="F28" i="5"/>
  <c r="H54" i="9"/>
  <c r="H55" s="1"/>
  <c r="N31" i="11"/>
  <c r="M32"/>
  <c r="E23" i="5"/>
  <c r="F49" i="4"/>
  <c r="E22" i="5"/>
  <c r="F50" i="11"/>
  <c r="H37" i="4"/>
  <c r="G29"/>
  <c r="F33"/>
  <c r="G16" i="11" l="1"/>
  <c r="L15" s="1"/>
  <c r="M15" s="1"/>
  <c r="H97" i="9"/>
  <c r="G28" i="2" s="1"/>
  <c r="G19" i="5" s="1"/>
  <c r="G32" i="2"/>
  <c r="F11" i="5"/>
  <c r="G32" i="4"/>
  <c r="H29" s="1"/>
  <c r="F8" i="5"/>
  <c r="H21" i="20"/>
  <c r="G44" i="4"/>
  <c r="G42" s="1"/>
  <c r="E51" i="11"/>
  <c r="E17" i="5"/>
  <c r="E14"/>
  <c r="E18"/>
  <c r="F51" i="4"/>
  <c r="F53" s="1"/>
  <c r="F54" s="1"/>
  <c r="N32" i="11"/>
  <c r="G18" l="1"/>
  <c r="H9"/>
  <c r="H16" s="1"/>
  <c r="H24" i="20"/>
  <c r="H26" s="1"/>
  <c r="H27" s="1"/>
  <c r="H28" s="1"/>
  <c r="H30" s="1"/>
  <c r="G29" i="2"/>
  <c r="G28" i="5" s="1"/>
  <c r="G33" i="4"/>
  <c r="F17" i="5" s="1"/>
  <c r="I9" i="11"/>
  <c r="I16" s="1"/>
  <c r="L17" s="1"/>
  <c r="E52"/>
  <c r="E53" s="1"/>
  <c r="F23" i="5"/>
  <c r="G49" i="4"/>
  <c r="F22" i="5"/>
  <c r="N15" i="11"/>
  <c r="I22" l="1"/>
  <c r="C24" s="1"/>
  <c r="H22"/>
  <c r="F51"/>
  <c r="G30" i="2"/>
  <c r="H44" i="4" s="1"/>
  <c r="H42" s="1"/>
  <c r="H49" s="1"/>
  <c r="F14" i="5"/>
  <c r="E54" i="11"/>
  <c r="E60" s="1"/>
  <c r="F33" s="1"/>
  <c r="F34" s="1"/>
  <c r="F18" i="5"/>
  <c r="G51" i="4"/>
  <c r="G53" s="1"/>
  <c r="G54" s="1"/>
  <c r="F52" i="11"/>
  <c r="F53" s="1"/>
  <c r="L16"/>
  <c r="M16" s="1"/>
  <c r="H18"/>
  <c r="I18"/>
  <c r="C20" s="1"/>
  <c r="G23" i="5" l="1"/>
  <c r="G22"/>
  <c r="G31" i="2"/>
  <c r="G11" i="5" s="1"/>
  <c r="F36" i="11"/>
  <c r="M17"/>
  <c r="N17" s="1"/>
  <c r="N16"/>
  <c r="C26" s="1"/>
  <c r="F54"/>
  <c r="F60" s="1"/>
  <c r="G33" s="1"/>
  <c r="G34" s="1"/>
  <c r="G18" i="5"/>
  <c r="G8"/>
  <c r="H32" i="4" l="1"/>
  <c r="H33" s="1"/>
  <c r="G14" i="5" s="1"/>
  <c r="G36" i="11"/>
  <c r="L34" s="1"/>
  <c r="L33"/>
  <c r="M33" s="1"/>
  <c r="F38"/>
  <c r="G51" l="1"/>
  <c r="H51" i="4"/>
  <c r="H53" s="1"/>
  <c r="H54" s="1"/>
  <c r="G17" i="5"/>
  <c r="G38" i="11"/>
  <c r="N33"/>
  <c r="M34"/>
  <c r="G52"/>
  <c r="G53" s="1"/>
  <c r="N34" l="1"/>
  <c r="G54"/>
  <c r="G60" s="1"/>
  <c r="H33" s="1"/>
  <c r="I33" l="1"/>
  <c r="I31" s="1"/>
  <c r="H34"/>
  <c r="I34" l="1"/>
  <c r="H36"/>
  <c r="I36"/>
  <c r="I42"/>
  <c r="C44" s="1"/>
  <c r="L35" l="1"/>
  <c r="M35" s="1"/>
  <c r="N35" s="1"/>
  <c r="C46" s="1"/>
  <c r="I38"/>
  <c r="C40" s="1"/>
  <c r="H38"/>
</calcChain>
</file>

<file path=xl/sharedStrings.xml><?xml version="1.0" encoding="utf-8"?>
<sst xmlns="http://schemas.openxmlformats.org/spreadsheetml/2006/main" count="769" uniqueCount="467">
  <si>
    <t>Beta empresas equivalentes</t>
  </si>
  <si>
    <t>Taxa Interna de Rentibilidade</t>
  </si>
  <si>
    <t>Pay Back period</t>
  </si>
  <si>
    <t>CF</t>
  </si>
  <si>
    <t>CF Acum</t>
  </si>
  <si>
    <t>Quantidades vendidas</t>
  </si>
  <si>
    <t xml:space="preserve">Preço Unitário </t>
  </si>
  <si>
    <t>Na perspectiva do Projecto</t>
  </si>
  <si>
    <t>Na perspectiva do Investidor</t>
  </si>
  <si>
    <t>Anos</t>
  </si>
  <si>
    <t>Pressupostos Gerais</t>
  </si>
  <si>
    <t>Custo</t>
  </si>
  <si>
    <t>Taxa de Juro</t>
  </si>
  <si>
    <t>Juro Anual</t>
  </si>
  <si>
    <t>Reembolso Anual</t>
  </si>
  <si>
    <t>Financiamento</t>
  </si>
  <si>
    <t>Solvabilidade Total</t>
  </si>
  <si>
    <t>Liquidez Reduzida</t>
  </si>
  <si>
    <t>Fornecedores</t>
  </si>
  <si>
    <t>Autonomia Financeira</t>
  </si>
  <si>
    <t>EMPRESA:</t>
  </si>
  <si>
    <t xml:space="preserve">TOTAL FSE  </t>
  </si>
  <si>
    <t>CMVMC</t>
  </si>
  <si>
    <t>Seguros Acidentes de Trabalho</t>
  </si>
  <si>
    <t>Ano 0</t>
  </si>
  <si>
    <t>Ano 1</t>
  </si>
  <si>
    <t>Ano 2</t>
  </si>
  <si>
    <t>Ano 3</t>
  </si>
  <si>
    <t>Ano 4</t>
  </si>
  <si>
    <t>Ano 5</t>
  </si>
  <si>
    <t>Subcontratos</t>
  </si>
  <si>
    <t>Royalties</t>
  </si>
  <si>
    <t>Comissões</t>
  </si>
  <si>
    <t>Pessoal</t>
  </si>
  <si>
    <t>Nº Meses</t>
  </si>
  <si>
    <t>Electricidade</t>
  </si>
  <si>
    <t>Artigos para oferta</t>
  </si>
  <si>
    <t>Rendas e alugueres</t>
  </si>
  <si>
    <t>Despesas de representação</t>
  </si>
  <si>
    <t>Comunicação</t>
  </si>
  <si>
    <t>Seguros</t>
  </si>
  <si>
    <t>Transportes de mercadorias</t>
  </si>
  <si>
    <t>Contencioso e notariado</t>
  </si>
  <si>
    <t>Conservação e reparação</t>
  </si>
  <si>
    <t>Publicidade e propaganda</t>
  </si>
  <si>
    <t>Limpeza, higiene e conforto</t>
  </si>
  <si>
    <t>Honorários</t>
  </si>
  <si>
    <t xml:space="preserve">Formação </t>
  </si>
  <si>
    <t>TOTAL</t>
  </si>
  <si>
    <t>Proveitos Financeiros</t>
  </si>
  <si>
    <t>ACTIVO</t>
  </si>
  <si>
    <t>Clientes</t>
  </si>
  <si>
    <t>Estado</t>
  </si>
  <si>
    <t>TOTAL ACTIVO</t>
  </si>
  <si>
    <t>PASSIVO</t>
  </si>
  <si>
    <t>TOTAL PASSIVO</t>
  </si>
  <si>
    <t>Unidade monetária</t>
  </si>
  <si>
    <t>Investimento</t>
  </si>
  <si>
    <t>Demonstração de Resultados Previsional</t>
  </si>
  <si>
    <t>Balanço Previsional</t>
  </si>
  <si>
    <t>Mapa de Cash Flows Operacionais</t>
  </si>
  <si>
    <t>Principais Indicadores</t>
  </si>
  <si>
    <t>FSE + IVA</t>
  </si>
  <si>
    <t>Valor em divida</t>
  </si>
  <si>
    <t>IVA</t>
  </si>
  <si>
    <t>Empresa:</t>
  </si>
  <si>
    <t>TOTAL VENDAS</t>
  </si>
  <si>
    <t>TOTAL VOLUME DE NEGÓCIOS</t>
  </si>
  <si>
    <t>Margem Bruta</t>
  </si>
  <si>
    <t>TOTAL CMVMC</t>
  </si>
  <si>
    <t>TOTAL CMVMC + IVA</t>
  </si>
  <si>
    <t>TOTAL VOLUME DE NEGÓCIOS + IVA</t>
  </si>
  <si>
    <t>FSE - Fornecimentos e Serviços Externos</t>
  </si>
  <si>
    <t>CMVMC - Custo das Mercadorias Vendidas e Matérias Consumidas</t>
  </si>
  <si>
    <t>Taxa de crescimento</t>
  </si>
  <si>
    <t>Valor Mensal</t>
  </si>
  <si>
    <t>Serviço A</t>
  </si>
  <si>
    <t>Serviço B</t>
  </si>
  <si>
    <t>Serviço C</t>
  </si>
  <si>
    <t>Serviço D</t>
  </si>
  <si>
    <t>Taxa de crescimento das unidades vendidas</t>
  </si>
  <si>
    <t>Segurança Social</t>
  </si>
  <si>
    <t>QUADRO RESUMO</t>
  </si>
  <si>
    <t>Outros custos com pessoal</t>
  </si>
  <si>
    <t>Necessidades Fundo Maneio</t>
  </si>
  <si>
    <t>Recursos Fundo Maneio</t>
  </si>
  <si>
    <t>Investimento em Fundo de Maneio</t>
  </si>
  <si>
    <t>Reserva Segurança Tesouraria</t>
  </si>
  <si>
    <t xml:space="preserve">Taxa média de IRS </t>
  </si>
  <si>
    <t>Meios Libertos do Projecto</t>
  </si>
  <si>
    <t xml:space="preserve">   Fundo de Maneio</t>
  </si>
  <si>
    <t xml:space="preserve">   Capital Fixo</t>
  </si>
  <si>
    <t>Taxa de IRC</t>
  </si>
  <si>
    <t>CASH FLOW de Exploração</t>
  </si>
  <si>
    <t>Margem de segurança</t>
  </si>
  <si>
    <t>Necessidades de financiamento</t>
  </si>
  <si>
    <t xml:space="preserve">TOTAL </t>
  </si>
  <si>
    <t>Meios Libertos Brutos</t>
  </si>
  <si>
    <t>Desinvest. em Capital Fixo</t>
  </si>
  <si>
    <t>Desinvest. em FMN</t>
  </si>
  <si>
    <t>Total das Origens</t>
  </si>
  <si>
    <t>Inv. Capital Fixo</t>
  </si>
  <si>
    <t>Inv Fundo de Maneio</t>
  </si>
  <si>
    <t>Reembolso de Empréstimos</t>
  </si>
  <si>
    <t>Encargos Financeiros</t>
  </si>
  <si>
    <t>Total das Aplicações</t>
  </si>
  <si>
    <t>Saldo de Tesouraria Anual</t>
  </si>
  <si>
    <t>ORIGENS DE FUNDOS</t>
  </si>
  <si>
    <t>APLICAÇÕES DE FUNDOS</t>
  </si>
  <si>
    <t>Taxa de IVA - CMVMC</t>
  </si>
  <si>
    <t>Taxa de IVA - FSE</t>
  </si>
  <si>
    <t>Taxa de juro de activos sem risco</t>
  </si>
  <si>
    <t>Prémio de risco de mercado</t>
  </si>
  <si>
    <t>Meios Libertos</t>
  </si>
  <si>
    <t>CASH FLOW acumulado</t>
  </si>
  <si>
    <t>Saldo de Tesouraria Acumulado</t>
  </si>
  <si>
    <t>Soma Controlo</t>
  </si>
  <si>
    <t>Reembolso</t>
  </si>
  <si>
    <t>Taxa de Crescimento do Negócio</t>
  </si>
  <si>
    <t>INDICADORES ECONÓMICOS - FINANCEIROS</t>
  </si>
  <si>
    <t>INDICADORES ECONÓMICOS</t>
  </si>
  <si>
    <t>INDICADORES FINANCEIROS</t>
  </si>
  <si>
    <t>INDICADORES DE LIQUIDEZ</t>
  </si>
  <si>
    <t>Return On Investment (ROI)</t>
  </si>
  <si>
    <t>Rendibilidade do Activo</t>
  </si>
  <si>
    <t>Rotação do Activo</t>
  </si>
  <si>
    <t>Rendibilidade dos Capitais Próprios (ROE)</t>
  </si>
  <si>
    <t>INDICADORES DE RISCO NEGÓCIO</t>
  </si>
  <si>
    <t>Free cash-flow</t>
  </si>
  <si>
    <t>Taxa de Actualização</t>
  </si>
  <si>
    <t>Factor actualização</t>
  </si>
  <si>
    <t>Fluxos Actualizados</t>
  </si>
  <si>
    <t>Free Cash Flow do Equity</t>
  </si>
  <si>
    <t>Free Cash Flow to Firm</t>
  </si>
  <si>
    <t>WACC</t>
  </si>
  <si>
    <t>Fluxos actualizados</t>
  </si>
  <si>
    <t>Factor de actualização</t>
  </si>
  <si>
    <t>Custo ponderado</t>
  </si>
  <si>
    <t>Passos para preenchimento:</t>
  </si>
  <si>
    <r>
      <t>Ü</t>
    </r>
    <r>
      <rPr>
        <sz val="10"/>
        <rFont val="Arial Narrow"/>
        <family val="2"/>
      </rPr>
      <t xml:space="preserve"> Só devem ser inseridos valores nas células com fundo branco;</t>
    </r>
  </si>
  <si>
    <t>Principais regras de utilização:</t>
  </si>
  <si>
    <t>Colocar na sheet CMVMC na célula correspondente, as margens brutas de negócio para cada um dos produtos vendidos;</t>
  </si>
  <si>
    <t>Na sheet FSE, estimar um valor médio mensal para cada umas das rubricas que se adaptem à empresa / negócio;</t>
  </si>
  <si>
    <t>Posteriormente, definir o quadro de investimento da empresa / projecto na sheet de Investimentos, repartida pelas diferentes rubricas de investimento em activo fixo;</t>
  </si>
  <si>
    <t>Ano 6</t>
  </si>
  <si>
    <t>Tx IVA</t>
  </si>
  <si>
    <t>Taxa de juro de empréstimo Curto Prazo</t>
  </si>
  <si>
    <t>Taxa de juro de activos sem risco - Rf</t>
  </si>
  <si>
    <t>* Produtos / Familias de Produtos / Mercadorias</t>
  </si>
  <si>
    <t>Produto B *</t>
  </si>
  <si>
    <t>Taxa de variação dos preços</t>
  </si>
  <si>
    <t>IVA VENDAS</t>
  </si>
  <si>
    <t>NOTA: Caso não tenha conhecimento das quantidades, colocar o valor das vendas na linha das "Quantidades Vendidas" e o valor 1 na linha do "Preço Unitário".</t>
  </si>
  <si>
    <t>NOTA: Mapa construído caso a caso:</t>
  </si>
  <si>
    <t>b) Efectuar os cálculos auxiliares considerados necessários para alcançar a o nível de matéria-prima por unidade produzida e introduzir manualmente os valores;</t>
  </si>
  <si>
    <t>Outro Pessoal</t>
  </si>
  <si>
    <t>Retenção SS Colaborador</t>
  </si>
  <si>
    <t>Retenção IRS Colaborador</t>
  </si>
  <si>
    <t>Retenções Colaboradores</t>
  </si>
  <si>
    <t>TOTAL Retenções</t>
  </si>
  <si>
    <t>Resultados Operacionais (EBIT) x (1-IRC)</t>
  </si>
  <si>
    <t>Investim./Desinvest. em Fundo Maneio</t>
  </si>
  <si>
    <t>Investim./Desinvest. em Capital Fixo</t>
  </si>
  <si>
    <t>Fontes de Financiamento</t>
  </si>
  <si>
    <t>Plano de Financiamento</t>
  </si>
  <si>
    <t xml:space="preserve">Imposto sobre os Lucros </t>
  </si>
  <si>
    <t xml:space="preserve">Pagamento de Dividendos </t>
  </si>
  <si>
    <t>Capital Social (entrada de fundos)</t>
  </si>
  <si>
    <t>Empréstimos Obtidos</t>
  </si>
  <si>
    <t>Imposto Selo (0,4%)</t>
  </si>
  <si>
    <r>
      <t>Ü</t>
    </r>
    <r>
      <rPr>
        <sz val="10"/>
        <rFont val="Arial Narrow"/>
        <family val="2"/>
      </rPr>
      <t xml:space="preserve"> No caso de pretender efectuar uma análise de sensibilidade, utilize este mesmo modelo, mas com diferentes valores.</t>
    </r>
  </si>
  <si>
    <t>Avaliação do Projecto / Empresa</t>
  </si>
  <si>
    <t>==&gt; R(Tx actualização) = Rf + pº</t>
  </si>
  <si>
    <r>
      <t xml:space="preserve">NOTA: Quando não se aplica </t>
    </r>
    <r>
      <rPr>
        <i/>
        <u/>
        <sz val="8"/>
        <color indexed="12"/>
        <rFont val="Arial Narrow"/>
        <family val="2"/>
      </rPr>
      <t>Beta</t>
    </r>
    <r>
      <rPr>
        <sz val="8"/>
        <color indexed="12"/>
        <rFont val="Arial Narrow"/>
        <family val="2"/>
      </rPr>
      <t xml:space="preserve">, colocar: </t>
    </r>
  </si>
  <si>
    <r>
      <t xml:space="preserve">   - O prémio de risco (</t>
    </r>
    <r>
      <rPr>
        <sz val="8"/>
        <rFont val="Arial Narrow"/>
        <family val="2"/>
      </rPr>
      <t>pº</t>
    </r>
    <r>
      <rPr>
        <sz val="8"/>
        <color indexed="12"/>
        <rFont val="Arial Narrow"/>
        <family val="2"/>
      </rPr>
      <t xml:space="preserve">) adequado ao projecto </t>
    </r>
  </si>
  <si>
    <t>Prémio de risco de mercado - (Rm-Rf)* ou pº</t>
  </si>
  <si>
    <r>
      <t>Ü</t>
    </r>
    <r>
      <rPr>
        <sz val="10"/>
        <rFont val="Arial Narrow"/>
        <family val="2"/>
      </rPr>
      <t xml:space="preserve"> A utilização deste modelo tem por base um trabalho prévio por parte do utilizador no que diz respeito à previsão de proveitos e de custos;</t>
    </r>
  </si>
  <si>
    <t>Investimento em Fundo Maneio Necessário</t>
  </si>
  <si>
    <t>Prazo médio de Recebimento (dias) / (meses)</t>
  </si>
  <si>
    <t>Prazo médio de Pagamento (dias) / (meses)</t>
  </si>
  <si>
    <t>Prazo médio de Stockagem (dias) / (meses)</t>
  </si>
  <si>
    <t>s</t>
  </si>
  <si>
    <t xml:space="preserve">Taxa de IVA - Vendas </t>
  </si>
  <si>
    <t>Taxa de IVA - Prestação Serviços</t>
  </si>
  <si>
    <t>VENDAS - MERCADO NACIONAL</t>
  </si>
  <si>
    <t>VENDAS - EXPORTAÇÃO</t>
  </si>
  <si>
    <t>TOTAL VENDAS - MERCADO NACIONAL</t>
  </si>
  <si>
    <t>TOTAL VENDAS - EXPORTAÇÕES</t>
  </si>
  <si>
    <t>TOTAL PRESTAÇÕES SERVIÇOS</t>
  </si>
  <si>
    <t>Incremento Anual (Vencimentos + Sub. Almoço)</t>
  </si>
  <si>
    <t xml:space="preserve">   - Beta = 100%</t>
  </si>
  <si>
    <r>
      <t>Ü</t>
    </r>
    <r>
      <rPr>
        <sz val="10"/>
        <rFont val="Arial Narrow"/>
        <family val="2"/>
      </rPr>
      <t xml:space="preserve"> Os valores que se encontrem a azul, poderão ser alterados, mas dentro dos mesmos parâmetros;</t>
    </r>
  </si>
  <si>
    <t>Regras de utilização</t>
  </si>
  <si>
    <t>Na sheet de Fundo Maneio, definir a Reserva de Segurança de Tesouraria. Esta rubrica representa um valor mínimo de disponibilidades a manter ao longo do projecto;</t>
  </si>
  <si>
    <t>Taxa de crescimento dos cash flows na perpetuidade</t>
  </si>
  <si>
    <t>c) Caso não seja possível alcançar o nível do consumo de matéria-prima por produto, introduzir o valor do custo total, após a realização dos respectivos cálculos auxiliares.</t>
  </si>
  <si>
    <t>NOTA 2: Está disponível uma folha para cálculos auxiliares. Contém mapas para cálculo do CMVMC de projectos industriais.</t>
  </si>
  <si>
    <t>Material de escritório</t>
  </si>
  <si>
    <t>Vigilância e segurança</t>
  </si>
  <si>
    <t>Trabalhos especializados</t>
  </si>
  <si>
    <t>Gerência / Administração</t>
  </si>
  <si>
    <t>Subsídio Alimentação</t>
  </si>
  <si>
    <t>Fundo Maneio Necessário</t>
  </si>
  <si>
    <t>* A considerar caso seja necessário</t>
  </si>
  <si>
    <t>Financiamento bancário e outras Inst. Crédito</t>
  </si>
  <si>
    <t>Capital em dívida (início período)</t>
  </si>
  <si>
    <t>Valor em dívida</t>
  </si>
  <si>
    <t>Serviço da dívida</t>
  </si>
  <si>
    <t>Capital em dívida</t>
  </si>
  <si>
    <t>Juros pagos com Imposto Selo incluído</t>
  </si>
  <si>
    <t>Provisões do exercício</t>
  </si>
  <si>
    <t>Aplicações / Empréstimo Curto Prazo</t>
  </si>
  <si>
    <t>Estado e Outros Entes Públicos</t>
  </si>
  <si>
    <t>CAPITAL PRÓPRIO</t>
  </si>
  <si>
    <t>TOTAL PASSIVO + CAPITAIS PRÓPRIOS</t>
  </si>
  <si>
    <t>Grau de Alavanca Operacional</t>
  </si>
  <si>
    <t>Valor Actual Líquido (VAL)</t>
  </si>
  <si>
    <t>Capital Próprio</t>
  </si>
  <si>
    <t>* Rendimento esperado de mercado</t>
  </si>
  <si>
    <t>Euros</t>
  </si>
  <si>
    <t>Colocar o nome da empresa na célula E1 na sheet de "Pressupostos";</t>
  </si>
  <si>
    <t>Valide os pressupostos aqui indicados e ajuste-os de acordo com o seu projecto</t>
  </si>
  <si>
    <t>MERCADO NACIONAL</t>
  </si>
  <si>
    <t>MERCADO EXTERNO</t>
  </si>
  <si>
    <t>a) Introduzir a Margem Bruta directamente, quando conhecida e passível de ser utilizada, ou efectuar a respectiva fórmula de cálculo;</t>
  </si>
  <si>
    <t>Quadro de Pessoal</t>
  </si>
  <si>
    <t>Administração / Direcção</t>
  </si>
  <si>
    <t>Administrativa Financeira</t>
  </si>
  <si>
    <t>Comercial / Marketing</t>
  </si>
  <si>
    <t>Produção / Operacional</t>
  </si>
  <si>
    <t>Qualidade</t>
  </si>
  <si>
    <t>Manutenção</t>
  </si>
  <si>
    <t>Aprovisionamento</t>
  </si>
  <si>
    <t>Investigação &amp; Desenvolvimento</t>
  </si>
  <si>
    <t>Outros</t>
  </si>
  <si>
    <t>Remuneração base mensal</t>
  </si>
  <si>
    <t>Remuneração base anual - TOTAL Colaboradores</t>
  </si>
  <si>
    <t>Investimento por ano</t>
  </si>
  <si>
    <t xml:space="preserve">   Edificios e Outras Construções</t>
  </si>
  <si>
    <t xml:space="preserve">   Equipamento  Básico</t>
  </si>
  <si>
    <t xml:space="preserve">   Equipamento de Transporte</t>
  </si>
  <si>
    <t xml:space="preserve">   Equipamento Administrativo</t>
  </si>
  <si>
    <t>Total Investimento</t>
  </si>
  <si>
    <t>Taxa de Aplicações Financeiras Curto Prazo</t>
  </si>
  <si>
    <t>Métodos de avaliação considerados:</t>
  </si>
  <si>
    <t>Em linhas gerais, o método dos fluxos de caixa descontados consiste em estimar-se os fluxos de caixa futuros da empresa e trazê-los a valor presente por uma determinada taxa de desconto (WACC). Em outras palavras, o valor de uma empresa pode ser expresso como o valor presente do fluxo FCFF (fluxo de caixa líquido para a firma, do inglês Free Cash Flow to Firm).</t>
  </si>
  <si>
    <t xml:space="preserve">No método de avaliação pelo desconto de fluxos de caixa líquido do acionista (FCFE – do inglês Free Cashflow to Equity), o objetivo é avaliar directamente o património líquido da empresa. </t>
  </si>
  <si>
    <t>Free Cash Flow to Equity</t>
  </si>
  <si>
    <t>Para a melhor utilização do presente modelo o empreendedor deverá dominar conceitos básicos de análise económica e financeira ou, não sendo esse o caso, deve explorar as potencialidades do presente modelo acompanhado por alguém conhecedor desses conceitos. Por outro lado, este modelo Económico Financeiro deve ser acompanhado de informação qualitativa detalhada sobre o projecto e de explicação dos pressupostos de cálculos efectuados.</t>
  </si>
  <si>
    <t xml:space="preserve">Taxa de crescimento </t>
  </si>
  <si>
    <t>Os inputs do modelo estão inseridos, sendo necessário apenas fazer o acerto de disponibilidades. Assim sendo, na sheet de Plano Financeiro carregar no rectângulo que indica "Acerto do modelo"</t>
  </si>
  <si>
    <t>Para que o possa tirar partido de todas as funcionalidades do modelo, deverá confirmar se o nível de segurança das Macros esta em Médio. Para isso basta ir às Ferramentas - Macro - Segurança e no Nível de Segurança escolher / confirmar se está no Médio. Caso não esteja coloque a opção já indicada e feche o ficheiro. Quando reabrir , seleccione Aceitar Macro.</t>
  </si>
  <si>
    <t>Estimar o volume de negócios da empresa, através das quantidades vendidas, preço de venda dos produtos e de prestação de serviços. Caso pretenda utilize folha de cálculo anexa e faça apenas as respectivas ligações de acordo com a classificação contabilística do seu volume de negócios;</t>
  </si>
  <si>
    <t>Após a definição de todos estes pressupostos tem que definir a forma de financiamento do projecto na sheet Financiamento. Deverá indicar o valor de capital social inicial e eventuais aumentos, bem como o nível de suprimentos da empresa e / ou o valor dos empréstimos bancários;</t>
  </si>
  <si>
    <t>Taxa de IVA - Investimento</t>
  </si>
  <si>
    <t>Cálculo do WACC</t>
  </si>
  <si>
    <t>% Capital Próprio</t>
  </si>
  <si>
    <t>Custo Capital</t>
  </si>
  <si>
    <t>Taxa de juro de empréstimo ML Prazo</t>
  </si>
  <si>
    <t>Custo Financiamento</t>
  </si>
  <si>
    <t>Passivo Remunerado</t>
  </si>
  <si>
    <t>Custo financiamento com efeito fiscal</t>
  </si>
  <si>
    <t>% Passivo remunerado</t>
  </si>
  <si>
    <t>ESTADO</t>
  </si>
  <si>
    <t>SS</t>
  </si>
  <si>
    <t>IRS</t>
  </si>
  <si>
    <t>N.º de anos reembolso</t>
  </si>
  <si>
    <t>Taxa de juro associada</t>
  </si>
  <si>
    <t>1º Ano actividade</t>
  </si>
  <si>
    <t>Propriedades de investimento</t>
  </si>
  <si>
    <t>Terrenos e recursos naturais</t>
  </si>
  <si>
    <t>Edificios e Outras construções</t>
  </si>
  <si>
    <t>Outras propriedades de investimento</t>
  </si>
  <si>
    <t>Total propriedades de investimento</t>
  </si>
  <si>
    <t>Activos fixos tangíveis</t>
  </si>
  <si>
    <t>Equipamentos biológicos</t>
  </si>
  <si>
    <t xml:space="preserve">   Outros activos fixos tangiveis</t>
  </si>
  <si>
    <t>Gastos com o Pessoal</t>
  </si>
  <si>
    <t>Vendas + Prestações de Serviços</t>
  </si>
  <si>
    <t>PRESTAÇÕES DE SERVIÇOS - MERCADO NACIONAL</t>
  </si>
  <si>
    <t>PRESTAÇÕES DE SERVIÇOS - EXPORTAÇÕES</t>
  </si>
  <si>
    <t>TOTAL PRESTAÇÕES DE SERVIÇOS - MERCADO NACIONAL</t>
  </si>
  <si>
    <t>TOTAL PRESTAÇÕES DE SERVIÇOS - EXPORTAÇÕES</t>
  </si>
  <si>
    <t>IVA PRESTAÇÕES DE SERVIÇOS</t>
  </si>
  <si>
    <t>Gastos/reversões de depreciação e amortização</t>
  </si>
  <si>
    <t>Imparidade de activos depreciáveis/amortizáveis (perdas/reversões)</t>
  </si>
  <si>
    <t>Juros e gastos similares suportados</t>
  </si>
  <si>
    <t>Juros e rendimentos similares obtidos</t>
  </si>
  <si>
    <t>Imposto sobre o rendimento do período</t>
  </si>
  <si>
    <t>RESULTADO LÍQUIDO DO PERÍODO</t>
  </si>
  <si>
    <t>Outros gastos e perdas</t>
  </si>
  <si>
    <t>Outros rendimentos e ganhos</t>
  </si>
  <si>
    <t>Gastos com o pessoal</t>
  </si>
  <si>
    <t>Fornecimento e serviços externos</t>
  </si>
  <si>
    <t>Trabalhos para a própria entidade</t>
  </si>
  <si>
    <t>Vendas e serviços prestados</t>
  </si>
  <si>
    <t>Subsídios à Exploração</t>
  </si>
  <si>
    <t>Ganhos/perdas imputados de subsidiárias, associadas e empreendimentos conjuntos</t>
  </si>
  <si>
    <t>Imparidade de inventários (perdas/reversões)</t>
  </si>
  <si>
    <t>Imparidade de dívidas a receber (perdas/reversões)</t>
  </si>
  <si>
    <t>Provisões (aumentos/reduções)</t>
  </si>
  <si>
    <t>Imparidade de investimentos não depreciáveis/amortizáveis (perdas/reversões)</t>
  </si>
  <si>
    <t>Aumentos/reduções de justo valor</t>
  </si>
  <si>
    <t>EBITDA (Resultado antes de depreciações, gastos de financiamento e impostos)</t>
  </si>
  <si>
    <t>EBIT (Resultado Operacional)</t>
  </si>
  <si>
    <t>RESULTADO ANTES DE IMPOSTOS</t>
  </si>
  <si>
    <t>Variação nos inventários da produção</t>
  </si>
  <si>
    <t>Capital realizado</t>
  </si>
  <si>
    <t>Acções (quotas próprias)</t>
  </si>
  <si>
    <t>Outros instrumentos de capital próprio</t>
  </si>
  <si>
    <t>Excedentes de revalorização</t>
  </si>
  <si>
    <t>Outras variações no capital próprio</t>
  </si>
  <si>
    <t>Resultado líquido do período</t>
  </si>
  <si>
    <t>TOTAL DO CAPITAL PRÓPRIO</t>
  </si>
  <si>
    <t>Passivo não corrente</t>
  </si>
  <si>
    <t>Provisões</t>
  </si>
  <si>
    <t>Financiamentos obtidos</t>
  </si>
  <si>
    <t>Outras Contas a pagar</t>
  </si>
  <si>
    <t>Passivo corrente</t>
  </si>
  <si>
    <t>Accionistas/sócios</t>
  </si>
  <si>
    <t>Financiamentos Obtidos</t>
  </si>
  <si>
    <t>Outras contas a pagar</t>
  </si>
  <si>
    <t>Activo Não Corrente</t>
  </si>
  <si>
    <t>Activos Intangíveis</t>
  </si>
  <si>
    <t>Investimentos financeiros</t>
  </si>
  <si>
    <t>Activo corrente</t>
  </si>
  <si>
    <t>Inventários</t>
  </si>
  <si>
    <t>Outras contas a receber</t>
  </si>
  <si>
    <t>Diferimentos</t>
  </si>
  <si>
    <t>Caixa e depósitos bancários</t>
  </si>
  <si>
    <t>Total Activos Intangíveis</t>
  </si>
  <si>
    <t>Total Activos Fixos Tangíveis</t>
  </si>
  <si>
    <t>Goodwill</t>
  </si>
  <si>
    <t>Projectos de desenvolvimento</t>
  </si>
  <si>
    <t>Programas de computador</t>
  </si>
  <si>
    <t>Propriedade industrial</t>
  </si>
  <si>
    <t>Outros activos intangíveis</t>
  </si>
  <si>
    <t>Na sheet Gastos com Pessoal, definir os colaboradores (Gerência e Pessoal) da empresa e respectivas remunerações brutas mensais. Para além disto, definir, caso se aplique um valor para a formação e outros custos com pessoal;</t>
  </si>
  <si>
    <t>Perdas por imparidade</t>
  </si>
  <si>
    <t>Serviços especializados</t>
  </si>
  <si>
    <t>Materiais</t>
  </si>
  <si>
    <t>Ferramentas e utensilios de desgaste rápido</t>
  </si>
  <si>
    <t>Livros e documentação técnica</t>
  </si>
  <si>
    <t>Energia e fluidos</t>
  </si>
  <si>
    <t>Combustíveis</t>
  </si>
  <si>
    <t>Água</t>
  </si>
  <si>
    <t>Deslocações, estadas e transportes</t>
  </si>
  <si>
    <t>Deslocações e Estadas</t>
  </si>
  <si>
    <t>Transportes de pessoal</t>
  </si>
  <si>
    <t>Serviços diversos</t>
  </si>
  <si>
    <t>Outros serviços</t>
  </si>
  <si>
    <t>Remunerações</t>
  </si>
  <si>
    <t>Órgãos Sociais</t>
  </si>
  <si>
    <t>Encargos sobre remunerações</t>
  </si>
  <si>
    <t>Seguros Acidentes de Trabalho e doenças profissionais</t>
  </si>
  <si>
    <t>Gastos de acção social</t>
  </si>
  <si>
    <t>Outros gastos com pessoal</t>
  </si>
  <si>
    <t>Outros Gastos</t>
  </si>
  <si>
    <t>TOTAL OUTROS GASTOS</t>
  </si>
  <si>
    <t>TOTAL GASTOS COM PESSOAL</t>
  </si>
  <si>
    <t xml:space="preserve">Total </t>
  </si>
  <si>
    <t xml:space="preserve">   Terrenos e Recursos Naturais</t>
  </si>
  <si>
    <t xml:space="preserve">Capital </t>
  </si>
  <si>
    <t>Depreciações e amortizações</t>
  </si>
  <si>
    <t>Edificios e Outras Construções</t>
  </si>
  <si>
    <t>Comissões &amp; Prémios</t>
  </si>
  <si>
    <t>Taxas de Depreciações e amortizações</t>
  </si>
  <si>
    <t>Equipamento  Básico</t>
  </si>
  <si>
    <t>Equipamento de Transporte</t>
  </si>
  <si>
    <t>Equipamento Administrativo</t>
  </si>
  <si>
    <t>Outros activos fixos tangiveis</t>
  </si>
  <si>
    <t>Equipamento básico</t>
  </si>
  <si>
    <t>Equipamento de transporte</t>
  </si>
  <si>
    <t>Equipamento administrativo</t>
  </si>
  <si>
    <t>Equipamento biológicos</t>
  </si>
  <si>
    <t>Total Depreciações &amp; Amortizações</t>
  </si>
  <si>
    <t>* nota: se a taxa a utilizar for 33,33%, colocar mais uma casa decimal, considerando 33,333%</t>
  </si>
  <si>
    <t xml:space="preserve">Valores Acumulados </t>
  </si>
  <si>
    <t>Valores Balanço</t>
  </si>
  <si>
    <t>Depreciações &amp; Amortizações acumuladas</t>
  </si>
  <si>
    <t>Reservas</t>
  </si>
  <si>
    <t>Subsidios</t>
  </si>
  <si>
    <t>Taxa de Segurança Social - entidade - órgãos sociais</t>
  </si>
  <si>
    <t>Taxa de Segurança Social - entidade - colaboradores</t>
  </si>
  <si>
    <t>Taxa de Segurança Social - pessoal - órgãos sociais</t>
  </si>
  <si>
    <t>Taxa de Segurança Social - pessoal - colaboradores</t>
  </si>
  <si>
    <t>Outros instrumentos de capital</t>
  </si>
  <si>
    <t xml:space="preserve">Investimento </t>
  </si>
  <si>
    <t xml:space="preserve">Empréstimos de Sócios </t>
  </si>
  <si>
    <t>Cálculos Auxiliares</t>
  </si>
  <si>
    <t>Consumo de Unidades de Matérias-Primas por Unidade de Produto Acabado</t>
  </si>
  <si>
    <t>Matérias Primas e Subsidiárias (descriminação)</t>
  </si>
  <si>
    <t>Unidade de Medida</t>
  </si>
  <si>
    <t>Produção (em Quantidades)</t>
  </si>
  <si>
    <t>Unidades físicas</t>
  </si>
  <si>
    <t>Produtos</t>
  </si>
  <si>
    <t>Consumo de Matérias Primas 1*</t>
  </si>
  <si>
    <t>Matérias Primas e Subsidiárias</t>
  </si>
  <si>
    <t>Preço das Matérias Primas e Subsidiárias</t>
  </si>
  <si>
    <t xml:space="preserve">Matérias Primas e Subsidiárias </t>
  </si>
  <si>
    <t>1* obtido da  multiplicação da produção pelo consumo de matéria prima por unidade de produto acabado.</t>
  </si>
  <si>
    <t>2* obtido da multiplicação do consumo das matérias-primas pelo preço.</t>
  </si>
  <si>
    <t>Liquidez Corrente</t>
  </si>
  <si>
    <t>Rentabilidade Líquida sobre o rédito</t>
  </si>
  <si>
    <t>Cobertura dos encargos financeiros</t>
  </si>
  <si>
    <t>Grau de Alavanca Financeira</t>
  </si>
  <si>
    <t>Terrenos e Recursos Naturais</t>
  </si>
  <si>
    <t xml:space="preserve">   Equipamentos biológicos</t>
  </si>
  <si>
    <t>NOTA</t>
  </si>
  <si>
    <t>No caso de empresas industriais é aconselhado o uso da sheet Calculos Auxiliares. Esta sheet  constitui uma base de cálculo indispensável ao suporte previsional do modelo de projecções.</t>
  </si>
  <si>
    <t>CV</t>
  </si>
  <si>
    <t>FSE - Custos Fixos</t>
  </si>
  <si>
    <t>FSE - Custos Variáveis</t>
  </si>
  <si>
    <t>TOTAL FSE</t>
  </si>
  <si>
    <t>Margem Bruta de Contribuição</t>
  </si>
  <si>
    <t>FSE Variáveis</t>
  </si>
  <si>
    <t>Ponto Crítico</t>
  </si>
  <si>
    <t>Ponto Crítico Operacional Previsional</t>
  </si>
  <si>
    <t>Distribuição</t>
  </si>
  <si>
    <t>ALI,Conserva&amp;Limpa, Lda</t>
  </si>
  <si>
    <t>Informática</t>
  </si>
  <si>
    <t>Alimentação</t>
  </si>
  <si>
    <t>Conservação e Limpeza</t>
  </si>
  <si>
    <t>Bolo de aniversário com massa de manteiga</t>
  </si>
  <si>
    <t>Bolo de aniversário com massa pão-de-ló</t>
  </si>
  <si>
    <t xml:space="preserve">ovos </t>
  </si>
  <si>
    <t>unid</t>
  </si>
  <si>
    <t>limão</t>
  </si>
  <si>
    <t>açucar</t>
  </si>
  <si>
    <t>kg</t>
  </si>
  <si>
    <t>farinha de trigo</t>
  </si>
  <si>
    <t>farinha fécula de batata</t>
  </si>
  <si>
    <t>fermento</t>
  </si>
  <si>
    <t>manteiga</t>
  </si>
  <si>
    <t>sal</t>
  </si>
  <si>
    <t>leite</t>
  </si>
  <si>
    <t>lt</t>
  </si>
  <si>
    <t>Doce de morango</t>
  </si>
  <si>
    <t>Choolate preto</t>
  </si>
  <si>
    <t>Chocolate de leite</t>
  </si>
  <si>
    <t>Cacau (chocolate em pó)</t>
  </si>
  <si>
    <t>Natas</t>
  </si>
  <si>
    <t>Leite</t>
  </si>
  <si>
    <t>Louro</t>
  </si>
  <si>
    <t>Morangos</t>
  </si>
  <si>
    <t>chocolate de culinária</t>
  </si>
  <si>
    <t>natas</t>
  </si>
  <si>
    <t>amêndoa picada</t>
  </si>
  <si>
    <t>água</t>
  </si>
  <si>
    <t>açúcar</t>
  </si>
  <si>
    <t>ovos</t>
  </si>
  <si>
    <t>Essência de baunilha (cerca de 2/3 gotinhas)</t>
  </si>
  <si>
    <t>Unidade</t>
  </si>
  <si>
    <t>Bolo de aniversário com doce de ovos</t>
  </si>
  <si>
    <t>Massa de manteiga e massa de pão-de-ló</t>
  </si>
  <si>
    <t>Bolo de aniversário morangos de chocolate com massa de manteiga</t>
  </si>
  <si>
    <t>Bolo de aniversário com doce de ovos com massa pão-de-ló</t>
  </si>
  <si>
    <t>Recheio: Creme de chocolate de leite e de chocolate preto</t>
  </si>
  <si>
    <t>Cobertura: morangos com natas</t>
  </si>
  <si>
    <t>Creme de chocolate com amêmdoas</t>
  </si>
  <si>
    <t>Cobertura: doce de ovos</t>
  </si>
  <si>
    <t>Caixa cartolina(27*27*11cm)</t>
  </si>
  <si>
    <t>Embalagens:</t>
  </si>
  <si>
    <t>Bolo de aniversário morangos com chocolate</t>
  </si>
  <si>
    <t>Massa de manteiga e massa de pão-de-ló:</t>
  </si>
  <si>
    <t>Creme de chocolate com amêmdoas:</t>
  </si>
  <si>
    <t>Creme de chocolate com amêndoas:</t>
  </si>
</sst>
</file>

<file path=xl/styles.xml><?xml version="1.0" encoding="utf-8"?>
<styleSheet xmlns="http://schemas.openxmlformats.org/spreadsheetml/2006/main">
  <numFmts count="14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$&quot;#,##0.00_);[Red]\(&quot;$&quot;#,##0.00\)"/>
    <numFmt numFmtId="165" formatCode="[$-816]mmm/yy;@"/>
    <numFmt numFmtId="166" formatCode="0_ ;[Red]\-0\ "/>
    <numFmt numFmtId="167" formatCode="0.0%"/>
    <numFmt numFmtId="168" formatCode="#,##0_ ;[Red]\-#,##0\ "/>
    <numFmt numFmtId="169" formatCode="0.000"/>
    <numFmt numFmtId="170" formatCode="#,##0.0"/>
    <numFmt numFmtId="171" formatCode="#,##0.00_ ;[Red]\-#,##0.00\ "/>
    <numFmt numFmtId="172" formatCode="0.0"/>
    <numFmt numFmtId="173" formatCode="#,##0_ ;\-#,##0\ "/>
    <numFmt numFmtId="174" formatCode="0.000%"/>
  </numFmts>
  <fonts count="41">
    <font>
      <sz val="10"/>
      <name val="Tahoma"/>
      <family val="2"/>
    </font>
    <font>
      <sz val="10"/>
      <name val="Arial"/>
      <family val="2"/>
    </font>
    <font>
      <sz val="8"/>
      <name val="Arial"/>
      <family val="2"/>
    </font>
    <font>
      <sz val="10"/>
      <name val="Tahoma"/>
      <family val="2"/>
    </font>
    <font>
      <sz val="10"/>
      <color indexed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10"/>
      <color indexed="9"/>
      <name val="Arial Narrow"/>
      <family val="2"/>
    </font>
    <font>
      <b/>
      <sz val="8"/>
      <color indexed="9"/>
      <name val="Arial Narrow"/>
      <family val="2"/>
    </font>
    <font>
      <sz val="8"/>
      <color indexed="9"/>
      <name val="Arial Narrow"/>
      <family val="2"/>
    </font>
    <font>
      <sz val="8"/>
      <name val="Trebuchet MS"/>
      <family val="2"/>
    </font>
    <font>
      <b/>
      <sz val="8"/>
      <color indexed="18"/>
      <name val="Arial Narrow"/>
      <family val="2"/>
    </font>
    <font>
      <b/>
      <u/>
      <sz val="8"/>
      <name val="Arial Narrow"/>
      <family val="2"/>
    </font>
    <font>
      <b/>
      <i/>
      <sz val="8"/>
      <name val="Arial Narrow"/>
      <family val="2"/>
    </font>
    <font>
      <sz val="8"/>
      <color indexed="12"/>
      <name val="Arial Narrow"/>
      <family val="2"/>
    </font>
    <font>
      <u/>
      <sz val="8"/>
      <name val="Arial Narrow"/>
      <family val="2"/>
    </font>
    <font>
      <b/>
      <sz val="8"/>
      <color indexed="12"/>
      <name val="Arial Narrow"/>
      <family val="2"/>
    </font>
    <font>
      <b/>
      <i/>
      <u/>
      <sz val="8"/>
      <name val="Arial Narrow"/>
      <family val="2"/>
    </font>
    <font>
      <sz val="8"/>
      <name val="Tahoma"/>
      <family val="2"/>
    </font>
    <font>
      <b/>
      <sz val="8"/>
      <name val="Arial"/>
      <family val="2"/>
    </font>
    <font>
      <sz val="8"/>
      <color indexed="41"/>
      <name val="Arial Narrow"/>
      <family val="2"/>
    </font>
    <font>
      <sz val="8"/>
      <color indexed="61"/>
      <name val="Arial Narrow"/>
      <family val="2"/>
    </font>
    <font>
      <sz val="8"/>
      <color indexed="62"/>
      <name val="Arial Narrow"/>
      <family val="2"/>
    </font>
    <font>
      <sz val="10"/>
      <name val="ITC Zapf Dingbats"/>
      <family val="1"/>
      <charset val="2"/>
    </font>
    <font>
      <sz val="10"/>
      <name val="Arial Narrow"/>
      <family val="2"/>
    </font>
    <font>
      <b/>
      <u/>
      <sz val="10"/>
      <name val="Arial Narrow"/>
      <family val="2"/>
    </font>
    <font>
      <sz val="8"/>
      <color indexed="23"/>
      <name val="Arial Narrow"/>
      <family val="2"/>
    </font>
    <font>
      <i/>
      <sz val="8"/>
      <name val="Arial Narrow"/>
      <family val="2"/>
    </font>
    <font>
      <i/>
      <u/>
      <sz val="8"/>
      <color indexed="12"/>
      <name val="Arial Narrow"/>
      <family val="2"/>
    </font>
    <font>
      <i/>
      <sz val="12"/>
      <name val="Arial Narrow"/>
      <family val="2"/>
    </font>
    <font>
      <b/>
      <sz val="12"/>
      <color indexed="18"/>
      <name val="Arial Narrow"/>
      <family val="2"/>
    </font>
    <font>
      <sz val="8"/>
      <color indexed="10"/>
      <name val="Arial Narrow"/>
      <family val="2"/>
    </font>
    <font>
      <sz val="8"/>
      <color indexed="22"/>
      <name val="Arial Narrow"/>
      <family val="2"/>
    </font>
    <font>
      <sz val="8"/>
      <color indexed="30"/>
      <name val="Arial Narrow"/>
      <family val="2"/>
    </font>
    <font>
      <b/>
      <sz val="8"/>
      <color indexed="10"/>
      <name val="Arial Narrow"/>
      <family val="2"/>
    </font>
    <font>
      <sz val="8"/>
      <color indexed="49"/>
      <name val="Arial Narrow"/>
      <family val="2"/>
    </font>
    <font>
      <sz val="8"/>
      <color indexed="62"/>
      <name val="Arial Narrow"/>
      <family val="2"/>
    </font>
    <font>
      <sz val="8"/>
      <color indexed="10"/>
      <name val="Arial Narrow"/>
      <family val="2"/>
    </font>
    <font>
      <sz val="8"/>
      <color indexed="9"/>
      <name val="Arial Narrow"/>
      <family val="2"/>
    </font>
    <font>
      <sz val="12"/>
      <color theme="1"/>
      <name val="Times New Roman"/>
      <family val="1"/>
    </font>
    <font>
      <sz val="12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double">
        <color indexed="22"/>
      </bottom>
      <diagonal/>
    </border>
    <border>
      <left style="thin">
        <color indexed="22"/>
      </left>
      <right/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22"/>
      </top>
      <bottom style="double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double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double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22"/>
      </left>
      <right/>
      <top style="medium">
        <color indexed="22"/>
      </top>
      <bottom style="medium">
        <color indexed="63"/>
      </bottom>
      <diagonal/>
    </border>
    <border>
      <left style="thin">
        <color indexed="22"/>
      </left>
      <right style="thin">
        <color indexed="22"/>
      </right>
      <top style="medium">
        <color indexed="22"/>
      </top>
      <bottom style="medium">
        <color indexed="63"/>
      </bottom>
      <diagonal/>
    </border>
    <border>
      <left style="thin">
        <color indexed="22"/>
      </left>
      <right style="medium">
        <color indexed="22"/>
      </right>
      <top style="medium">
        <color indexed="22"/>
      </top>
      <bottom style="medium">
        <color indexed="63"/>
      </bottom>
      <diagonal/>
    </border>
    <border>
      <left style="thin">
        <color indexed="22"/>
      </left>
      <right style="medium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medium">
        <color indexed="22"/>
      </bottom>
      <diagonal/>
    </border>
    <border>
      <left style="thin">
        <color indexed="22"/>
      </left>
      <right style="medium">
        <color indexed="22"/>
      </right>
      <top style="thin">
        <color indexed="22"/>
      </top>
      <bottom style="medium">
        <color indexed="22"/>
      </bottom>
      <diagonal/>
    </border>
    <border>
      <left style="thin">
        <color indexed="22"/>
      </left>
      <right style="thin">
        <color indexed="22"/>
      </right>
      <top style="medium">
        <color indexed="55"/>
      </top>
      <bottom style="medium">
        <color indexed="63"/>
      </bottom>
      <diagonal/>
    </border>
    <border>
      <left style="thin">
        <color indexed="22"/>
      </left>
      <right style="medium">
        <color indexed="55"/>
      </right>
      <top style="medium">
        <color indexed="55"/>
      </top>
      <bottom style="medium">
        <color indexed="63"/>
      </bottom>
      <diagonal/>
    </border>
    <border>
      <left style="thin">
        <color indexed="22"/>
      </left>
      <right style="medium">
        <color indexed="55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medium">
        <color indexed="55"/>
      </bottom>
      <diagonal/>
    </border>
    <border>
      <left style="thin">
        <color indexed="22"/>
      </left>
      <right style="medium">
        <color indexed="55"/>
      </right>
      <top style="thin">
        <color indexed="22"/>
      </top>
      <bottom style="medium">
        <color indexed="55"/>
      </bottom>
      <diagonal/>
    </border>
    <border>
      <left style="medium">
        <color indexed="22"/>
      </left>
      <right/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18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22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64"/>
      </bottom>
      <diagonal/>
    </border>
    <border>
      <left/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22"/>
      </top>
      <bottom style="thin">
        <color theme="0" tint="-0.14996795556505021"/>
      </bottom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1" fillId="0" borderId="0"/>
    <xf numFmtId="0" fontId="3" fillId="0" borderId="0"/>
    <xf numFmtId="0" fontId="1" fillId="0" borderId="0"/>
    <xf numFmtId="9" fontId="3" fillId="0" borderId="0" applyFill="0" applyBorder="0" applyAlignment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19">
    <xf numFmtId="0" fontId="0" fillId="0" borderId="0" xfId="0"/>
    <xf numFmtId="0" fontId="21" fillId="0" borderId="0" xfId="0" applyFont="1" applyFill="1" applyProtection="1">
      <protection hidden="1"/>
    </xf>
    <xf numFmtId="0" fontId="5" fillId="0" borderId="0" xfId="0" applyFont="1" applyFill="1" applyBorder="1" applyProtection="1">
      <protection hidden="1"/>
    </xf>
    <xf numFmtId="168" fontId="5" fillId="0" borderId="2" xfId="0" applyNumberFormat="1" applyFont="1" applyFill="1" applyBorder="1" applyAlignment="1" applyProtection="1">
      <protection locked="0"/>
    </xf>
    <xf numFmtId="0" fontId="6" fillId="2" borderId="3" xfId="0" applyFont="1" applyFill="1" applyBorder="1" applyAlignment="1" applyProtection="1">
      <alignment horizontal="left"/>
      <protection hidden="1"/>
    </xf>
    <xf numFmtId="0" fontId="5" fillId="0" borderId="0" xfId="0" applyFont="1" applyFill="1" applyProtection="1">
      <protection hidden="1"/>
    </xf>
    <xf numFmtId="0" fontId="5" fillId="2" borderId="2" xfId="0" applyFont="1" applyFill="1" applyBorder="1" applyProtection="1">
      <protection hidden="1"/>
    </xf>
    <xf numFmtId="3" fontId="14" fillId="0" borderId="2" xfId="0" applyNumberFormat="1" applyFont="1" applyFill="1" applyBorder="1" applyAlignment="1" applyProtection="1">
      <alignment horizontal="right" vertical="center"/>
      <protection locked="0"/>
    </xf>
    <xf numFmtId="0" fontId="6" fillId="0" borderId="0" xfId="0" applyFont="1" applyFill="1" applyProtection="1">
      <protection hidden="1"/>
    </xf>
    <xf numFmtId="4" fontId="14" fillId="0" borderId="2" xfId="6" applyNumberFormat="1" applyFont="1" applyFill="1" applyBorder="1" applyAlignment="1" applyProtection="1">
      <alignment horizontal="center"/>
      <protection locked="0"/>
    </xf>
    <xf numFmtId="0" fontId="25" fillId="0" borderId="0" xfId="3" applyFont="1" applyFill="1" applyBorder="1" applyProtection="1">
      <protection hidden="1"/>
    </xf>
    <xf numFmtId="0" fontId="24" fillId="0" borderId="0" xfId="3" applyFont="1" applyFill="1" applyBorder="1" applyAlignment="1" applyProtection="1">
      <alignment horizontal="left"/>
      <protection hidden="1"/>
    </xf>
    <xf numFmtId="0" fontId="24" fillId="0" borderId="0" xfId="3" applyFont="1" applyFill="1" applyProtection="1">
      <protection hidden="1"/>
    </xf>
    <xf numFmtId="0" fontId="5" fillId="0" borderId="0" xfId="3" applyFont="1" applyFill="1" applyProtection="1">
      <protection hidden="1"/>
    </xf>
    <xf numFmtId="0" fontId="1" fillId="3" borderId="0" xfId="3" applyFill="1" applyProtection="1">
      <protection hidden="1"/>
    </xf>
    <xf numFmtId="0" fontId="25" fillId="0" borderId="0" xfId="3" applyFont="1" applyFill="1" applyProtection="1">
      <protection hidden="1"/>
    </xf>
    <xf numFmtId="0" fontId="24" fillId="0" borderId="0" xfId="3" applyFont="1" applyFill="1" applyBorder="1" applyProtection="1">
      <protection hidden="1"/>
    </xf>
    <xf numFmtId="0" fontId="5" fillId="0" borderId="0" xfId="3" applyFont="1" applyFill="1" applyBorder="1" applyProtection="1">
      <protection hidden="1"/>
    </xf>
    <xf numFmtId="0" fontId="24" fillId="0" borderId="0" xfId="3" applyFont="1" applyFill="1" applyBorder="1" applyAlignment="1" applyProtection="1">
      <alignment vertical="center" wrapText="1"/>
      <protection hidden="1"/>
    </xf>
    <xf numFmtId="0" fontId="24" fillId="0" borderId="0" xfId="3" applyFont="1" applyFill="1" applyBorder="1" applyAlignment="1" applyProtection="1">
      <alignment vertical="center"/>
      <protection hidden="1"/>
    </xf>
    <xf numFmtId="0" fontId="24" fillId="0" borderId="0" xfId="3" applyFont="1" applyFill="1" applyAlignment="1" applyProtection="1">
      <alignment vertical="center" wrapText="1"/>
      <protection hidden="1"/>
    </xf>
    <xf numFmtId="0" fontId="8" fillId="4" borderId="2" xfId="3" applyFont="1" applyFill="1" applyBorder="1" applyAlignment="1" applyProtection="1">
      <alignment horizontal="center" vertical="center"/>
      <protection hidden="1"/>
    </xf>
    <xf numFmtId="0" fontId="5" fillId="3" borderId="0" xfId="0" applyFont="1" applyFill="1" applyProtection="1">
      <protection hidden="1"/>
    </xf>
    <xf numFmtId="0" fontId="5" fillId="3" borderId="0" xfId="0" applyFont="1" applyFill="1" applyBorder="1" applyProtection="1">
      <protection hidden="1"/>
    </xf>
    <xf numFmtId="2" fontId="5" fillId="3" borderId="0" xfId="6" applyNumberFormat="1" applyFont="1" applyFill="1" applyBorder="1" applyProtection="1">
      <protection hidden="1"/>
    </xf>
    <xf numFmtId="0" fontId="5" fillId="3" borderId="0" xfId="0" applyFont="1" applyFill="1" applyBorder="1" applyAlignment="1" applyProtection="1">
      <alignment wrapText="1"/>
      <protection hidden="1"/>
    </xf>
    <xf numFmtId="167" fontId="5" fillId="3" borderId="0" xfId="6" applyNumberFormat="1" applyFont="1" applyFill="1" applyBorder="1" applyProtection="1">
      <protection hidden="1"/>
    </xf>
    <xf numFmtId="10" fontId="5" fillId="3" borderId="0" xfId="6" applyNumberFormat="1" applyFont="1" applyFill="1" applyBorder="1" applyProtection="1">
      <protection hidden="1"/>
    </xf>
    <xf numFmtId="9" fontId="5" fillId="3" borderId="0" xfId="0" applyNumberFormat="1" applyFont="1" applyFill="1" applyBorder="1" applyProtection="1">
      <protection hidden="1"/>
    </xf>
    <xf numFmtId="0" fontId="7" fillId="0" borderId="0" xfId="0" applyFont="1" applyFill="1" applyProtection="1">
      <protection hidden="1"/>
    </xf>
    <xf numFmtId="0" fontId="20" fillId="0" borderId="0" xfId="0" applyFont="1" applyFill="1" applyProtection="1">
      <protection hidden="1"/>
    </xf>
    <xf numFmtId="9" fontId="5" fillId="0" borderId="0" xfId="6" applyFont="1" applyFill="1" applyProtection="1">
      <protection hidden="1"/>
    </xf>
    <xf numFmtId="2" fontId="5" fillId="0" borderId="0" xfId="6" applyNumberFormat="1" applyFont="1" applyFill="1" applyProtection="1">
      <protection hidden="1"/>
    </xf>
    <xf numFmtId="0" fontId="5" fillId="0" borderId="0" xfId="0" applyFont="1" applyFill="1" applyAlignment="1" applyProtection="1">
      <alignment wrapText="1"/>
      <protection hidden="1"/>
    </xf>
    <xf numFmtId="0" fontId="14" fillId="0" borderId="4" xfId="0" applyFont="1" applyFill="1" applyBorder="1" applyAlignment="1" applyProtection="1">
      <alignment horizontal="right"/>
      <protection locked="0"/>
    </xf>
    <xf numFmtId="172" fontId="14" fillId="0" borderId="4" xfId="0" applyNumberFormat="1" applyFont="1" applyFill="1" applyBorder="1" applyAlignment="1" applyProtection="1">
      <alignment horizontal="right"/>
      <protection hidden="1"/>
    </xf>
    <xf numFmtId="0" fontId="14" fillId="0" borderId="2" xfId="0" applyFont="1" applyFill="1" applyBorder="1" applyProtection="1">
      <protection locked="0"/>
    </xf>
    <xf numFmtId="9" fontId="14" fillId="0" borderId="2" xfId="0" applyNumberFormat="1" applyFont="1" applyFill="1" applyBorder="1" applyProtection="1">
      <protection locked="0"/>
    </xf>
    <xf numFmtId="0" fontId="5" fillId="0" borderId="5" xfId="0" applyFont="1" applyFill="1" applyBorder="1" applyProtection="1">
      <protection hidden="1"/>
    </xf>
    <xf numFmtId="2" fontId="5" fillId="0" borderId="0" xfId="6" applyNumberFormat="1" applyFont="1" applyFill="1" applyBorder="1" applyProtection="1">
      <protection hidden="1"/>
    </xf>
    <xf numFmtId="0" fontId="5" fillId="0" borderId="0" xfId="0" applyFont="1" applyFill="1" applyBorder="1" applyAlignment="1" applyProtection="1">
      <alignment wrapText="1"/>
      <protection hidden="1"/>
    </xf>
    <xf numFmtId="9" fontId="14" fillId="0" borderId="5" xfId="6" applyFont="1" applyFill="1" applyBorder="1" applyAlignment="1" applyProtection="1">
      <alignment horizontal="left" indent="1"/>
      <protection hidden="1"/>
    </xf>
    <xf numFmtId="9" fontId="5" fillId="0" borderId="5" xfId="6" applyFont="1" applyFill="1" applyBorder="1" applyProtection="1">
      <protection hidden="1"/>
    </xf>
    <xf numFmtId="10" fontId="14" fillId="0" borderId="2" xfId="0" applyNumberFormat="1" applyFont="1" applyFill="1" applyBorder="1" applyProtection="1">
      <protection locked="0"/>
    </xf>
    <xf numFmtId="10" fontId="14" fillId="0" borderId="3" xfId="0" applyNumberFormat="1" applyFont="1" applyFill="1" applyBorder="1" applyProtection="1">
      <protection locked="0"/>
    </xf>
    <xf numFmtId="9" fontId="14" fillId="0" borderId="5" xfId="6" applyFont="1" applyFill="1" applyBorder="1" applyAlignment="1" applyProtection="1">
      <alignment horizontal="left" vertical="center" indent="1"/>
      <protection hidden="1"/>
    </xf>
    <xf numFmtId="9" fontId="14" fillId="0" borderId="0" xfId="6" applyFont="1" applyFill="1" applyBorder="1" applyAlignment="1" applyProtection="1">
      <alignment horizontal="left" vertical="center" indent="1"/>
      <protection hidden="1"/>
    </xf>
    <xf numFmtId="9" fontId="14" fillId="0" borderId="6" xfId="6" applyFont="1" applyFill="1" applyBorder="1" applyAlignment="1" applyProtection="1">
      <alignment horizontal="left" vertical="center" indent="1"/>
      <protection hidden="1"/>
    </xf>
    <xf numFmtId="2" fontId="14" fillId="0" borderId="3" xfId="0" applyNumberFormat="1" applyFont="1" applyFill="1" applyBorder="1" applyProtection="1">
      <protection locked="0"/>
    </xf>
    <xf numFmtId="0" fontId="7" fillId="5" borderId="0" xfId="0" applyFont="1" applyFill="1" applyAlignment="1" applyProtection="1">
      <alignment horizontal="right"/>
      <protection hidden="1"/>
    </xf>
    <xf numFmtId="10" fontId="14" fillId="0" borderId="2" xfId="6" applyNumberFormat="1" applyFont="1" applyFill="1" applyBorder="1" applyAlignment="1" applyProtection="1">
      <alignment horizontal="center" vertical="center"/>
      <protection locked="0"/>
    </xf>
    <xf numFmtId="168" fontId="5" fillId="0" borderId="2" xfId="0" applyNumberFormat="1" applyFont="1" applyFill="1" applyBorder="1" applyAlignment="1" applyProtection="1">
      <alignment vertical="center"/>
      <protection locked="0"/>
    </xf>
    <xf numFmtId="10" fontId="14" fillId="0" borderId="2" xfId="6" applyNumberFormat="1" applyFont="1" applyFill="1" applyBorder="1" applyAlignment="1" applyProtection="1">
      <alignment horizontal="right" vertical="center"/>
      <protection locked="0"/>
    </xf>
    <xf numFmtId="168" fontId="5" fillId="0" borderId="7" xfId="0" applyNumberFormat="1" applyFont="1" applyFill="1" applyBorder="1" applyAlignment="1" applyProtection="1">
      <alignment vertical="center"/>
      <protection locked="0"/>
    </xf>
    <xf numFmtId="166" fontId="14" fillId="0" borderId="7" xfId="0" applyNumberFormat="1" applyFont="1" applyFill="1" applyBorder="1" applyAlignment="1" applyProtection="1">
      <alignment horizontal="center" vertical="center"/>
      <protection locked="0"/>
    </xf>
    <xf numFmtId="168" fontId="6" fillId="2" borderId="2" xfId="0" applyNumberFormat="1" applyFont="1" applyFill="1" applyBorder="1" applyAlignment="1" applyProtection="1">
      <alignment vertical="center"/>
    </xf>
    <xf numFmtId="168" fontId="6" fillId="2" borderId="8" xfId="0" applyNumberFormat="1" applyFont="1" applyFill="1" applyBorder="1" applyAlignment="1" applyProtection="1"/>
    <xf numFmtId="166" fontId="5" fillId="0" borderId="7" xfId="0" applyNumberFormat="1" applyFont="1" applyFill="1" applyBorder="1" applyAlignment="1" applyProtection="1">
      <alignment horizontal="center" vertical="center"/>
      <protection locked="0"/>
    </xf>
    <xf numFmtId="9" fontId="14" fillId="0" borderId="2" xfId="6" applyFont="1" applyFill="1" applyBorder="1" applyAlignment="1" applyProtection="1">
      <alignment horizontal="center"/>
      <protection locked="0"/>
    </xf>
    <xf numFmtId="166" fontId="5" fillId="0" borderId="2" xfId="0" applyNumberFormat="1" applyFont="1" applyFill="1" applyBorder="1" applyAlignment="1" applyProtection="1">
      <alignment horizontal="center" vertical="center"/>
      <protection locked="0"/>
    </xf>
    <xf numFmtId="3" fontId="5" fillId="0" borderId="2" xfId="0" applyNumberFormat="1" applyFont="1" applyFill="1" applyBorder="1" applyAlignment="1" applyProtection="1">
      <alignment horizontal="right" vertical="center"/>
      <protection locked="0"/>
    </xf>
    <xf numFmtId="3" fontId="5" fillId="0" borderId="7" xfId="0" applyNumberFormat="1" applyFont="1" applyFill="1" applyBorder="1" applyAlignment="1" applyProtection="1">
      <alignment horizontal="right" vertical="center"/>
      <protection locked="0"/>
    </xf>
    <xf numFmtId="0" fontId="5" fillId="0" borderId="3" xfId="0" applyFont="1" applyFill="1" applyBorder="1" applyAlignment="1" applyProtection="1">
      <protection locked="0"/>
    </xf>
    <xf numFmtId="0" fontId="5" fillId="0" borderId="9" xfId="0" applyFont="1" applyFill="1" applyBorder="1" applyAlignment="1" applyProtection="1">
      <protection locked="0"/>
    </xf>
    <xf numFmtId="168" fontId="31" fillId="0" borderId="2" xfId="4" applyNumberFormat="1" applyFont="1" applyFill="1" applyBorder="1" applyProtection="1">
      <protection locked="0"/>
    </xf>
    <xf numFmtId="9" fontId="14" fillId="0" borderId="8" xfId="6" applyFont="1" applyFill="1" applyBorder="1" applyAlignment="1" applyProtection="1">
      <alignment horizontal="center" vertical="center"/>
      <protection locked="0"/>
    </xf>
    <xf numFmtId="9" fontId="14" fillId="0" borderId="2" xfId="6" applyFont="1" applyFill="1" applyBorder="1" applyAlignment="1" applyProtection="1">
      <alignment horizontal="right" vertical="center"/>
      <protection locked="0"/>
    </xf>
    <xf numFmtId="0" fontId="5" fillId="0" borderId="0" xfId="0" applyFont="1" applyFill="1" applyBorder="1" applyAlignment="1" applyProtection="1">
      <alignment horizontal="right"/>
      <protection hidden="1"/>
    </xf>
    <xf numFmtId="3" fontId="5" fillId="0" borderId="10" xfId="6" applyNumberFormat="1" applyFont="1" applyFill="1" applyBorder="1" applyAlignment="1" applyProtection="1">
      <alignment horizontal="right" vertical="center"/>
      <protection locked="0"/>
    </xf>
    <xf numFmtId="9" fontId="5" fillId="0" borderId="0" xfId="6" applyFont="1" applyFill="1" applyBorder="1" applyProtection="1">
      <protection hidden="1"/>
    </xf>
    <xf numFmtId="3" fontId="5" fillId="0" borderId="2" xfId="0" applyNumberFormat="1" applyFont="1" applyFill="1" applyBorder="1" applyProtection="1">
      <protection locked="0"/>
    </xf>
    <xf numFmtId="0" fontId="14" fillId="0" borderId="4" xfId="0" applyFont="1" applyFill="1" applyBorder="1" applyAlignment="1" applyProtection="1">
      <alignment horizontal="right"/>
      <protection hidden="1"/>
    </xf>
    <xf numFmtId="0" fontId="10" fillId="0" borderId="0" xfId="0" applyFont="1" applyFill="1" applyProtection="1"/>
    <xf numFmtId="0" fontId="9" fillId="0" borderId="0" xfId="0" applyFont="1" applyFill="1" applyProtection="1"/>
    <xf numFmtId="0" fontId="7" fillId="5" borderId="0" xfId="0" applyFont="1" applyFill="1" applyProtection="1"/>
    <xf numFmtId="0" fontId="4" fillId="5" borderId="0" xfId="0" applyFont="1" applyFill="1" applyAlignment="1" applyProtection="1">
      <alignment horizontal="right"/>
    </xf>
    <xf numFmtId="0" fontId="10" fillId="3" borderId="0" xfId="0" applyFont="1" applyFill="1" applyProtection="1"/>
    <xf numFmtId="0" fontId="8" fillId="0" borderId="0" xfId="0" applyFont="1" applyFill="1" applyProtection="1"/>
    <xf numFmtId="0" fontId="5" fillId="0" borderId="0" xfId="0" applyFont="1" applyFill="1" applyAlignment="1" applyProtection="1">
      <alignment horizontal="right"/>
    </xf>
    <xf numFmtId="0" fontId="11" fillId="0" borderId="0" xfId="0" applyFont="1" applyFill="1" applyAlignment="1" applyProtection="1">
      <alignment horizontal="center"/>
    </xf>
    <xf numFmtId="0" fontId="6" fillId="2" borderId="2" xfId="0" applyFont="1" applyFill="1" applyBorder="1" applyAlignment="1" applyProtection="1">
      <alignment horizontal="center"/>
    </xf>
    <xf numFmtId="0" fontId="6" fillId="2" borderId="3" xfId="0" applyFont="1" applyFill="1" applyBorder="1" applyAlignment="1" applyProtection="1">
      <alignment horizontal="center"/>
    </xf>
    <xf numFmtId="0" fontId="11" fillId="2" borderId="4" xfId="0" applyFont="1" applyFill="1" applyBorder="1" applyAlignment="1" applyProtection="1">
      <alignment horizontal="center"/>
    </xf>
    <xf numFmtId="0" fontId="5" fillId="0" borderId="0" xfId="0" applyFont="1" applyFill="1" applyProtection="1"/>
    <xf numFmtId="0" fontId="5" fillId="2" borderId="3" xfId="0" applyFont="1" applyFill="1" applyBorder="1" applyAlignment="1" applyProtection="1">
      <alignment horizontal="left" indent="1"/>
    </xf>
    <xf numFmtId="170" fontId="5" fillId="2" borderId="4" xfId="0" applyNumberFormat="1" applyFont="1" applyFill="1" applyBorder="1" applyAlignment="1" applyProtection="1">
      <alignment horizontal="right" vertical="center"/>
    </xf>
    <xf numFmtId="0" fontId="6" fillId="0" borderId="0" xfId="0" applyFont="1" applyFill="1" applyBorder="1" applyAlignment="1" applyProtection="1">
      <alignment horizontal="center"/>
    </xf>
    <xf numFmtId="168" fontId="6" fillId="0" borderId="0" xfId="0" applyNumberFormat="1" applyFont="1" applyFill="1" applyBorder="1" applyAlignment="1" applyProtection="1"/>
    <xf numFmtId="0" fontId="11" fillId="2" borderId="8" xfId="0" applyFont="1" applyFill="1" applyBorder="1" applyAlignment="1" applyProtection="1">
      <alignment horizontal="center"/>
    </xf>
    <xf numFmtId="0" fontId="26" fillId="0" borderId="0" xfId="0" applyFont="1" applyFill="1" applyBorder="1" applyAlignment="1" applyProtection="1">
      <alignment horizontal="left"/>
    </xf>
    <xf numFmtId="0" fontId="16" fillId="0" borderId="0" xfId="0" applyFont="1" applyFill="1" applyProtection="1"/>
    <xf numFmtId="170" fontId="6" fillId="0" borderId="0" xfId="0" applyNumberFormat="1" applyFont="1" applyFill="1" applyBorder="1" applyAlignment="1" applyProtection="1">
      <alignment vertical="center"/>
    </xf>
    <xf numFmtId="168" fontId="6" fillId="0" borderId="0" xfId="0" applyNumberFormat="1" applyFont="1" applyFill="1" applyBorder="1" applyAlignment="1" applyProtection="1">
      <alignment vertical="center"/>
    </xf>
    <xf numFmtId="0" fontId="5" fillId="3" borderId="0" xfId="0" applyFont="1" applyFill="1" applyProtection="1"/>
    <xf numFmtId="0" fontId="6" fillId="2" borderId="3" xfId="0" applyFont="1" applyFill="1" applyBorder="1" applyAlignment="1" applyProtection="1">
      <alignment horizontal="left"/>
    </xf>
    <xf numFmtId="170" fontId="6" fillId="0" borderId="0" xfId="0" applyNumberFormat="1" applyFont="1" applyFill="1" applyBorder="1" applyAlignment="1" applyProtection="1">
      <alignment horizontal="left" vertical="center"/>
    </xf>
    <xf numFmtId="170" fontId="6" fillId="0" borderId="0" xfId="0" applyNumberFormat="1" applyFont="1" applyFill="1" applyBorder="1" applyAlignment="1" applyProtection="1">
      <alignment horizontal="center" vertical="center"/>
    </xf>
    <xf numFmtId="166" fontId="6" fillId="2" borderId="2" xfId="0" applyNumberFormat="1" applyFont="1" applyFill="1" applyBorder="1" applyAlignment="1" applyProtection="1">
      <alignment horizontal="center"/>
    </xf>
    <xf numFmtId="168" fontId="6" fillId="2" borderId="2" xfId="0" applyNumberFormat="1" applyFont="1" applyFill="1" applyBorder="1" applyAlignment="1" applyProtection="1"/>
    <xf numFmtId="0" fontId="11" fillId="2" borderId="8" xfId="0" applyFont="1" applyFill="1" applyBorder="1" applyAlignment="1" applyProtection="1">
      <alignment horizontal="left"/>
    </xf>
    <xf numFmtId="9" fontId="14" fillId="0" borderId="0" xfId="6" applyFont="1" applyFill="1" applyBorder="1" applyAlignment="1" applyProtection="1">
      <alignment horizontal="center" vertical="center"/>
    </xf>
    <xf numFmtId="0" fontId="5" fillId="3" borderId="0" xfId="0" applyFont="1" applyFill="1" applyBorder="1" applyProtection="1"/>
    <xf numFmtId="0" fontId="10" fillId="3" borderId="0" xfId="0" applyFont="1" applyFill="1" applyBorder="1" applyProtection="1"/>
    <xf numFmtId="0" fontId="11" fillId="2" borderId="11" xfId="0" applyFont="1" applyFill="1" applyBorder="1" applyAlignment="1" applyProtection="1"/>
    <xf numFmtId="0" fontId="6" fillId="2" borderId="4" xfId="0" applyFont="1" applyFill="1" applyBorder="1" applyAlignment="1" applyProtection="1">
      <alignment horizontal="center"/>
    </xf>
    <xf numFmtId="168" fontId="6" fillId="0" borderId="2" xfId="0" applyNumberFormat="1" applyFont="1" applyFill="1" applyBorder="1" applyAlignment="1" applyProtection="1">
      <protection locked="0"/>
    </xf>
    <xf numFmtId="9" fontId="14" fillId="2" borderId="8" xfId="6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left"/>
    </xf>
    <xf numFmtId="10" fontId="14" fillId="2" borderId="2" xfId="6" applyNumberFormat="1" applyFont="1" applyFill="1" applyBorder="1" applyAlignment="1" applyProtection="1">
      <alignment horizontal="right" vertical="center"/>
    </xf>
    <xf numFmtId="168" fontId="5" fillId="2" borderId="8" xfId="0" applyNumberFormat="1" applyFont="1" applyFill="1" applyBorder="1" applyAlignment="1" applyProtection="1">
      <alignment vertical="center"/>
    </xf>
    <xf numFmtId="0" fontId="5" fillId="0" borderId="0" xfId="0" applyFont="1" applyFill="1" applyAlignment="1" applyProtection="1">
      <alignment horizontal="left"/>
    </xf>
    <xf numFmtId="0" fontId="5" fillId="0" borderId="0" xfId="0" applyFont="1" applyFill="1" applyAlignment="1" applyProtection="1">
      <alignment horizontal="left" indent="1"/>
    </xf>
    <xf numFmtId="0" fontId="26" fillId="0" borderId="0" xfId="0" applyFont="1" applyFill="1" applyAlignment="1" applyProtection="1">
      <alignment horizontal="left"/>
    </xf>
    <xf numFmtId="0" fontId="26" fillId="3" borderId="0" xfId="0" applyFont="1" applyFill="1" applyAlignment="1" applyProtection="1">
      <alignment horizontal="left"/>
    </xf>
    <xf numFmtId="0" fontId="4" fillId="0" borderId="0" xfId="0" applyFont="1" applyFill="1" applyProtection="1"/>
    <xf numFmtId="0" fontId="7" fillId="5" borderId="0" xfId="0" applyFont="1" applyFill="1" applyAlignment="1" applyProtection="1">
      <alignment horizontal="left"/>
    </xf>
    <xf numFmtId="0" fontId="4" fillId="5" borderId="0" xfId="0" applyFont="1" applyFill="1" applyProtection="1"/>
    <xf numFmtId="0" fontId="6" fillId="2" borderId="12" xfId="0" applyFont="1" applyFill="1" applyBorder="1" applyAlignment="1" applyProtection="1">
      <alignment horizontal="center"/>
    </xf>
    <xf numFmtId="0" fontId="6" fillId="2" borderId="3" xfId="0" applyFont="1" applyFill="1" applyBorder="1" applyAlignment="1" applyProtection="1"/>
    <xf numFmtId="0" fontId="6" fillId="2" borderId="12" xfId="0" applyFont="1" applyFill="1" applyBorder="1" applyAlignment="1" applyProtection="1"/>
    <xf numFmtId="0" fontId="5" fillId="2" borderId="12" xfId="0" applyFont="1" applyFill="1" applyBorder="1" applyProtection="1"/>
    <xf numFmtId="0" fontId="5" fillId="2" borderId="4" xfId="0" applyFont="1" applyFill="1" applyBorder="1" applyProtection="1"/>
    <xf numFmtId="9" fontId="14" fillId="2" borderId="2" xfId="6" applyFont="1" applyFill="1" applyBorder="1" applyAlignment="1" applyProtection="1">
      <alignment horizontal="center" vertical="center"/>
    </xf>
    <xf numFmtId="0" fontId="5" fillId="2" borderId="2" xfId="0" applyFont="1" applyFill="1" applyBorder="1" applyProtection="1"/>
    <xf numFmtId="38" fontId="5" fillId="2" borderId="2" xfId="0" applyNumberFormat="1" applyFont="1" applyFill="1" applyBorder="1" applyProtection="1"/>
    <xf numFmtId="166" fontId="14" fillId="2" borderId="7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 applyProtection="1">
      <alignment horizontal="left"/>
    </xf>
    <xf numFmtId="38" fontId="12" fillId="0" borderId="0" xfId="0" applyNumberFormat="1" applyFont="1" applyFill="1" applyProtection="1"/>
    <xf numFmtId="38" fontId="5" fillId="0" borderId="0" xfId="0" applyNumberFormat="1" applyFont="1" applyFill="1" applyAlignment="1" applyProtection="1">
      <alignment horizontal="center"/>
    </xf>
    <xf numFmtId="0" fontId="5" fillId="2" borderId="3" xfId="0" applyFont="1" applyFill="1" applyBorder="1" applyAlignment="1" applyProtection="1"/>
    <xf numFmtId="0" fontId="6" fillId="0" borderId="12" xfId="0" applyFont="1" applyFill="1" applyBorder="1" applyAlignment="1" applyProtection="1"/>
    <xf numFmtId="0" fontId="5" fillId="0" borderId="12" xfId="0" applyFont="1" applyFill="1" applyBorder="1" applyProtection="1"/>
    <xf numFmtId="0" fontId="6" fillId="0" borderId="13" xfId="0" applyFont="1" applyFill="1" applyBorder="1" applyAlignment="1" applyProtection="1"/>
    <xf numFmtId="0" fontId="5" fillId="0" borderId="13" xfId="0" applyFont="1" applyFill="1" applyBorder="1" applyProtection="1"/>
    <xf numFmtId="166" fontId="6" fillId="2" borderId="8" xfId="0" applyNumberFormat="1" applyFont="1" applyFill="1" applyBorder="1" applyAlignment="1" applyProtection="1">
      <alignment horizontal="center" vertical="center"/>
    </xf>
    <xf numFmtId="3" fontId="5" fillId="2" borderId="2" xfId="0" applyNumberFormat="1" applyFont="1" applyFill="1" applyBorder="1" applyAlignment="1" applyProtection="1">
      <alignment horizontal="right" vertical="center"/>
    </xf>
    <xf numFmtId="0" fontId="6" fillId="2" borderId="13" xfId="0" applyFont="1" applyFill="1" applyBorder="1" applyAlignment="1" applyProtection="1"/>
    <xf numFmtId="0" fontId="5" fillId="2" borderId="13" xfId="0" applyFont="1" applyFill="1" applyBorder="1" applyProtection="1"/>
    <xf numFmtId="38" fontId="5" fillId="0" borderId="0" xfId="0" applyNumberFormat="1" applyFont="1" applyFill="1" applyBorder="1" applyAlignment="1" applyProtection="1">
      <alignment horizontal="left"/>
    </xf>
    <xf numFmtId="38" fontId="5" fillId="0" borderId="0" xfId="0" applyNumberFormat="1" applyFont="1" applyFill="1" applyBorder="1" applyProtection="1"/>
    <xf numFmtId="38" fontId="14" fillId="0" borderId="0" xfId="0" applyNumberFormat="1" applyFont="1" applyFill="1" applyBorder="1" applyAlignment="1" applyProtection="1"/>
    <xf numFmtId="168" fontId="5" fillId="0" borderId="0" xfId="0" applyNumberFormat="1" applyFont="1" applyFill="1" applyBorder="1" applyAlignment="1" applyProtection="1">
      <alignment vertical="center"/>
    </xf>
    <xf numFmtId="168" fontId="5" fillId="2" borderId="2" xfId="0" applyNumberFormat="1" applyFont="1" applyFill="1" applyBorder="1" applyAlignment="1" applyProtection="1">
      <alignment horizontal="right" vertical="center"/>
    </xf>
    <xf numFmtId="168" fontId="6" fillId="2" borderId="8" xfId="0" applyNumberFormat="1" applyFont="1" applyFill="1" applyBorder="1" applyAlignment="1" applyProtection="1">
      <alignment horizontal="right" vertical="center"/>
    </xf>
    <xf numFmtId="38" fontId="5" fillId="0" borderId="0" xfId="0" applyNumberFormat="1" applyFont="1" applyFill="1" applyBorder="1" applyAlignment="1" applyProtection="1">
      <alignment horizontal="center"/>
    </xf>
    <xf numFmtId="168" fontId="5" fillId="0" borderId="0" xfId="0" applyNumberFormat="1" applyFont="1" applyFill="1" applyBorder="1" applyProtection="1"/>
    <xf numFmtId="0" fontId="5" fillId="2" borderId="3" xfId="0" applyFont="1" applyFill="1" applyBorder="1" applyAlignment="1" applyProtection="1">
      <alignment horizontal="left"/>
    </xf>
    <xf numFmtId="0" fontId="5" fillId="2" borderId="12" xfId="0" applyFont="1" applyFill="1" applyBorder="1" applyAlignment="1" applyProtection="1">
      <alignment horizontal="left"/>
    </xf>
    <xf numFmtId="0" fontId="5" fillId="2" borderId="4" xfId="0" applyFont="1" applyFill="1" applyBorder="1" applyAlignment="1" applyProtection="1">
      <alignment horizontal="left" indent="1"/>
    </xf>
    <xf numFmtId="10" fontId="5" fillId="2" borderId="2" xfId="6" applyNumberFormat="1" applyFont="1" applyFill="1" applyBorder="1" applyAlignment="1" applyProtection="1">
      <alignment horizontal="center"/>
    </xf>
    <xf numFmtId="168" fontId="5" fillId="2" borderId="2" xfId="0" applyNumberFormat="1" applyFont="1" applyFill="1" applyBorder="1" applyProtection="1"/>
    <xf numFmtId="38" fontId="5" fillId="2" borderId="3" xfId="0" applyNumberFormat="1" applyFont="1" applyFill="1" applyBorder="1" applyProtection="1"/>
    <xf numFmtId="38" fontId="5" fillId="2" borderId="4" xfId="0" applyNumberFormat="1" applyFont="1" applyFill="1" applyBorder="1" applyProtection="1"/>
    <xf numFmtId="168" fontId="5" fillId="2" borderId="4" xfId="0" applyNumberFormat="1" applyFont="1" applyFill="1" applyBorder="1" applyAlignment="1" applyProtection="1">
      <alignment vertical="center"/>
    </xf>
    <xf numFmtId="0" fontId="5" fillId="2" borderId="0" xfId="0" applyFont="1" applyFill="1" applyProtection="1"/>
    <xf numFmtId="9" fontId="5" fillId="2" borderId="0" xfId="6" applyFont="1" applyFill="1" applyBorder="1" applyAlignment="1" applyProtection="1">
      <alignment horizontal="left"/>
    </xf>
    <xf numFmtId="0" fontId="5" fillId="2" borderId="9" xfId="0" applyFont="1" applyFill="1" applyBorder="1" applyProtection="1"/>
    <xf numFmtId="9" fontId="5" fillId="2" borderId="4" xfId="6" applyFont="1" applyFill="1" applyBorder="1" applyAlignment="1" applyProtection="1">
      <alignment horizontal="left"/>
    </xf>
    <xf numFmtId="38" fontId="5" fillId="0" borderId="0" xfId="0" applyNumberFormat="1" applyFont="1" applyFill="1" applyBorder="1" applyAlignment="1" applyProtection="1"/>
    <xf numFmtId="0" fontId="5" fillId="2" borderId="3" xfId="0" applyFont="1" applyFill="1" applyBorder="1" applyProtection="1"/>
    <xf numFmtId="0" fontId="5" fillId="2" borderId="12" xfId="0" applyFont="1" applyFill="1" applyBorder="1" applyAlignment="1" applyProtection="1">
      <alignment horizontal="left" indent="1"/>
    </xf>
    <xf numFmtId="9" fontId="5" fillId="2" borderId="14" xfId="6" applyFont="1" applyFill="1" applyBorder="1" applyAlignment="1" applyProtection="1">
      <alignment horizontal="left"/>
    </xf>
    <xf numFmtId="38" fontId="6" fillId="0" borderId="0" xfId="0" applyNumberFormat="1" applyFont="1" applyFill="1" applyBorder="1" applyProtection="1"/>
    <xf numFmtId="9" fontId="5" fillId="3" borderId="0" xfId="6" applyFont="1" applyFill="1" applyBorder="1" applyAlignment="1" applyProtection="1">
      <alignment horizontal="left"/>
    </xf>
    <xf numFmtId="168" fontId="5" fillId="3" borderId="0" xfId="0" applyNumberFormat="1" applyFont="1" applyFill="1" applyBorder="1" applyProtection="1"/>
    <xf numFmtId="0" fontId="5" fillId="3" borderId="0" xfId="0" applyFont="1" applyFill="1" applyBorder="1" applyAlignment="1" applyProtection="1">
      <alignment horizontal="left" indent="1"/>
    </xf>
    <xf numFmtId="166" fontId="5" fillId="2" borderId="7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Protection="1"/>
    <xf numFmtId="0" fontId="7" fillId="5" borderId="0" xfId="0" applyFont="1" applyFill="1" applyBorder="1" applyProtection="1"/>
    <xf numFmtId="0" fontId="4" fillId="5" borderId="0" xfId="0" applyFont="1" applyFill="1" applyBorder="1" applyAlignment="1" applyProtection="1">
      <alignment horizontal="right"/>
    </xf>
    <xf numFmtId="0" fontId="5" fillId="0" borderId="0" xfId="0" applyFont="1" applyFill="1" applyBorder="1" applyProtection="1"/>
    <xf numFmtId="0" fontId="6" fillId="2" borderId="3" xfId="0" applyFont="1" applyFill="1" applyBorder="1" applyProtection="1"/>
    <xf numFmtId="38" fontId="5" fillId="2" borderId="12" xfId="0" applyNumberFormat="1" applyFont="1" applyFill="1" applyBorder="1" applyProtection="1"/>
    <xf numFmtId="1" fontId="5" fillId="2" borderId="2" xfId="0" applyNumberFormat="1" applyFont="1" applyFill="1" applyBorder="1" applyAlignment="1" applyProtection="1">
      <alignment horizontal="center" vertical="center"/>
    </xf>
    <xf numFmtId="3" fontId="6" fillId="2" borderId="2" xfId="0" applyNumberFormat="1" applyFont="1" applyFill="1" applyBorder="1" applyAlignment="1" applyProtection="1">
      <alignment horizontal="right" vertical="center"/>
    </xf>
    <xf numFmtId="0" fontId="6" fillId="2" borderId="12" xfId="0" applyFont="1" applyFill="1" applyBorder="1" applyProtection="1"/>
    <xf numFmtId="3" fontId="5" fillId="2" borderId="2" xfId="0" applyNumberFormat="1" applyFont="1" applyFill="1" applyBorder="1" applyAlignment="1" applyProtection="1">
      <alignment horizontal="center"/>
    </xf>
    <xf numFmtId="3" fontId="5" fillId="2" borderId="2" xfId="0" applyNumberFormat="1" applyFont="1" applyFill="1" applyBorder="1" applyProtection="1"/>
    <xf numFmtId="3" fontId="6" fillId="2" borderId="8" xfId="0" applyNumberFormat="1" applyFont="1" applyFill="1" applyBorder="1" applyAlignment="1" applyProtection="1">
      <alignment horizontal="right" vertical="center"/>
    </xf>
    <xf numFmtId="0" fontId="5" fillId="0" borderId="0" xfId="0" applyFont="1" applyFill="1" applyBorder="1" applyAlignment="1" applyProtection="1">
      <alignment horizontal="left" indent="1"/>
    </xf>
    <xf numFmtId="3" fontId="5" fillId="0" borderId="15" xfId="0" applyNumberFormat="1" applyFont="1" applyFill="1" applyBorder="1" applyAlignment="1" applyProtection="1">
      <alignment horizontal="center"/>
    </xf>
    <xf numFmtId="3" fontId="5" fillId="0" borderId="15" xfId="0" applyNumberFormat="1" applyFont="1" applyFill="1" applyBorder="1" applyProtection="1"/>
    <xf numFmtId="0" fontId="6" fillId="2" borderId="11" xfId="0" applyFont="1" applyFill="1" applyBorder="1" applyAlignment="1" applyProtection="1">
      <alignment horizontal="left"/>
    </xf>
    <xf numFmtId="0" fontId="5" fillId="2" borderId="16" xfId="0" applyFont="1" applyFill="1" applyBorder="1" applyAlignment="1" applyProtection="1">
      <alignment horizontal="left" indent="2"/>
    </xf>
    <xf numFmtId="0" fontId="6" fillId="0" borderId="17" xfId="0" applyFont="1" applyFill="1" applyBorder="1" applyAlignment="1" applyProtection="1">
      <alignment horizontal="left"/>
    </xf>
    <xf numFmtId="0" fontId="5" fillId="0" borderId="15" xfId="0" applyFont="1" applyFill="1" applyBorder="1" applyAlignment="1" applyProtection="1">
      <alignment horizontal="left" indent="2"/>
    </xf>
    <xf numFmtId="0" fontId="27" fillId="0" borderId="0" xfId="0" applyFont="1" applyFill="1" applyProtection="1"/>
    <xf numFmtId="3" fontId="5" fillId="0" borderId="0" xfId="0" applyNumberFormat="1" applyFont="1" applyFill="1" applyBorder="1" applyProtection="1"/>
    <xf numFmtId="3" fontId="5" fillId="3" borderId="0" xfId="0" applyNumberFormat="1" applyFont="1" applyFill="1" applyProtection="1"/>
    <xf numFmtId="3" fontId="5" fillId="3" borderId="0" xfId="0" applyNumberFormat="1" applyFont="1" applyFill="1" applyBorder="1" applyProtection="1"/>
    <xf numFmtId="0" fontId="11" fillId="0" borderId="0" xfId="4" applyFont="1" applyFill="1" applyBorder="1" applyAlignment="1" applyProtection="1">
      <alignment horizontal="center"/>
    </xf>
    <xf numFmtId="0" fontId="5" fillId="3" borderId="0" xfId="4" applyFont="1" applyFill="1" applyProtection="1"/>
    <xf numFmtId="0" fontId="6" fillId="0" borderId="15" xfId="5" applyFont="1" applyFill="1" applyBorder="1" applyAlignment="1" applyProtection="1">
      <alignment horizontal="center" vertical="center"/>
    </xf>
    <xf numFmtId="0" fontId="6" fillId="0" borderId="0" xfId="5" applyFont="1" applyFill="1" applyBorder="1" applyAlignment="1" applyProtection="1">
      <alignment horizontal="center" vertical="center"/>
    </xf>
    <xf numFmtId="0" fontId="6" fillId="2" borderId="2" xfId="4" applyFont="1" applyFill="1" applyBorder="1" applyAlignment="1" applyProtection="1">
      <alignment horizontal="center"/>
    </xf>
    <xf numFmtId="0" fontId="6" fillId="2" borderId="3" xfId="4" applyFont="1" applyFill="1" applyBorder="1" applyProtection="1"/>
    <xf numFmtId="0" fontId="5" fillId="2" borderId="4" xfId="4" applyFont="1" applyFill="1" applyBorder="1" applyProtection="1"/>
    <xf numFmtId="0" fontId="5" fillId="2" borderId="3" xfId="4" applyFont="1" applyFill="1" applyBorder="1" applyProtection="1"/>
    <xf numFmtId="3" fontId="14" fillId="2" borderId="2" xfId="4" applyNumberFormat="1" applyFont="1" applyFill="1" applyBorder="1" applyProtection="1"/>
    <xf numFmtId="3" fontId="6" fillId="2" borderId="2" xfId="4" applyNumberFormat="1" applyFont="1" applyFill="1" applyBorder="1" applyAlignment="1" applyProtection="1"/>
    <xf numFmtId="3" fontId="6" fillId="2" borderId="8" xfId="4" applyNumberFormat="1" applyFont="1" applyFill="1" applyBorder="1" applyAlignment="1" applyProtection="1">
      <alignment horizontal="right"/>
    </xf>
    <xf numFmtId="168" fontId="6" fillId="0" borderId="0" xfId="4" applyNumberFormat="1" applyFont="1" applyFill="1" applyBorder="1" applyAlignment="1" applyProtection="1">
      <alignment horizontal="left" vertical="center"/>
    </xf>
    <xf numFmtId="3" fontId="6" fillId="0" borderId="0" xfId="4" applyNumberFormat="1" applyFont="1" applyFill="1" applyBorder="1" applyAlignment="1" applyProtection="1">
      <alignment horizontal="right"/>
    </xf>
    <xf numFmtId="168" fontId="6" fillId="2" borderId="11" xfId="4" applyNumberFormat="1" applyFont="1" applyFill="1" applyBorder="1" applyAlignment="1" applyProtection="1">
      <alignment vertical="center"/>
    </xf>
    <xf numFmtId="0" fontId="13" fillId="0" borderId="0" xfId="4" applyFont="1" applyFill="1" applyBorder="1" applyProtection="1"/>
    <xf numFmtId="0" fontId="5" fillId="0" borderId="0" xfId="4" applyFont="1" applyFill="1" applyBorder="1" applyProtection="1"/>
    <xf numFmtId="168" fontId="5" fillId="0" borderId="0" xfId="4" applyNumberFormat="1" applyFont="1" applyFill="1" applyProtection="1"/>
    <xf numFmtId="3" fontId="31" fillId="2" borderId="2" xfId="4" applyNumberFormat="1" applyFont="1" applyFill="1" applyBorder="1" applyProtection="1"/>
    <xf numFmtId="0" fontId="11" fillId="2" borderId="3" xfId="4" applyFont="1" applyFill="1" applyBorder="1" applyAlignment="1" applyProtection="1">
      <alignment horizontal="center"/>
    </xf>
    <xf numFmtId="0" fontId="11" fillId="2" borderId="4" xfId="4" applyFont="1" applyFill="1" applyBorder="1" applyAlignment="1" applyProtection="1">
      <alignment horizontal="center"/>
    </xf>
    <xf numFmtId="0" fontId="6" fillId="2" borderId="11" xfId="0" applyFont="1" applyFill="1" applyBorder="1" applyProtection="1"/>
    <xf numFmtId="0" fontId="5" fillId="2" borderId="18" xfId="0" applyFont="1" applyFill="1" applyBorder="1" applyProtection="1"/>
    <xf numFmtId="0" fontId="5" fillId="0" borderId="0" xfId="0" applyFont="1" applyFill="1" applyAlignment="1" applyProtection="1">
      <alignment horizontal="fill"/>
    </xf>
    <xf numFmtId="167" fontId="5" fillId="0" borderId="0" xfId="0" applyNumberFormat="1" applyFont="1" applyFill="1" applyProtection="1"/>
    <xf numFmtId="170" fontId="5" fillId="0" borderId="0" xfId="0" applyNumberFormat="1" applyFont="1" applyFill="1" applyProtection="1"/>
    <xf numFmtId="0" fontId="6" fillId="0" borderId="0" xfId="0" applyFont="1" applyFill="1" applyProtection="1"/>
    <xf numFmtId="3" fontId="5" fillId="2" borderId="7" xfId="0" applyNumberFormat="1" applyFont="1" applyFill="1" applyBorder="1" applyProtection="1"/>
    <xf numFmtId="9" fontId="5" fillId="2" borderId="19" xfId="6" applyFont="1" applyFill="1" applyBorder="1" applyAlignment="1" applyProtection="1">
      <alignment horizontal="right" vertical="center"/>
    </xf>
    <xf numFmtId="9" fontId="5" fillId="2" borderId="2" xfId="6" applyFont="1" applyFill="1" applyBorder="1" applyAlignment="1" applyProtection="1">
      <alignment horizontal="right" vertical="center"/>
    </xf>
    <xf numFmtId="0" fontId="5" fillId="2" borderId="19" xfId="0" applyFont="1" applyFill="1" applyBorder="1" applyProtection="1"/>
    <xf numFmtId="3" fontId="5" fillId="2" borderId="4" xfId="0" applyNumberFormat="1" applyFont="1" applyFill="1" applyBorder="1" applyProtection="1"/>
    <xf numFmtId="0" fontId="5" fillId="2" borderId="0" xfId="0" applyFont="1" applyFill="1" applyBorder="1" applyProtection="1"/>
    <xf numFmtId="3" fontId="5" fillId="2" borderId="9" xfId="0" applyNumberFormat="1" applyFont="1" applyFill="1" applyBorder="1" applyProtection="1"/>
    <xf numFmtId="3" fontId="5" fillId="2" borderId="14" xfId="0" applyNumberFormat="1" applyFont="1" applyFill="1" applyBorder="1" applyProtection="1"/>
    <xf numFmtId="9" fontId="5" fillId="2" borderId="5" xfId="6" applyFont="1" applyFill="1" applyBorder="1" applyAlignment="1" applyProtection="1">
      <alignment horizontal="right" vertical="center"/>
    </xf>
    <xf numFmtId="9" fontId="5" fillId="2" borderId="0" xfId="6" applyFont="1" applyFill="1" applyBorder="1" applyAlignment="1" applyProtection="1">
      <alignment horizontal="right" vertical="center"/>
    </xf>
    <xf numFmtId="0" fontId="5" fillId="2" borderId="5" xfId="0" applyFont="1" applyFill="1" applyBorder="1" applyProtection="1"/>
    <xf numFmtId="3" fontId="5" fillId="2" borderId="0" xfId="0" applyNumberFormat="1" applyFont="1" applyFill="1" applyBorder="1" applyProtection="1"/>
    <xf numFmtId="3" fontId="5" fillId="2" borderId="13" xfId="0" applyNumberFormat="1" applyFont="1" applyFill="1" applyBorder="1" applyProtection="1"/>
    <xf numFmtId="3" fontId="5" fillId="0" borderId="0" xfId="0" applyNumberFormat="1" applyFont="1" applyFill="1" applyProtection="1"/>
    <xf numFmtId="0" fontId="6" fillId="0" borderId="0" xfId="0" applyFont="1" applyFill="1" applyAlignment="1" applyProtection="1">
      <alignment horizontal="left"/>
    </xf>
    <xf numFmtId="3" fontId="5" fillId="6" borderId="2" xfId="0" applyNumberFormat="1" applyFont="1" applyFill="1" applyBorder="1" applyProtection="1"/>
    <xf numFmtId="165" fontId="5" fillId="0" borderId="0" xfId="0" applyNumberFormat="1" applyFont="1" applyFill="1" applyBorder="1" applyAlignment="1" applyProtection="1">
      <alignment horizontal="center" vertical="center"/>
    </xf>
    <xf numFmtId="168" fontId="5" fillId="2" borderId="2" xfId="0" applyNumberFormat="1" applyFont="1" applyFill="1" applyBorder="1" applyAlignment="1" applyProtection="1"/>
    <xf numFmtId="0" fontId="6" fillId="2" borderId="16" xfId="0" applyFont="1" applyFill="1" applyBorder="1" applyAlignment="1" applyProtection="1">
      <alignment horizontal="left"/>
    </xf>
    <xf numFmtId="3" fontId="9" fillId="0" borderId="0" xfId="6" applyNumberFormat="1" applyFont="1" applyFill="1" applyBorder="1" applyAlignment="1" applyProtection="1"/>
    <xf numFmtId="168" fontId="5" fillId="3" borderId="0" xfId="0" applyNumberFormat="1" applyFont="1" applyFill="1" applyProtection="1"/>
    <xf numFmtId="0" fontId="18" fillId="0" borderId="0" xfId="0" applyFont="1" applyFill="1" applyProtection="1"/>
    <xf numFmtId="0" fontId="4" fillId="5" borderId="0" xfId="0" applyFont="1" applyFill="1" applyBorder="1" applyProtection="1"/>
    <xf numFmtId="0" fontId="18" fillId="3" borderId="0" xfId="0" applyFont="1" applyFill="1" applyProtection="1"/>
    <xf numFmtId="0" fontId="5" fillId="2" borderId="17" xfId="0" applyFont="1" applyFill="1" applyBorder="1" applyAlignment="1" applyProtection="1">
      <alignment horizontal="left" indent="1"/>
    </xf>
    <xf numFmtId="38" fontId="5" fillId="2" borderId="4" xfId="1" applyNumberFormat="1" applyFont="1" applyFill="1" applyBorder="1" applyProtection="1"/>
    <xf numFmtId="0" fontId="5" fillId="2" borderId="12" xfId="0" applyFont="1" applyFill="1" applyBorder="1" applyAlignment="1" applyProtection="1">
      <alignment horizontal="left" indent="2"/>
    </xf>
    <xf numFmtId="3" fontId="6" fillId="2" borderId="2" xfId="0" applyNumberFormat="1" applyFont="1" applyFill="1" applyBorder="1" applyAlignment="1" applyProtection="1">
      <alignment horizontal="center"/>
    </xf>
    <xf numFmtId="38" fontId="5" fillId="2" borderId="20" xfId="1" applyNumberFormat="1" applyFont="1" applyFill="1" applyBorder="1" applyProtection="1"/>
    <xf numFmtId="0" fontId="18" fillId="2" borderId="0" xfId="0" applyFont="1" applyFill="1" applyProtection="1"/>
    <xf numFmtId="0" fontId="6" fillId="2" borderId="18" xfId="0" applyFont="1" applyFill="1" applyBorder="1" applyAlignment="1" applyProtection="1">
      <alignment horizontal="left" indent="1"/>
    </xf>
    <xf numFmtId="0" fontId="5" fillId="0" borderId="21" xfId="0" applyFont="1" applyFill="1" applyBorder="1" applyProtection="1"/>
    <xf numFmtId="38" fontId="5" fillId="0" borderId="0" xfId="1" applyNumberFormat="1" applyFont="1" applyFill="1" applyBorder="1" applyAlignment="1" applyProtection="1">
      <alignment horizontal="center"/>
    </xf>
    <xf numFmtId="168" fontId="5" fillId="0" borderId="0" xfId="0" applyNumberFormat="1" applyFont="1" applyFill="1" applyBorder="1" applyAlignment="1" applyProtection="1"/>
    <xf numFmtId="38" fontId="5" fillId="3" borderId="0" xfId="1" applyNumberFormat="1" applyFont="1" applyFill="1" applyBorder="1" applyAlignment="1" applyProtection="1">
      <alignment horizontal="center"/>
    </xf>
    <xf numFmtId="168" fontId="5" fillId="3" borderId="0" xfId="0" applyNumberFormat="1" applyFont="1" applyFill="1" applyBorder="1" applyAlignment="1" applyProtection="1"/>
    <xf numFmtId="0" fontId="6" fillId="3" borderId="0" xfId="0" applyFont="1" applyFill="1" applyProtection="1"/>
    <xf numFmtId="38" fontId="5" fillId="3" borderId="0" xfId="1" applyNumberFormat="1" applyFont="1" applyFill="1" applyBorder="1" applyProtection="1"/>
    <xf numFmtId="168" fontId="6" fillId="3" borderId="0" xfId="0" applyNumberFormat="1" applyFont="1" applyFill="1" applyBorder="1" applyAlignment="1" applyProtection="1"/>
    <xf numFmtId="168" fontId="19" fillId="3" borderId="0" xfId="0" applyNumberFormat="1" applyFont="1" applyFill="1" applyBorder="1" applyAlignment="1" applyProtection="1"/>
    <xf numFmtId="0" fontId="5" fillId="3" borderId="0" xfId="0" applyFont="1" applyFill="1" applyAlignment="1" applyProtection="1">
      <alignment horizontal="left" indent="1"/>
    </xf>
    <xf numFmtId="38" fontId="5" fillId="3" borderId="0" xfId="0" applyNumberFormat="1" applyFont="1" applyFill="1" applyBorder="1" applyProtection="1"/>
    <xf numFmtId="38" fontId="5" fillId="3" borderId="0" xfId="0" applyNumberFormat="1" applyFont="1" applyFill="1" applyBorder="1" applyAlignment="1" applyProtection="1"/>
    <xf numFmtId="0" fontId="18" fillId="3" borderId="0" xfId="0" applyFont="1" applyFill="1" applyBorder="1" applyProtection="1"/>
    <xf numFmtId="3" fontId="5" fillId="2" borderId="2" xfId="6" applyNumberFormat="1" applyFont="1" applyFill="1" applyBorder="1" applyAlignment="1" applyProtection="1">
      <alignment horizontal="right" vertical="center"/>
    </xf>
    <xf numFmtId="3" fontId="5" fillId="2" borderId="19" xfId="6" applyNumberFormat="1" applyFont="1" applyFill="1" applyBorder="1" applyAlignment="1" applyProtection="1">
      <alignment horizontal="right" vertical="center"/>
    </xf>
    <xf numFmtId="3" fontId="5" fillId="2" borderId="10" xfId="6" applyNumberFormat="1" applyFont="1" applyFill="1" applyBorder="1" applyAlignment="1" applyProtection="1">
      <alignment horizontal="right" vertical="center"/>
    </xf>
    <xf numFmtId="3" fontId="5" fillId="2" borderId="22" xfId="6" applyNumberFormat="1" applyFont="1" applyFill="1" applyBorder="1" applyAlignment="1" applyProtection="1">
      <alignment horizontal="right" vertical="center"/>
    </xf>
    <xf numFmtId="0" fontId="6" fillId="0" borderId="0" xfId="0" applyFont="1" applyFill="1" applyBorder="1" applyProtection="1"/>
    <xf numFmtId="0" fontId="8" fillId="5" borderId="0" xfId="0" applyFont="1" applyFill="1" applyBorder="1" applyProtection="1"/>
    <xf numFmtId="0" fontId="9" fillId="5" borderId="0" xfId="0" applyFont="1" applyFill="1" applyBorder="1" applyProtection="1"/>
    <xf numFmtId="0" fontId="8" fillId="0" borderId="0" xfId="0" applyFont="1" applyFill="1" applyBorder="1" applyProtection="1"/>
    <xf numFmtId="0" fontId="5" fillId="0" borderId="0" xfId="0" applyFont="1" applyFill="1" applyBorder="1" applyAlignment="1" applyProtection="1">
      <alignment horizontal="right"/>
    </xf>
    <xf numFmtId="0" fontId="9" fillId="3" borderId="0" xfId="0" applyFont="1" applyFill="1" applyProtection="1"/>
    <xf numFmtId="1" fontId="5" fillId="2" borderId="2" xfId="0" applyNumberFormat="1" applyFont="1" applyFill="1" applyBorder="1" applyAlignment="1" applyProtection="1">
      <alignment horizontal="right" vertical="center"/>
    </xf>
    <xf numFmtId="3" fontId="6" fillId="2" borderId="8" xfId="0" applyNumberFormat="1" applyFont="1" applyFill="1" applyBorder="1" applyAlignment="1" applyProtection="1"/>
    <xf numFmtId="38" fontId="5" fillId="0" borderId="0" xfId="0" applyNumberFormat="1" applyFont="1" applyFill="1" applyProtection="1"/>
    <xf numFmtId="3" fontId="5" fillId="2" borderId="2" xfId="0" applyNumberFormat="1" applyFont="1" applyFill="1" applyBorder="1" applyAlignment="1" applyProtection="1">
      <alignment horizontal="right"/>
    </xf>
    <xf numFmtId="0" fontId="32" fillId="3" borderId="0" xfId="0" applyFont="1" applyFill="1" applyProtection="1"/>
    <xf numFmtId="168" fontId="32" fillId="3" borderId="0" xfId="0" applyNumberFormat="1" applyFont="1" applyFill="1" applyProtection="1"/>
    <xf numFmtId="173" fontId="32" fillId="3" borderId="0" xfId="0" applyNumberFormat="1" applyFont="1" applyFill="1" applyProtection="1"/>
    <xf numFmtId="3" fontId="32" fillId="3" borderId="0" xfId="0" applyNumberFormat="1" applyFont="1" applyFill="1" applyProtection="1"/>
    <xf numFmtId="0" fontId="8" fillId="3" borderId="0" xfId="0" applyFont="1" applyFill="1" applyBorder="1" applyProtection="1"/>
    <xf numFmtId="0" fontId="6" fillId="3" borderId="0" xfId="0" applyFont="1" applyFill="1" applyBorder="1" applyAlignment="1" applyProtection="1">
      <alignment horizontal="center"/>
    </xf>
    <xf numFmtId="40" fontId="5" fillId="0" borderId="0" xfId="8" applyNumberFormat="1" applyFont="1" applyFill="1" applyProtection="1"/>
    <xf numFmtId="3" fontId="5" fillId="3" borderId="0" xfId="0" applyNumberFormat="1" applyFont="1" applyFill="1" applyBorder="1" applyAlignment="1" applyProtection="1">
      <alignment horizontal="center"/>
    </xf>
    <xf numFmtId="0" fontId="5" fillId="3" borderId="0" xfId="0" applyFont="1" applyFill="1" applyBorder="1" applyAlignment="1" applyProtection="1">
      <alignment horizontal="center"/>
    </xf>
    <xf numFmtId="3" fontId="6" fillId="2" borderId="2" xfId="6" applyNumberFormat="1" applyFont="1" applyFill="1" applyBorder="1" applyAlignment="1" applyProtection="1">
      <alignment horizontal="right" vertical="center"/>
    </xf>
    <xf numFmtId="172" fontId="5" fillId="3" borderId="0" xfId="0" applyNumberFormat="1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3" fontId="6" fillId="0" borderId="0" xfId="6" applyNumberFormat="1" applyFont="1" applyFill="1" applyBorder="1" applyAlignment="1" applyProtection="1">
      <alignment horizontal="right" vertical="center"/>
    </xf>
    <xf numFmtId="0" fontId="5" fillId="2" borderId="4" xfId="0" applyFont="1" applyFill="1" applyBorder="1" applyAlignment="1" applyProtection="1">
      <alignment vertical="center" wrapText="1"/>
    </xf>
    <xf numFmtId="10" fontId="5" fillId="2" borderId="2" xfId="0" applyNumberFormat="1" applyFont="1" applyFill="1" applyBorder="1" applyAlignment="1" applyProtection="1">
      <alignment vertical="center" wrapText="1"/>
    </xf>
    <xf numFmtId="170" fontId="5" fillId="3" borderId="0" xfId="0" applyNumberFormat="1" applyFont="1" applyFill="1" applyBorder="1" applyAlignment="1" applyProtection="1">
      <alignment horizontal="center"/>
    </xf>
    <xf numFmtId="0" fontId="5" fillId="2" borderId="0" xfId="0" applyFont="1" applyFill="1" applyBorder="1" applyAlignment="1" applyProtection="1">
      <alignment vertical="center" wrapText="1"/>
    </xf>
    <xf numFmtId="3" fontId="5" fillId="2" borderId="2" xfId="0" applyNumberFormat="1" applyFont="1" applyFill="1" applyBorder="1" applyAlignment="1" applyProtection="1">
      <alignment vertical="center" wrapText="1"/>
    </xf>
    <xf numFmtId="169" fontId="5" fillId="2" borderId="2" xfId="0" applyNumberFormat="1" applyFont="1" applyFill="1" applyBorder="1" applyProtection="1"/>
    <xf numFmtId="0" fontId="5" fillId="0" borderId="0" xfId="0" applyFont="1" applyFill="1" applyBorder="1" applyAlignment="1" applyProtection="1">
      <alignment vertical="center" wrapText="1"/>
    </xf>
    <xf numFmtId="40" fontId="22" fillId="0" borderId="0" xfId="8" applyNumberFormat="1" applyFont="1" applyFill="1" applyProtection="1"/>
    <xf numFmtId="40" fontId="22" fillId="0" borderId="0" xfId="8" applyNumberFormat="1" applyFont="1" applyFill="1" applyBorder="1" applyProtection="1"/>
    <xf numFmtId="40" fontId="5" fillId="0" borderId="0" xfId="8" applyNumberFormat="1" applyFont="1" applyFill="1" applyBorder="1" applyAlignment="1" applyProtection="1">
      <alignment horizontal="right"/>
    </xf>
    <xf numFmtId="40" fontId="22" fillId="0" borderId="0" xfId="8" applyNumberFormat="1" applyFont="1" applyFill="1" applyBorder="1" applyAlignment="1" applyProtection="1">
      <alignment horizontal="right"/>
    </xf>
    <xf numFmtId="164" fontId="5" fillId="0" borderId="0" xfId="0" applyNumberFormat="1" applyFont="1" applyFill="1" applyBorder="1" applyProtection="1"/>
    <xf numFmtId="10" fontId="6" fillId="2" borderId="2" xfId="6" applyNumberFormat="1" applyFont="1" applyFill="1" applyBorder="1" applyAlignment="1" applyProtection="1">
      <alignment horizontal="right" vertical="center"/>
    </xf>
    <xf numFmtId="40" fontId="5" fillId="0" borderId="0" xfId="8" applyNumberFormat="1" applyFont="1" applyFill="1" applyBorder="1" applyAlignment="1" applyProtection="1">
      <alignment horizontal="left"/>
    </xf>
    <xf numFmtId="3" fontId="6" fillId="2" borderId="2" xfId="6" applyNumberFormat="1" applyFont="1" applyFill="1" applyBorder="1" applyAlignment="1" applyProtection="1">
      <alignment horizontal="left" vertical="center"/>
    </xf>
    <xf numFmtId="10" fontId="5" fillId="0" borderId="0" xfId="0" applyNumberFormat="1" applyFont="1" applyFill="1" applyProtection="1"/>
    <xf numFmtId="1" fontId="5" fillId="3" borderId="0" xfId="0" applyNumberFormat="1" applyFont="1" applyFill="1" applyBorder="1" applyAlignment="1" applyProtection="1">
      <alignment horizontal="center"/>
    </xf>
    <xf numFmtId="3" fontId="5" fillId="0" borderId="0" xfId="0" applyNumberFormat="1" applyFont="1" applyFill="1" applyBorder="1" applyAlignment="1" applyProtection="1">
      <alignment vertical="center" wrapText="1"/>
    </xf>
    <xf numFmtId="169" fontId="5" fillId="0" borderId="0" xfId="0" applyNumberFormat="1" applyFont="1" applyFill="1" applyProtection="1"/>
    <xf numFmtId="40" fontId="5" fillId="3" borderId="0" xfId="8" applyNumberFormat="1" applyFont="1" applyFill="1" applyProtection="1"/>
    <xf numFmtId="40" fontId="5" fillId="3" borderId="0" xfId="8" applyNumberFormat="1" applyFont="1" applyFill="1" applyBorder="1" applyProtection="1"/>
    <xf numFmtId="0" fontId="4" fillId="5" borderId="0" xfId="0" applyFont="1" applyFill="1" applyAlignment="1" applyProtection="1">
      <alignment horizontal="right"/>
      <protection locked="0"/>
    </xf>
    <xf numFmtId="168" fontId="31" fillId="3" borderId="0" xfId="0" applyNumberFormat="1" applyFont="1" applyFill="1" applyProtection="1"/>
    <xf numFmtId="168" fontId="5" fillId="0" borderId="4" xfId="0" applyNumberFormat="1" applyFont="1" applyFill="1" applyBorder="1" applyAlignment="1" applyProtection="1">
      <alignment vertical="center"/>
      <protection locked="0"/>
    </xf>
    <xf numFmtId="168" fontId="6" fillId="7" borderId="2" xfId="0" applyNumberFormat="1" applyFont="1" applyFill="1" applyBorder="1" applyAlignment="1" applyProtection="1">
      <alignment vertical="center"/>
      <protection locked="0"/>
    </xf>
    <xf numFmtId="168" fontId="14" fillId="7" borderId="2" xfId="0" applyNumberFormat="1" applyFont="1" applyFill="1" applyBorder="1" applyAlignment="1" applyProtection="1">
      <alignment vertical="center"/>
      <protection locked="0"/>
    </xf>
    <xf numFmtId="168" fontId="5" fillId="7" borderId="2" xfId="0" applyNumberFormat="1" applyFont="1" applyFill="1" applyBorder="1" applyAlignment="1" applyProtection="1">
      <alignment vertical="center"/>
      <protection locked="0"/>
    </xf>
    <xf numFmtId="9" fontId="14" fillId="7" borderId="2" xfId="6" applyFont="1" applyFill="1" applyBorder="1" applyAlignment="1" applyProtection="1">
      <alignment vertical="center"/>
      <protection locked="0"/>
    </xf>
    <xf numFmtId="10" fontId="14" fillId="7" borderId="2" xfId="6" applyNumberFormat="1" applyFont="1" applyFill="1" applyBorder="1" applyAlignment="1" applyProtection="1">
      <alignment vertical="center"/>
      <protection locked="0"/>
    </xf>
    <xf numFmtId="171" fontId="14" fillId="7" borderId="2" xfId="0" applyNumberFormat="1" applyFont="1" applyFill="1" applyBorder="1" applyAlignment="1" applyProtection="1">
      <alignment vertical="center"/>
      <protection locked="0"/>
    </xf>
    <xf numFmtId="171" fontId="5" fillId="7" borderId="2" xfId="0" applyNumberFormat="1" applyFont="1" applyFill="1" applyBorder="1" applyAlignment="1" applyProtection="1">
      <alignment vertical="center"/>
      <protection locked="0"/>
    </xf>
    <xf numFmtId="8" fontId="5" fillId="0" borderId="0" xfId="0" applyNumberFormat="1" applyFont="1" applyFill="1" applyProtection="1"/>
    <xf numFmtId="0" fontId="6" fillId="2" borderId="3" xfId="0" applyFont="1" applyFill="1" applyBorder="1" applyAlignment="1" applyProtection="1">
      <alignment horizontal="left"/>
      <protection locked="0"/>
    </xf>
    <xf numFmtId="0" fontId="6" fillId="2" borderId="4" xfId="0" applyFont="1" applyFill="1" applyBorder="1" applyAlignment="1" applyProtection="1">
      <alignment horizontal="center"/>
      <protection locked="0"/>
    </xf>
    <xf numFmtId="3" fontId="6" fillId="2" borderId="2" xfId="6" applyNumberFormat="1" applyFont="1" applyFill="1" applyBorder="1" applyAlignment="1" applyProtection="1">
      <alignment horizontal="right" vertical="center"/>
      <protection locked="0"/>
    </xf>
    <xf numFmtId="40" fontId="22" fillId="0" borderId="0" xfId="8" applyNumberFormat="1" applyFont="1" applyFill="1" applyBorder="1" applyProtection="1">
      <protection locked="0"/>
    </xf>
    <xf numFmtId="40" fontId="5" fillId="0" borderId="0" xfId="8" applyNumberFormat="1" applyFont="1" applyFill="1" applyProtection="1">
      <protection locked="0"/>
    </xf>
    <xf numFmtId="40" fontId="5" fillId="0" borderId="0" xfId="8" applyNumberFormat="1" applyFont="1" applyFill="1" applyBorder="1" applyAlignment="1" applyProtection="1">
      <alignment horizontal="right"/>
      <protection locked="0"/>
    </xf>
    <xf numFmtId="40" fontId="22" fillId="0" borderId="0" xfId="8" applyNumberFormat="1" applyFont="1" applyFill="1" applyBorder="1" applyAlignment="1" applyProtection="1">
      <alignment horizontal="right"/>
      <protection locked="0"/>
    </xf>
    <xf numFmtId="0" fontId="5" fillId="3" borderId="0" xfId="0" applyFont="1" applyFill="1" applyProtection="1">
      <protection locked="0"/>
    </xf>
    <xf numFmtId="0" fontId="5" fillId="3" borderId="0" xfId="0" applyFont="1" applyFill="1" applyBorder="1" applyProtection="1">
      <protection locked="0"/>
    </xf>
    <xf numFmtId="0" fontId="6" fillId="2" borderId="14" xfId="0" applyFont="1" applyFill="1" applyBorder="1" applyAlignment="1" applyProtection="1">
      <alignment horizontal="center"/>
    </xf>
    <xf numFmtId="9" fontId="5" fillId="2" borderId="18" xfId="6" applyFont="1" applyFill="1" applyBorder="1" applyAlignment="1" applyProtection="1">
      <alignment horizontal="right" vertical="center"/>
    </xf>
    <xf numFmtId="0" fontId="15" fillId="0" borderId="0" xfId="0" applyFont="1" applyFill="1" applyProtection="1"/>
    <xf numFmtId="0" fontId="6" fillId="0" borderId="2" xfId="0" applyFont="1" applyFill="1" applyBorder="1" applyProtection="1"/>
    <xf numFmtId="0" fontId="5" fillId="0" borderId="2" xfId="0" applyFont="1" applyFill="1" applyBorder="1" applyProtection="1"/>
    <xf numFmtId="0" fontId="6" fillId="2" borderId="7" xfId="0" applyFont="1" applyFill="1" applyBorder="1" applyAlignment="1" applyProtection="1">
      <alignment horizontal="center"/>
    </xf>
    <xf numFmtId="3" fontId="5" fillId="0" borderId="2" xfId="0" applyNumberFormat="1" applyFont="1" applyFill="1" applyBorder="1" applyProtection="1"/>
    <xf numFmtId="10" fontId="5" fillId="0" borderId="2" xfId="0" applyNumberFormat="1" applyFont="1" applyFill="1" applyBorder="1" applyProtection="1"/>
    <xf numFmtId="0" fontId="6" fillId="2" borderId="14" xfId="0" applyFont="1" applyFill="1" applyBorder="1" applyAlignment="1" applyProtection="1">
      <alignment horizontal="left"/>
    </xf>
    <xf numFmtId="0" fontId="6" fillId="3" borderId="23" xfId="0" applyFont="1" applyFill="1" applyBorder="1" applyProtection="1"/>
    <xf numFmtId="0" fontId="5" fillId="3" borderId="23" xfId="0" applyFont="1" applyFill="1" applyBorder="1" applyAlignment="1" applyProtection="1">
      <alignment horizontal="left" indent="1"/>
    </xf>
    <xf numFmtId="0" fontId="5" fillId="3" borderId="24" xfId="0" applyFont="1" applyFill="1" applyBorder="1" applyProtection="1"/>
    <xf numFmtId="3" fontId="6" fillId="3" borderId="1" xfId="0" applyNumberFormat="1" applyFont="1" applyFill="1" applyBorder="1" applyProtection="1"/>
    <xf numFmtId="0" fontId="5" fillId="0" borderId="25" xfId="0" applyFont="1" applyFill="1" applyBorder="1" applyProtection="1">
      <protection locked="0"/>
    </xf>
    <xf numFmtId="10" fontId="33" fillId="0" borderId="25" xfId="0" applyNumberFormat="1" applyFont="1" applyFill="1" applyBorder="1" applyProtection="1">
      <protection locked="0"/>
    </xf>
    <xf numFmtId="4" fontId="5" fillId="3" borderId="1" xfId="0" applyNumberFormat="1" applyFont="1" applyFill="1" applyBorder="1" applyProtection="1"/>
    <xf numFmtId="0" fontId="6" fillId="2" borderId="2" xfId="0" applyFont="1" applyFill="1" applyBorder="1" applyAlignment="1" applyProtection="1">
      <alignment horizontal="right"/>
    </xf>
    <xf numFmtId="38" fontId="5" fillId="2" borderId="2" xfId="0" applyNumberFormat="1" applyFont="1" applyFill="1" applyBorder="1" applyAlignment="1" applyProtection="1">
      <alignment horizontal="right"/>
    </xf>
    <xf numFmtId="3" fontId="6" fillId="2" borderId="8" xfId="0" applyNumberFormat="1" applyFont="1" applyFill="1" applyBorder="1" applyAlignment="1" applyProtection="1">
      <alignment horizontal="right"/>
    </xf>
    <xf numFmtId="0" fontId="5" fillId="2" borderId="3" xfId="4" applyFont="1" applyFill="1" applyBorder="1" applyAlignment="1" applyProtection="1">
      <alignment horizontal="left" indent="1"/>
    </xf>
    <xf numFmtId="38" fontId="5" fillId="2" borderId="2" xfId="0" applyNumberFormat="1" applyFont="1" applyFill="1" applyBorder="1" applyAlignment="1" applyProtection="1">
      <alignment horizontal="left" indent="1"/>
    </xf>
    <xf numFmtId="38" fontId="5" fillId="2" borderId="2" xfId="0" applyNumberFormat="1" applyFont="1" applyFill="1" applyBorder="1" applyAlignment="1" applyProtection="1">
      <alignment horizontal="left"/>
    </xf>
    <xf numFmtId="3" fontId="34" fillId="2" borderId="2" xfId="4" applyNumberFormat="1" applyFont="1" applyFill="1" applyBorder="1" applyAlignment="1" applyProtection="1">
      <alignment horizontal="right"/>
    </xf>
    <xf numFmtId="3" fontId="31" fillId="2" borderId="2" xfId="4" applyNumberFormat="1" applyFont="1" applyFill="1" applyBorder="1" applyAlignment="1" applyProtection="1">
      <alignment horizontal="right"/>
    </xf>
    <xf numFmtId="3" fontId="34" fillId="2" borderId="2" xfId="4" applyNumberFormat="1" applyFont="1" applyFill="1" applyBorder="1" applyProtection="1"/>
    <xf numFmtId="3" fontId="6" fillId="2" borderId="2" xfId="4" applyNumberFormat="1" applyFont="1" applyFill="1" applyBorder="1" applyAlignment="1" applyProtection="1">
      <alignment horizontal="right"/>
    </xf>
    <xf numFmtId="3" fontId="34" fillId="2" borderId="2" xfId="4" applyNumberFormat="1" applyFont="1" applyFill="1" applyBorder="1" applyAlignment="1" applyProtection="1">
      <alignment horizontal="center"/>
    </xf>
    <xf numFmtId="3" fontId="34" fillId="2" borderId="2" xfId="4" applyNumberFormat="1" applyFont="1" applyFill="1" applyBorder="1" applyAlignment="1" applyProtection="1"/>
    <xf numFmtId="0" fontId="6" fillId="2" borderId="17" xfId="4" applyFont="1" applyFill="1" applyBorder="1" applyProtection="1"/>
    <xf numFmtId="0" fontId="5" fillId="2" borderId="20" xfId="4" applyFont="1" applyFill="1" applyBorder="1" applyProtection="1"/>
    <xf numFmtId="168" fontId="35" fillId="2" borderId="2" xfId="4" applyNumberFormat="1" applyFont="1" applyFill="1" applyBorder="1" applyProtection="1"/>
    <xf numFmtId="10" fontId="36" fillId="0" borderId="2" xfId="6" applyNumberFormat="1" applyFont="1" applyFill="1" applyBorder="1" applyProtection="1">
      <protection locked="0"/>
    </xf>
    <xf numFmtId="10" fontId="36" fillId="2" borderId="2" xfId="6" applyNumberFormat="1" applyFont="1" applyFill="1" applyBorder="1" applyProtection="1"/>
    <xf numFmtId="174" fontId="36" fillId="0" borderId="2" xfId="6" applyNumberFormat="1" applyFont="1" applyFill="1" applyBorder="1" applyProtection="1">
      <protection locked="0"/>
    </xf>
    <xf numFmtId="168" fontId="37" fillId="0" borderId="0" xfId="4" applyNumberFormat="1" applyFont="1" applyFill="1" applyProtection="1"/>
    <xf numFmtId="168" fontId="38" fillId="2" borderId="7" xfId="4" applyNumberFormat="1" applyFont="1" applyFill="1" applyBorder="1" applyProtection="1"/>
    <xf numFmtId="0" fontId="5" fillId="2" borderId="5" xfId="4" applyFont="1" applyFill="1" applyBorder="1" applyProtection="1"/>
    <xf numFmtId="10" fontId="5" fillId="2" borderId="19" xfId="7" applyNumberFormat="1" applyFont="1" applyFill="1" applyBorder="1" applyProtection="1"/>
    <xf numFmtId="168" fontId="5" fillId="2" borderId="19" xfId="4" applyNumberFormat="1" applyFont="1" applyFill="1" applyBorder="1" applyProtection="1"/>
    <xf numFmtId="0" fontId="5" fillId="2" borderId="5" xfId="4" applyFont="1" applyFill="1" applyBorder="1" applyAlignment="1" applyProtection="1">
      <alignment horizontal="left" indent="2"/>
    </xf>
    <xf numFmtId="168" fontId="5" fillId="2" borderId="6" xfId="4" applyNumberFormat="1" applyFont="1" applyFill="1" applyBorder="1" applyProtection="1"/>
    <xf numFmtId="10" fontId="5" fillId="2" borderId="22" xfId="7" applyNumberFormat="1" applyFont="1" applyFill="1" applyBorder="1" applyProtection="1"/>
    <xf numFmtId="168" fontId="38" fillId="2" borderId="19" xfId="4" applyNumberFormat="1" applyFont="1" applyFill="1" applyBorder="1" applyProtection="1"/>
    <xf numFmtId="168" fontId="6" fillId="2" borderId="2" xfId="4" applyNumberFormat="1" applyFont="1" applyFill="1" applyBorder="1" applyAlignment="1" applyProtection="1"/>
    <xf numFmtId="0" fontId="6" fillId="2" borderId="5" xfId="4" applyFont="1" applyFill="1" applyBorder="1" applyProtection="1"/>
    <xf numFmtId="0" fontId="6" fillId="2" borderId="9" xfId="4" applyFont="1" applyFill="1" applyBorder="1" applyProtection="1"/>
    <xf numFmtId="168" fontId="6" fillId="0" borderId="0" xfId="4" applyNumberFormat="1" applyFont="1" applyFill="1" applyBorder="1" applyAlignment="1" applyProtection="1"/>
    <xf numFmtId="168" fontId="5" fillId="2" borderId="7" xfId="4" applyNumberFormat="1" applyFont="1" applyFill="1" applyBorder="1" applyProtection="1"/>
    <xf numFmtId="3" fontId="5" fillId="2" borderId="2" xfId="4" applyNumberFormat="1" applyFont="1" applyFill="1" applyBorder="1" applyAlignment="1" applyProtection="1"/>
    <xf numFmtId="0" fontId="5" fillId="2" borderId="9" xfId="0" applyFont="1" applyFill="1" applyBorder="1" applyAlignment="1" applyProtection="1">
      <alignment horizontal="left" indent="1"/>
    </xf>
    <xf numFmtId="168" fontId="5" fillId="2" borderId="7" xfId="0" applyNumberFormat="1" applyFont="1" applyFill="1" applyBorder="1" applyProtection="1"/>
    <xf numFmtId="0" fontId="9" fillId="5" borderId="0" xfId="0" applyFont="1" applyFill="1" applyBorder="1" applyAlignment="1" applyProtection="1">
      <alignment horizontal="right"/>
    </xf>
    <xf numFmtId="0" fontId="11" fillId="0" borderId="0" xfId="0" applyFont="1" applyFill="1" applyProtection="1"/>
    <xf numFmtId="3" fontId="5" fillId="0" borderId="0" xfId="0" applyNumberFormat="1" applyFont="1" applyFill="1" applyBorder="1" applyAlignment="1" applyProtection="1">
      <alignment horizontal="center"/>
    </xf>
    <xf numFmtId="3" fontId="6" fillId="2" borderId="2" xfId="0" applyNumberFormat="1" applyFont="1" applyFill="1" applyBorder="1" applyAlignment="1" applyProtection="1">
      <alignment horizontal="right"/>
    </xf>
    <xf numFmtId="4" fontId="5" fillId="2" borderId="2" xfId="0" applyNumberFormat="1" applyFont="1" applyFill="1" applyBorder="1" applyAlignment="1" applyProtection="1">
      <alignment horizontal="right" vertical="center"/>
    </xf>
    <xf numFmtId="0" fontId="6" fillId="2" borderId="26" xfId="0" applyFont="1" applyFill="1" applyBorder="1" applyAlignment="1" applyProtection="1">
      <alignment horizontal="center"/>
    </xf>
    <xf numFmtId="0" fontId="6" fillId="2" borderId="27" xfId="0" applyFont="1" applyFill="1" applyBorder="1" applyAlignment="1" applyProtection="1">
      <alignment horizontal="center"/>
    </xf>
    <xf numFmtId="0" fontId="6" fillId="2" borderId="28" xfId="0" applyFont="1" applyFill="1" applyBorder="1" applyAlignment="1" applyProtection="1">
      <alignment horizontal="center"/>
    </xf>
    <xf numFmtId="3" fontId="5" fillId="2" borderId="29" xfId="6" applyNumberFormat="1" applyFont="1" applyFill="1" applyBorder="1" applyAlignment="1" applyProtection="1">
      <alignment horizontal="right" vertical="center"/>
    </xf>
    <xf numFmtId="9" fontId="5" fillId="2" borderId="29" xfId="6" applyFont="1" applyFill="1" applyBorder="1" applyAlignment="1" applyProtection="1">
      <alignment horizontal="right" vertical="center"/>
    </xf>
    <xf numFmtId="9" fontId="5" fillId="2" borderId="30" xfId="6" applyFont="1" applyFill="1" applyBorder="1" applyAlignment="1" applyProtection="1">
      <alignment horizontal="right" vertical="center"/>
    </xf>
    <xf numFmtId="9" fontId="5" fillId="2" borderId="31" xfId="6" applyFont="1" applyFill="1" applyBorder="1" applyAlignment="1" applyProtection="1">
      <alignment horizontal="right" vertical="center"/>
    </xf>
    <xf numFmtId="4" fontId="5" fillId="2" borderId="29" xfId="0" applyNumberFormat="1" applyFont="1" applyFill="1" applyBorder="1" applyAlignment="1" applyProtection="1">
      <alignment horizontal="right" vertical="center"/>
    </xf>
    <xf numFmtId="4" fontId="5" fillId="2" borderId="30" xfId="0" applyNumberFormat="1" applyFont="1" applyFill="1" applyBorder="1" applyAlignment="1" applyProtection="1">
      <alignment horizontal="right" vertical="center"/>
    </xf>
    <xf numFmtId="4" fontId="5" fillId="2" borderId="31" xfId="0" applyNumberFormat="1" applyFont="1" applyFill="1" applyBorder="1" applyAlignment="1" applyProtection="1">
      <alignment horizontal="right" vertical="center"/>
    </xf>
    <xf numFmtId="0" fontId="6" fillId="2" borderId="32" xfId="0" applyFont="1" applyFill="1" applyBorder="1" applyAlignment="1" applyProtection="1">
      <alignment horizontal="center"/>
    </xf>
    <xf numFmtId="0" fontId="6" fillId="2" borderId="33" xfId="0" applyFont="1" applyFill="1" applyBorder="1" applyAlignment="1" applyProtection="1">
      <alignment horizontal="center"/>
    </xf>
    <xf numFmtId="9" fontId="5" fillId="2" borderId="34" xfId="6" applyFont="1" applyFill="1" applyBorder="1" applyAlignment="1" applyProtection="1">
      <alignment horizontal="right" vertical="center"/>
    </xf>
    <xf numFmtId="9" fontId="5" fillId="2" borderId="35" xfId="6" applyFont="1" applyFill="1" applyBorder="1" applyAlignment="1" applyProtection="1">
      <alignment horizontal="right" vertical="center"/>
    </xf>
    <xf numFmtId="9" fontId="5" fillId="2" borderId="36" xfId="6" applyFont="1" applyFill="1" applyBorder="1" applyAlignment="1" applyProtection="1">
      <alignment horizontal="right" vertical="center"/>
    </xf>
    <xf numFmtId="0" fontId="5" fillId="2" borderId="37" xfId="0" applyFont="1" applyFill="1" applyBorder="1" applyAlignment="1" applyProtection="1">
      <alignment horizontal="left"/>
    </xf>
    <xf numFmtId="0" fontId="5" fillId="0" borderId="2" xfId="0" applyNumberFormat="1" applyFont="1" applyFill="1" applyBorder="1" applyProtection="1"/>
    <xf numFmtId="168" fontId="6" fillId="2" borderId="18" xfId="0" applyNumberFormat="1" applyFont="1" applyFill="1" applyBorder="1" applyAlignment="1" applyProtection="1">
      <alignment vertical="center"/>
    </xf>
    <xf numFmtId="0" fontId="5" fillId="0" borderId="0" xfId="0" applyFont="1" applyFill="1" applyAlignment="1" applyProtection="1"/>
    <xf numFmtId="0" fontId="6" fillId="2" borderId="2" xfId="0" applyNumberFormat="1" applyFont="1" applyFill="1" applyBorder="1" applyAlignment="1" applyProtection="1">
      <alignment horizontal="center"/>
    </xf>
    <xf numFmtId="9" fontId="14" fillId="2" borderId="2" xfId="0" applyNumberFormat="1" applyFont="1" applyFill="1" applyBorder="1" applyProtection="1"/>
    <xf numFmtId="4" fontId="14" fillId="0" borderId="2" xfId="0" applyNumberFormat="1" applyFont="1" applyFill="1" applyBorder="1" applyProtection="1">
      <protection locked="0"/>
    </xf>
    <xf numFmtId="4" fontId="5" fillId="0" borderId="2" xfId="0" applyNumberFormat="1" applyFont="1" applyFill="1" applyBorder="1" applyAlignment="1" applyProtection="1">
      <alignment vertical="center"/>
    </xf>
    <xf numFmtId="4" fontId="14" fillId="2" borderId="2" xfId="6" applyNumberFormat="1" applyFont="1" applyFill="1" applyBorder="1" applyAlignment="1" applyProtection="1">
      <alignment horizontal="center" vertical="center"/>
    </xf>
    <xf numFmtId="4" fontId="6" fillId="2" borderId="8" xfId="0" applyNumberFormat="1" applyFont="1" applyFill="1" applyBorder="1" applyAlignment="1" applyProtection="1"/>
    <xf numFmtId="4" fontId="5" fillId="0" borderId="0" xfId="0" applyNumberFormat="1" applyFont="1" applyFill="1" applyProtection="1"/>
    <xf numFmtId="4" fontId="6" fillId="2" borderId="18" xfId="0" applyNumberFormat="1" applyFont="1" applyFill="1" applyBorder="1" applyAlignment="1" applyProtection="1">
      <alignment vertical="center"/>
    </xf>
    <xf numFmtId="4" fontId="5" fillId="2" borderId="8" xfId="0" applyNumberFormat="1" applyFont="1" applyFill="1" applyBorder="1" applyAlignment="1" applyProtection="1">
      <alignment vertical="center"/>
    </xf>
    <xf numFmtId="4" fontId="6" fillId="2" borderId="8" xfId="0" applyNumberFormat="1" applyFont="1" applyFill="1" applyBorder="1" applyAlignment="1" applyProtection="1">
      <alignment vertical="center"/>
    </xf>
    <xf numFmtId="0" fontId="6" fillId="2" borderId="12" xfId="0" applyFont="1" applyFill="1" applyBorder="1" applyAlignment="1" applyProtection="1">
      <alignment horizontal="left"/>
    </xf>
    <xf numFmtId="0" fontId="6" fillId="2" borderId="17" xfId="0" applyFont="1" applyFill="1" applyBorder="1" applyProtection="1"/>
    <xf numFmtId="171" fontId="5" fillId="7" borderId="2" xfId="0" applyNumberFormat="1" applyFont="1" applyFill="1" applyBorder="1" applyAlignment="1" applyProtection="1">
      <alignment horizontal="right"/>
    </xf>
    <xf numFmtId="171" fontId="6" fillId="7" borderId="2" xfId="0" applyNumberFormat="1" applyFont="1" applyFill="1" applyBorder="1" applyAlignment="1" applyProtection="1">
      <alignment horizontal="right"/>
    </xf>
    <xf numFmtId="171" fontId="6" fillId="7" borderId="22" xfId="0" applyNumberFormat="1" applyFont="1" applyFill="1" applyBorder="1" applyAlignment="1" applyProtection="1">
      <alignment horizontal="right"/>
    </xf>
    <xf numFmtId="0" fontId="6" fillId="2" borderId="2" xfId="0" applyFont="1" applyFill="1" applyBorder="1" applyAlignment="1" applyProtection="1">
      <alignment horizontal="right" vertical="center" wrapText="1"/>
    </xf>
    <xf numFmtId="168" fontId="6" fillId="2" borderId="2" xfId="0" applyNumberFormat="1" applyFont="1" applyFill="1" applyBorder="1" applyAlignment="1" applyProtection="1">
      <alignment horizontal="right" vertical="center"/>
    </xf>
    <xf numFmtId="168" fontId="5" fillId="0" borderId="2" xfId="0" applyNumberFormat="1" applyFont="1" applyFill="1" applyBorder="1" applyAlignment="1" applyProtection="1">
      <alignment horizontal="right" vertical="center"/>
      <protection locked="0"/>
    </xf>
    <xf numFmtId="168" fontId="6" fillId="2" borderId="8" xfId="0" applyNumberFormat="1" applyFont="1" applyFill="1" applyBorder="1" applyAlignment="1" applyProtection="1">
      <alignment horizontal="right"/>
    </xf>
    <xf numFmtId="0" fontId="39" fillId="8" borderId="0" xfId="0" applyFont="1" applyFill="1" applyBorder="1"/>
    <xf numFmtId="0" fontId="40" fillId="8" borderId="0" xfId="0" applyFont="1" applyFill="1" applyBorder="1" applyAlignment="1">
      <alignment horizontal="left"/>
    </xf>
    <xf numFmtId="0" fontId="40" fillId="8" borderId="0" xfId="0" applyFont="1" applyFill="1" applyBorder="1" applyAlignment="1">
      <alignment horizontal="center"/>
    </xf>
    <xf numFmtId="0" fontId="6" fillId="0" borderId="47" xfId="0" applyFont="1" applyFill="1" applyBorder="1" applyAlignment="1" applyProtection="1">
      <alignment horizontal="center"/>
    </xf>
    <xf numFmtId="1" fontId="5" fillId="0" borderId="47" xfId="0" applyNumberFormat="1" applyFont="1" applyFill="1" applyBorder="1" applyAlignment="1" applyProtection="1">
      <alignment horizontal="right" vertical="center"/>
      <protection locked="0"/>
    </xf>
    <xf numFmtId="3" fontId="5" fillId="0" borderId="47" xfId="0" applyNumberFormat="1" applyFont="1" applyFill="1" applyBorder="1" applyAlignment="1" applyProtection="1">
      <alignment horizontal="right" vertical="center"/>
      <protection locked="0"/>
    </xf>
    <xf numFmtId="1" fontId="6" fillId="0" borderId="47" xfId="0" applyNumberFormat="1" applyFont="1" applyFill="1" applyBorder="1" applyAlignment="1" applyProtection="1">
      <alignment horizontal="center"/>
    </xf>
    <xf numFmtId="0" fontId="6" fillId="0" borderId="47" xfId="0" applyFont="1" applyFill="1" applyBorder="1" applyAlignment="1" applyProtection="1">
      <alignment horizontal="left"/>
    </xf>
    <xf numFmtId="0" fontId="6" fillId="0" borderId="47" xfId="0" applyFont="1" applyFill="1" applyBorder="1" applyAlignment="1" applyProtection="1">
      <alignment horizontal="center" wrapText="1"/>
    </xf>
    <xf numFmtId="0" fontId="5" fillId="0" borderId="47" xfId="0" applyFont="1" applyFill="1" applyBorder="1" applyAlignment="1" applyProtection="1">
      <alignment horizontal="left"/>
    </xf>
    <xf numFmtId="0" fontId="5" fillId="0" borderId="47" xfId="0" applyFont="1" applyFill="1" applyBorder="1" applyAlignment="1" applyProtection="1">
      <alignment horizontal="right"/>
    </xf>
    <xf numFmtId="0" fontId="6" fillId="0" borderId="48" xfId="0" applyFont="1" applyFill="1" applyBorder="1" applyAlignment="1" applyProtection="1">
      <alignment horizontal="center"/>
    </xf>
    <xf numFmtId="1" fontId="5" fillId="0" borderId="47" xfId="0" applyNumberFormat="1" applyFont="1" applyFill="1" applyBorder="1" applyAlignment="1" applyProtection="1">
      <alignment horizontal="right" vertical="center"/>
    </xf>
    <xf numFmtId="2" fontId="5" fillId="0" borderId="47" xfId="0" applyNumberFormat="1" applyFont="1" applyFill="1" applyBorder="1" applyAlignment="1" applyProtection="1">
      <alignment horizontal="left"/>
    </xf>
    <xf numFmtId="2" fontId="5" fillId="0" borderId="47" xfId="0" applyNumberFormat="1" applyFont="1" applyFill="1" applyBorder="1" applyAlignment="1" applyProtection="1">
      <alignment horizontal="right" vertical="center"/>
    </xf>
    <xf numFmtId="0" fontId="23" fillId="0" borderId="0" xfId="3" applyFont="1" applyFill="1" applyBorder="1" applyAlignment="1" applyProtection="1">
      <alignment horizontal="left" wrapText="1"/>
      <protection hidden="1"/>
    </xf>
    <xf numFmtId="0" fontId="30" fillId="0" borderId="38" xfId="3" applyFont="1" applyFill="1" applyBorder="1" applyAlignment="1" applyProtection="1">
      <alignment horizontal="center"/>
      <protection hidden="1"/>
    </xf>
    <xf numFmtId="0" fontId="23" fillId="0" borderId="0" xfId="3" applyFont="1" applyFill="1" applyBorder="1" applyAlignment="1" applyProtection="1">
      <alignment horizontal="left"/>
      <protection hidden="1"/>
    </xf>
    <xf numFmtId="0" fontId="29" fillId="0" borderId="0" xfId="3" applyFont="1" applyFill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left" vertical="center" wrapText="1"/>
      <protection hidden="1"/>
    </xf>
    <xf numFmtId="0" fontId="30" fillId="0" borderId="38" xfId="0" applyFont="1" applyFill="1" applyBorder="1" applyAlignment="1" applyProtection="1">
      <alignment horizontal="center"/>
      <protection hidden="1"/>
    </xf>
    <xf numFmtId="9" fontId="14" fillId="0" borderId="9" xfId="6" applyFont="1" applyFill="1" applyBorder="1" applyAlignment="1" applyProtection="1">
      <alignment horizontal="left" vertical="center" indent="1"/>
      <protection hidden="1"/>
    </xf>
    <xf numFmtId="9" fontId="14" fillId="0" borderId="13" xfId="6" applyFont="1" applyFill="1" applyBorder="1" applyAlignment="1" applyProtection="1">
      <alignment horizontal="left" vertical="center" indent="1"/>
      <protection hidden="1"/>
    </xf>
    <xf numFmtId="9" fontId="14" fillId="0" borderId="14" xfId="6" applyFont="1" applyFill="1" applyBorder="1" applyAlignment="1" applyProtection="1">
      <alignment horizontal="left" vertical="center" indent="1"/>
      <protection hidden="1"/>
    </xf>
    <xf numFmtId="9" fontId="14" fillId="0" borderId="5" xfId="6" applyFont="1" applyFill="1" applyBorder="1" applyAlignment="1" applyProtection="1">
      <alignment horizontal="left" vertical="center" indent="1"/>
      <protection hidden="1"/>
    </xf>
    <xf numFmtId="9" fontId="14" fillId="0" borderId="0" xfId="6" applyFont="1" applyFill="1" applyBorder="1" applyAlignment="1" applyProtection="1">
      <alignment horizontal="left" vertical="center" indent="1"/>
      <protection hidden="1"/>
    </xf>
    <xf numFmtId="9" fontId="14" fillId="0" borderId="6" xfId="6" applyFont="1" applyFill="1" applyBorder="1" applyAlignment="1" applyProtection="1">
      <alignment horizontal="left" vertical="center" indent="1"/>
      <protection hidden="1"/>
    </xf>
    <xf numFmtId="9" fontId="14" fillId="0" borderId="17" xfId="6" quotePrefix="1" applyFont="1" applyFill="1" applyBorder="1" applyAlignment="1" applyProtection="1">
      <alignment horizontal="left" vertical="center" indent="1"/>
      <protection hidden="1"/>
    </xf>
    <xf numFmtId="9" fontId="14" fillId="0" borderId="15" xfId="6" quotePrefix="1" applyFont="1" applyFill="1" applyBorder="1" applyAlignment="1" applyProtection="1">
      <alignment horizontal="left" vertical="center" indent="1"/>
      <protection hidden="1"/>
    </xf>
    <xf numFmtId="9" fontId="14" fillId="0" borderId="20" xfId="6" quotePrefix="1" applyFont="1" applyFill="1" applyBorder="1" applyAlignment="1" applyProtection="1">
      <alignment horizontal="left" vertical="center" indent="1"/>
      <protection hidden="1"/>
    </xf>
    <xf numFmtId="0" fontId="29" fillId="0" borderId="0" xfId="0" applyFont="1" applyFill="1" applyAlignment="1" applyProtection="1">
      <alignment horizontal="center"/>
      <protection hidden="1"/>
    </xf>
    <xf numFmtId="0" fontId="11" fillId="2" borderId="2" xfId="0" applyFont="1" applyFill="1" applyBorder="1" applyAlignment="1" applyProtection="1">
      <alignment horizontal="left"/>
    </xf>
    <xf numFmtId="0" fontId="6" fillId="0" borderId="3" xfId="0" applyFont="1" applyFill="1" applyBorder="1" applyAlignment="1" applyProtection="1">
      <alignment horizontal="left"/>
      <protection locked="0"/>
    </xf>
    <xf numFmtId="0" fontId="6" fillId="0" borderId="4" xfId="0" applyFont="1" applyFill="1" applyBorder="1" applyAlignment="1" applyProtection="1">
      <alignment horizontal="left"/>
      <protection locked="0"/>
    </xf>
    <xf numFmtId="0" fontId="11" fillId="2" borderId="2" xfId="0" applyFont="1" applyFill="1" applyBorder="1" applyAlignment="1" applyProtection="1">
      <alignment horizontal="center"/>
    </xf>
    <xf numFmtId="0" fontId="11" fillId="2" borderId="8" xfId="0" applyFont="1" applyFill="1" applyBorder="1" applyAlignment="1" applyProtection="1">
      <alignment horizontal="center"/>
    </xf>
    <xf numFmtId="0" fontId="11" fillId="2" borderId="8" xfId="0" applyFont="1" applyFill="1" applyBorder="1" applyAlignment="1" applyProtection="1">
      <alignment horizontal="left"/>
    </xf>
    <xf numFmtId="0" fontId="30" fillId="0" borderId="38" xfId="0" applyFont="1" applyFill="1" applyBorder="1" applyAlignment="1" applyProtection="1">
      <alignment horizontal="center"/>
    </xf>
    <xf numFmtId="0" fontId="11" fillId="2" borderId="11" xfId="0" applyFont="1" applyFill="1" applyBorder="1" applyAlignment="1" applyProtection="1">
      <alignment horizontal="center"/>
    </xf>
    <xf numFmtId="0" fontId="11" fillId="2" borderId="18" xfId="0" applyFont="1" applyFill="1" applyBorder="1" applyAlignment="1" applyProtection="1">
      <alignment horizontal="center"/>
    </xf>
    <xf numFmtId="0" fontId="11" fillId="2" borderId="3" xfId="0" applyFont="1" applyFill="1" applyBorder="1" applyAlignment="1" applyProtection="1">
      <alignment horizontal="center"/>
    </xf>
    <xf numFmtId="0" fontId="11" fillId="2" borderId="4" xfId="0" applyFont="1" applyFill="1" applyBorder="1" applyAlignment="1" applyProtection="1">
      <alignment horizontal="center"/>
    </xf>
    <xf numFmtId="0" fontId="6" fillId="2" borderId="2" xfId="0" applyFont="1" applyFill="1" applyBorder="1" applyAlignment="1" applyProtection="1">
      <alignment horizontal="center"/>
    </xf>
    <xf numFmtId="168" fontId="6" fillId="2" borderId="11" xfId="0" applyNumberFormat="1" applyFont="1" applyFill="1" applyBorder="1" applyAlignment="1" applyProtection="1">
      <alignment horizontal="left" vertical="center" indent="5"/>
    </xf>
    <xf numFmtId="168" fontId="6" fillId="2" borderId="16" xfId="0" applyNumberFormat="1" applyFont="1" applyFill="1" applyBorder="1" applyAlignment="1" applyProtection="1">
      <alignment horizontal="left" vertical="center" indent="5"/>
    </xf>
    <xf numFmtId="168" fontId="6" fillId="2" borderId="8" xfId="0" applyNumberFormat="1" applyFont="1" applyFill="1" applyBorder="1" applyAlignment="1" applyProtection="1">
      <alignment horizontal="left" vertical="center" indent="5"/>
    </xf>
    <xf numFmtId="0" fontId="6" fillId="2" borderId="11" xfId="0" applyFont="1" applyFill="1" applyBorder="1" applyAlignment="1" applyProtection="1">
      <alignment horizontal="center"/>
    </xf>
    <xf numFmtId="0" fontId="6" fillId="2" borderId="16" xfId="0" applyFont="1" applyFill="1" applyBorder="1" applyAlignment="1" applyProtection="1">
      <alignment horizontal="center"/>
    </xf>
    <xf numFmtId="0" fontId="6" fillId="2" borderId="18" xfId="0" applyFont="1" applyFill="1" applyBorder="1" applyAlignment="1" applyProtection="1">
      <alignment horizontal="center"/>
    </xf>
    <xf numFmtId="0" fontId="6" fillId="2" borderId="8" xfId="0" applyFont="1" applyFill="1" applyBorder="1" applyAlignment="1" applyProtection="1">
      <alignment horizontal="left" indent="5"/>
    </xf>
    <xf numFmtId="0" fontId="17" fillId="2" borderId="3" xfId="0" applyFont="1" applyFill="1" applyBorder="1" applyAlignment="1" applyProtection="1">
      <alignment horizontal="center"/>
    </xf>
    <xf numFmtId="0" fontId="17" fillId="2" borderId="12" xfId="0" applyFont="1" applyFill="1" applyBorder="1" applyAlignment="1" applyProtection="1">
      <alignment horizontal="center"/>
    </xf>
    <xf numFmtId="0" fontId="17" fillId="2" borderId="4" xfId="0" applyFont="1" applyFill="1" applyBorder="1" applyAlignment="1" applyProtection="1">
      <alignment horizontal="center"/>
    </xf>
    <xf numFmtId="0" fontId="12" fillId="2" borderId="3" xfId="0" applyFont="1" applyFill="1" applyBorder="1" applyAlignment="1" applyProtection="1">
      <alignment horizontal="center"/>
    </xf>
    <xf numFmtId="0" fontId="12" fillId="2" borderId="12" xfId="0" applyFont="1" applyFill="1" applyBorder="1" applyAlignment="1" applyProtection="1">
      <alignment horizontal="center"/>
    </xf>
    <xf numFmtId="0" fontId="12" fillId="2" borderId="4" xfId="0" applyFont="1" applyFill="1" applyBorder="1" applyAlignment="1" applyProtection="1">
      <alignment horizontal="center"/>
    </xf>
    <xf numFmtId="168" fontId="6" fillId="2" borderId="11" xfId="0" applyNumberFormat="1" applyFont="1" applyFill="1" applyBorder="1" applyAlignment="1" applyProtection="1">
      <alignment horizontal="center" vertical="center"/>
    </xf>
    <xf numFmtId="168" fontId="6" fillId="2" borderId="16" xfId="0" applyNumberFormat="1" applyFont="1" applyFill="1" applyBorder="1" applyAlignment="1" applyProtection="1">
      <alignment horizontal="center" vertical="center"/>
    </xf>
    <xf numFmtId="168" fontId="6" fillId="2" borderId="18" xfId="0" applyNumberFormat="1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/>
    </xf>
    <xf numFmtId="0" fontId="6" fillId="2" borderId="12" xfId="0" applyFont="1" applyFill="1" applyBorder="1" applyAlignment="1" applyProtection="1">
      <alignment horizontal="center"/>
    </xf>
    <xf numFmtId="0" fontId="5" fillId="0" borderId="3" xfId="0" applyFont="1" applyFill="1" applyBorder="1" applyAlignment="1" applyProtection="1">
      <alignment horizontal="left"/>
      <protection locked="0"/>
    </xf>
    <xf numFmtId="0" fontId="5" fillId="0" borderId="4" xfId="0" applyFont="1" applyFill="1" applyBorder="1" applyAlignment="1" applyProtection="1">
      <alignment horizontal="left"/>
      <protection locked="0"/>
    </xf>
    <xf numFmtId="168" fontId="6" fillId="2" borderId="3" xfId="4" applyNumberFormat="1" applyFont="1" applyFill="1" applyBorder="1" applyAlignment="1" applyProtection="1">
      <alignment horizontal="center" vertical="center"/>
    </xf>
    <xf numFmtId="168" fontId="6" fillId="2" borderId="4" xfId="4" applyNumberFormat="1" applyFont="1" applyFill="1" applyBorder="1" applyAlignment="1" applyProtection="1">
      <alignment horizontal="center" vertical="center"/>
    </xf>
    <xf numFmtId="0" fontId="6" fillId="2" borderId="3" xfId="4" applyFont="1" applyFill="1" applyBorder="1" applyAlignment="1" applyProtection="1">
      <alignment horizontal="center"/>
    </xf>
    <xf numFmtId="0" fontId="6" fillId="2" borderId="4" xfId="4" applyFont="1" applyFill="1" applyBorder="1" applyAlignment="1" applyProtection="1">
      <alignment horizontal="center"/>
    </xf>
    <xf numFmtId="168" fontId="6" fillId="2" borderId="3" xfId="4" applyNumberFormat="1" applyFont="1" applyFill="1" applyBorder="1" applyAlignment="1" applyProtection="1">
      <alignment horizontal="left" vertical="center"/>
    </xf>
    <xf numFmtId="168" fontId="6" fillId="2" borderId="4" xfId="4" applyNumberFormat="1" applyFont="1" applyFill="1" applyBorder="1" applyAlignment="1" applyProtection="1">
      <alignment horizontal="left" vertical="center"/>
    </xf>
    <xf numFmtId="0" fontId="11" fillId="2" borderId="2" xfId="4" applyFont="1" applyFill="1" applyBorder="1" applyAlignment="1" applyProtection="1">
      <alignment horizontal="center"/>
    </xf>
    <xf numFmtId="0" fontId="6" fillId="2" borderId="39" xfId="4" applyFont="1" applyFill="1" applyBorder="1" applyAlignment="1" applyProtection="1">
      <alignment horizontal="center"/>
    </xf>
    <xf numFmtId="0" fontId="6" fillId="2" borderId="40" xfId="4" applyFont="1" applyFill="1" applyBorder="1" applyAlignment="1" applyProtection="1">
      <alignment horizontal="center"/>
    </xf>
    <xf numFmtId="0" fontId="6" fillId="2" borderId="41" xfId="4" applyFont="1" applyFill="1" applyBorder="1" applyAlignment="1" applyProtection="1">
      <alignment horizontal="center"/>
    </xf>
    <xf numFmtId="168" fontId="6" fillId="2" borderId="8" xfId="4" applyNumberFormat="1" applyFont="1" applyFill="1" applyBorder="1" applyAlignment="1" applyProtection="1">
      <alignment horizontal="left" vertical="center"/>
    </xf>
    <xf numFmtId="0" fontId="5" fillId="2" borderId="45" xfId="0" applyFont="1" applyFill="1" applyBorder="1" applyAlignment="1" applyProtection="1">
      <alignment horizontal="left"/>
    </xf>
    <xf numFmtId="0" fontId="5" fillId="2" borderId="46" xfId="0" applyFont="1" applyFill="1" applyBorder="1" applyAlignment="1" applyProtection="1">
      <alignment horizontal="left"/>
    </xf>
    <xf numFmtId="0" fontId="6" fillId="2" borderId="42" xfId="0" applyFont="1" applyFill="1" applyBorder="1" applyAlignment="1" applyProtection="1">
      <alignment horizontal="left" vertical="top" wrapText="1"/>
    </xf>
    <xf numFmtId="0" fontId="6" fillId="2" borderId="43" xfId="0" applyFont="1" applyFill="1" applyBorder="1" applyAlignment="1" applyProtection="1">
      <alignment horizontal="left" vertical="top" wrapText="1"/>
    </xf>
    <xf numFmtId="0" fontId="6" fillId="2" borderId="42" xfId="0" applyFont="1" applyFill="1" applyBorder="1" applyAlignment="1" applyProtection="1">
      <alignment horizontal="center" vertical="top" wrapText="1"/>
    </xf>
    <xf numFmtId="0" fontId="6" fillId="2" borderId="43" xfId="0" applyFont="1" applyFill="1" applyBorder="1" applyAlignment="1" applyProtection="1">
      <alignment horizontal="center" vertical="top" wrapText="1"/>
    </xf>
    <xf numFmtId="0" fontId="6" fillId="2" borderId="44" xfId="0" applyFont="1" applyFill="1" applyBorder="1" applyAlignment="1" applyProtection="1">
      <alignment horizontal="center" vertical="top" wrapText="1"/>
    </xf>
    <xf numFmtId="0" fontId="6" fillId="2" borderId="14" xfId="0" applyFont="1" applyFill="1" applyBorder="1" applyAlignment="1" applyProtection="1">
      <alignment horizontal="center" vertical="top" wrapText="1"/>
    </xf>
    <xf numFmtId="0" fontId="6" fillId="2" borderId="5" xfId="0" applyFont="1" applyFill="1" applyBorder="1" applyAlignment="1" applyProtection="1">
      <alignment horizontal="center"/>
    </xf>
    <xf numFmtId="0" fontId="6" fillId="2" borderId="6" xfId="0" applyFont="1" applyFill="1" applyBorder="1" applyAlignment="1" applyProtection="1">
      <alignment horizontal="center"/>
    </xf>
    <xf numFmtId="0" fontId="6" fillId="2" borderId="4" xfId="0" applyFont="1" applyFill="1" applyBorder="1" applyAlignment="1" applyProtection="1">
      <alignment horizontal="center"/>
    </xf>
    <xf numFmtId="0" fontId="6" fillId="2" borderId="9" xfId="0" applyFont="1" applyFill="1" applyBorder="1" applyAlignment="1" applyProtection="1">
      <alignment horizontal="center"/>
    </xf>
    <xf numFmtId="0" fontId="6" fillId="2" borderId="14" xfId="0" applyFont="1" applyFill="1" applyBorder="1" applyAlignment="1" applyProtection="1">
      <alignment horizontal="center"/>
    </xf>
    <xf numFmtId="0" fontId="16" fillId="2" borderId="3" xfId="0" applyFont="1" applyFill="1" applyBorder="1" applyAlignment="1" applyProtection="1">
      <alignment horizontal="center"/>
    </xf>
    <xf numFmtId="0" fontId="16" fillId="2" borderId="4" xfId="0" applyFont="1" applyFill="1" applyBorder="1" applyAlignment="1" applyProtection="1">
      <alignment horizontal="center"/>
    </xf>
    <xf numFmtId="0" fontId="11" fillId="0" borderId="38" xfId="0" applyFont="1" applyFill="1" applyBorder="1" applyAlignment="1" applyProtection="1">
      <alignment horizontal="center"/>
    </xf>
    <xf numFmtId="0" fontId="5" fillId="0" borderId="47" xfId="0" applyFont="1" applyFill="1" applyBorder="1" applyAlignment="1" applyProtection="1">
      <alignment horizontal="left"/>
    </xf>
    <xf numFmtId="0" fontId="6" fillId="0" borderId="47" xfId="0" applyFont="1" applyFill="1" applyBorder="1" applyAlignment="1" applyProtection="1">
      <alignment horizontal="left"/>
    </xf>
    <xf numFmtId="0" fontId="6" fillId="0" borderId="48" xfId="0" applyFont="1" applyFill="1" applyBorder="1" applyAlignment="1" applyProtection="1">
      <alignment horizontal="center"/>
    </xf>
    <xf numFmtId="0" fontId="6" fillId="0" borderId="47" xfId="0" applyFont="1" applyFill="1" applyBorder="1" applyAlignment="1" applyProtection="1">
      <alignment horizontal="left"/>
      <protection locked="0"/>
    </xf>
  </cellXfs>
  <cellStyles count="9">
    <cellStyle name="Moeda" xfId="1" builtinId="4"/>
    <cellStyle name="Normal" xfId="0" builtinId="0"/>
    <cellStyle name="Normal 2" xfId="2"/>
    <cellStyle name="Normal_Book1" xfId="3"/>
    <cellStyle name="Normal_ModeloEconFinanceiro" xfId="4"/>
    <cellStyle name="Normal_ModeloInzym" xfId="5"/>
    <cellStyle name="Percentagem" xfId="6" builtinId="5"/>
    <cellStyle name="Percentagem_ModeloInzym" xfId="7"/>
    <cellStyle name="Vírgula" xfId="8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DDDDD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47625</xdr:rowOff>
    </xdr:from>
    <xdr:to>
      <xdr:col>2</xdr:col>
      <xdr:colOff>733425</xdr:colOff>
      <xdr:row>3</xdr:row>
      <xdr:rowOff>9525</xdr:rowOff>
    </xdr:to>
    <xdr:pic>
      <xdr:nvPicPr>
        <xdr:cNvPr id="11407" name="Picture 3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670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12430" name="Picture 2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0</xdr:rowOff>
    </xdr:to>
    <xdr:pic>
      <xdr:nvPicPr>
        <xdr:cNvPr id="10467" name="Picture 5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0</xdr:rowOff>
    </xdr:to>
    <xdr:pic>
      <xdr:nvPicPr>
        <xdr:cNvPr id="13454" name="Picture 2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14478" name="Picture 2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15502" name="Picture 2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3752" name="Picture 540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1</xdr:row>
      <xdr:rowOff>47625</xdr:rowOff>
    </xdr:from>
    <xdr:to>
      <xdr:col>0</xdr:col>
      <xdr:colOff>1419225</xdr:colOff>
      <xdr:row>4</xdr:row>
      <xdr:rowOff>0</xdr:rowOff>
    </xdr:to>
    <xdr:pic>
      <xdr:nvPicPr>
        <xdr:cNvPr id="17550" name="Picture 2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" y="21907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7521" name="Picture 1237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23600" name="Picture 687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5947" name="Picture 687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18574" name="Picture 2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19738" name="Picture 2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295275</xdr:colOff>
      <xdr:row>31</xdr:row>
      <xdr:rowOff>57150</xdr:rowOff>
    </xdr:from>
    <xdr:to>
      <xdr:col>0</xdr:col>
      <xdr:colOff>1514475</xdr:colOff>
      <xdr:row>33</xdr:row>
      <xdr:rowOff>66675</xdr:rowOff>
    </xdr:to>
    <xdr:sp macro="[0]!Macro1" textlink="">
      <xdr:nvSpPr>
        <xdr:cNvPr id="19459" name="AutoShape 3"/>
        <xdr:cNvSpPr>
          <a:spLocks noChangeArrowheads="1"/>
        </xdr:cNvSpPr>
      </xdr:nvSpPr>
      <xdr:spPr bwMode="auto">
        <a:xfrm>
          <a:off x="295275" y="5143500"/>
          <a:ext cx="1219200" cy="333375"/>
        </a:xfrm>
        <a:prstGeom prst="flowChartProcess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PT" sz="1000" b="1" i="0" strike="noStrike">
              <a:solidFill>
                <a:srgbClr val="000000"/>
              </a:solidFill>
              <a:latin typeface="Arial Narrow"/>
            </a:rPr>
            <a:t>Acerto do modelo</a:t>
          </a:r>
        </a:p>
      </xdr:txBody>
    </xdr:sp>
    <xdr:clientData fLock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38100</xdr:rowOff>
    </xdr:to>
    <xdr:pic>
      <xdr:nvPicPr>
        <xdr:cNvPr id="4925" name="Picture 689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20623" name="Picture 2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1173" name="Picture 9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38100</xdr:rowOff>
    </xdr:to>
    <xdr:pic>
      <xdr:nvPicPr>
        <xdr:cNvPr id="22599" name="Picture 2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rf/Os%20meus%20documentos/PESS/MBA/ESTRED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rabalho/ClientesActivos/Collab/Or&#231;mto%202006%20v2/Or&#231;mto%202006%20v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ESTR"/>
      <sheetName val="Valor"/>
      <sheetName val="GRAF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elp Global"/>
      <sheetName val="HelpPessoal"/>
      <sheetName val="Painel"/>
      <sheetName val="Pessoal"/>
      <sheetName val="Projectos"/>
      <sheetName val="HelpCC"/>
      <sheetName val="HelpP"/>
      <sheetName val="HelpInf"/>
      <sheetName val="Novos Projectos"/>
      <sheetName val="OI's"/>
      <sheetName val="C_Exploração"/>
      <sheetName val="Indicadores"/>
      <sheetName val="Calc"/>
      <sheetName val="Tab_2"/>
      <sheetName val="Unidades"/>
      <sheetName val="All"/>
      <sheetName val="Tabe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lha1">
    <pageSetUpPr fitToPage="1"/>
  </sheetPr>
  <dimension ref="B1:C41"/>
  <sheetViews>
    <sheetView showGridLines="0" workbookViewId="0">
      <selection activeCell="C21" sqref="C21"/>
    </sheetView>
  </sheetViews>
  <sheetFormatPr defaultRowHeight="12.75"/>
  <cols>
    <col min="1" max="1" width="3.7109375" style="14" customWidth="1"/>
    <col min="2" max="2" width="9.140625" style="14"/>
    <col min="3" max="3" width="88.5703125" style="14" customWidth="1"/>
    <col min="4" max="16384" width="9.140625" style="14"/>
  </cols>
  <sheetData>
    <row r="1" spans="2:3" ht="13.5">
      <c r="B1" s="13"/>
      <c r="C1" s="13"/>
    </row>
    <row r="2" spans="2:3" ht="13.5">
      <c r="B2" s="13"/>
      <c r="C2" s="13"/>
    </row>
    <row r="3" spans="2:3" ht="13.5">
      <c r="B3" s="13"/>
      <c r="C3" s="13"/>
    </row>
    <row r="4" spans="2:3" ht="15.75">
      <c r="B4" s="441" t="s">
        <v>192</v>
      </c>
      <c r="C4" s="441"/>
    </row>
    <row r="5" spans="2:3" ht="13.5">
      <c r="B5" s="13"/>
      <c r="C5" s="13"/>
    </row>
    <row r="6" spans="2:3" ht="13.5">
      <c r="B6" s="13"/>
      <c r="C6" s="13"/>
    </row>
    <row r="7" spans="2:3" ht="29.25" customHeight="1">
      <c r="B7" s="443" t="s">
        <v>248</v>
      </c>
      <c r="C7" s="443"/>
    </row>
    <row r="8" spans="2:3" ht="29.25" customHeight="1">
      <c r="B8" s="443"/>
      <c r="C8" s="443"/>
    </row>
    <row r="9" spans="2:3" ht="29.25" customHeight="1">
      <c r="B9" s="443"/>
      <c r="C9" s="443"/>
    </row>
    <row r="10" spans="2:3" ht="13.5">
      <c r="B10" s="13"/>
      <c r="C10" s="13"/>
    </row>
    <row r="11" spans="2:3" ht="13.5">
      <c r="B11" s="15" t="s">
        <v>140</v>
      </c>
      <c r="C11" s="13"/>
    </row>
    <row r="12" spans="2:3" ht="13.5">
      <c r="B12" s="15"/>
      <c r="C12" s="13"/>
    </row>
    <row r="13" spans="2:3">
      <c r="B13" s="442" t="s">
        <v>139</v>
      </c>
      <c r="C13" s="442"/>
    </row>
    <row r="14" spans="2:3">
      <c r="B14" s="442" t="s">
        <v>191</v>
      </c>
      <c r="C14" s="442"/>
    </row>
    <row r="15" spans="2:3" ht="12.75" customHeight="1">
      <c r="B15" s="440" t="s">
        <v>176</v>
      </c>
      <c r="C15" s="440"/>
    </row>
    <row r="16" spans="2:3" ht="12.75" customHeight="1">
      <c r="B16" s="440" t="s">
        <v>170</v>
      </c>
      <c r="C16" s="440"/>
    </row>
    <row r="17" spans="2:3" ht="13.5">
      <c r="B17" s="16"/>
      <c r="C17" s="17"/>
    </row>
    <row r="18" spans="2:3" ht="13.5">
      <c r="B18" s="16"/>
      <c r="C18" s="17"/>
    </row>
    <row r="19" spans="2:3" ht="13.5">
      <c r="B19" s="10" t="s">
        <v>138</v>
      </c>
      <c r="C19" s="17"/>
    </row>
    <row r="20" spans="2:3" ht="13.5">
      <c r="B20" s="10"/>
      <c r="C20" s="17"/>
    </row>
    <row r="21" spans="2:3" ht="40.5" customHeight="1">
      <c r="B21" s="21">
        <v>1</v>
      </c>
      <c r="C21" s="18" t="s">
        <v>251</v>
      </c>
    </row>
    <row r="22" spans="2:3" ht="13.5">
      <c r="B22" s="10"/>
      <c r="C22" s="17"/>
    </row>
    <row r="23" spans="2:3" ht="40.5" customHeight="1">
      <c r="B23" s="21">
        <v>2</v>
      </c>
      <c r="C23" s="18" t="s">
        <v>220</v>
      </c>
    </row>
    <row r="24" spans="2:3" ht="13.5">
      <c r="B24" s="10"/>
      <c r="C24" s="17"/>
    </row>
    <row r="25" spans="2:3" ht="40.5" customHeight="1">
      <c r="B25" s="21">
        <v>3</v>
      </c>
      <c r="C25" s="18" t="s">
        <v>252</v>
      </c>
    </row>
    <row r="26" spans="2:3">
      <c r="B26" s="11"/>
      <c r="C26" s="11"/>
    </row>
    <row r="27" spans="2:3" ht="40.5" customHeight="1">
      <c r="B27" s="21">
        <v>4</v>
      </c>
      <c r="C27" s="18" t="s">
        <v>141</v>
      </c>
    </row>
    <row r="28" spans="2:3">
      <c r="B28" s="11"/>
      <c r="C28" s="11"/>
    </row>
    <row r="29" spans="2:3" ht="40.5" customHeight="1">
      <c r="B29" s="21">
        <v>5</v>
      </c>
      <c r="C29" s="19" t="s">
        <v>142</v>
      </c>
    </row>
    <row r="30" spans="2:3">
      <c r="B30" s="11"/>
      <c r="C30" s="11"/>
    </row>
    <row r="31" spans="2:3" ht="40.5" customHeight="1">
      <c r="B31" s="21">
        <v>6</v>
      </c>
      <c r="C31" s="18" t="s">
        <v>337</v>
      </c>
    </row>
    <row r="32" spans="2:3" ht="13.5">
      <c r="B32" s="12"/>
      <c r="C32" s="13"/>
    </row>
    <row r="33" spans="2:3" ht="40.5" customHeight="1">
      <c r="B33" s="21">
        <v>7</v>
      </c>
      <c r="C33" s="18" t="s">
        <v>143</v>
      </c>
    </row>
    <row r="34" spans="2:3" ht="13.5">
      <c r="B34" s="13"/>
      <c r="C34" s="13"/>
    </row>
    <row r="35" spans="2:3" ht="40.5" customHeight="1">
      <c r="B35" s="21">
        <v>8</v>
      </c>
      <c r="C35" s="20" t="s">
        <v>193</v>
      </c>
    </row>
    <row r="36" spans="2:3" ht="13.5">
      <c r="B36" s="13"/>
      <c r="C36" s="13"/>
    </row>
    <row r="37" spans="2:3" ht="40.5" customHeight="1">
      <c r="B37" s="21">
        <v>9</v>
      </c>
      <c r="C37" s="20" t="s">
        <v>253</v>
      </c>
    </row>
    <row r="38" spans="2:3" ht="13.5">
      <c r="B38" s="13"/>
      <c r="C38" s="13"/>
    </row>
    <row r="39" spans="2:3" ht="40.5" customHeight="1">
      <c r="B39" s="21">
        <v>10</v>
      </c>
      <c r="C39" s="20" t="s">
        <v>250</v>
      </c>
    </row>
    <row r="40" spans="2:3" ht="13.5">
      <c r="B40" s="13"/>
      <c r="C40" s="13"/>
    </row>
    <row r="41" spans="2:3" ht="25.5">
      <c r="B41" s="21" t="s">
        <v>408</v>
      </c>
      <c r="C41" s="20" t="s">
        <v>409</v>
      </c>
    </row>
  </sheetData>
  <sheetProtection password="8318" sheet="1" objects="1" scenarios="1"/>
  <mergeCells count="6">
    <mergeCell ref="B15:C15"/>
    <mergeCell ref="B16:C16"/>
    <mergeCell ref="B4:C4"/>
    <mergeCell ref="B13:C13"/>
    <mergeCell ref="B14:C14"/>
    <mergeCell ref="B7:C9"/>
  </mergeCells>
  <phoneticPr fontId="18" type="noConversion"/>
  <printOptions horizontalCentered="1"/>
  <pageMargins left="0.75" right="0.75" top="0.59055118110236227" bottom="0.59055118110236227" header="0.51181102362204722" footer="0.51181102362204722"/>
  <pageSetup paperSize="9" scale="94" orientation="portrait" r:id="rId1"/>
  <headerFooter alignWithMargins="0">
    <oddFooter>&amp;C&amp;"Arial,Normal"&amp;8IAPMEI&amp;R&amp;"Arial,Normal"&amp;8&amp;P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R58"/>
  <sheetViews>
    <sheetView showGridLines="0" workbookViewId="0">
      <selection activeCell="C22" sqref="C22"/>
    </sheetView>
  </sheetViews>
  <sheetFormatPr defaultColWidth="8.7109375" defaultRowHeight="12.75"/>
  <cols>
    <col min="1" max="1" width="34.28515625" style="22" bestFit="1" customWidth="1"/>
    <col min="2" max="3" width="15.7109375" style="22" customWidth="1"/>
    <col min="4" max="4" width="16.42578125" style="22" customWidth="1"/>
    <col min="5" max="5" width="13.7109375" style="22" customWidth="1"/>
    <col min="6" max="16384" width="8.7109375" style="22"/>
  </cols>
  <sheetData>
    <row r="1" spans="1:5" ht="13.5">
      <c r="A1" s="29"/>
      <c r="B1" s="30"/>
      <c r="C1" s="30"/>
      <c r="D1" s="49" t="s">
        <v>65</v>
      </c>
      <c r="E1" s="311" t="s">
        <v>419</v>
      </c>
    </row>
    <row r="2" spans="1:5">
      <c r="A2" s="5"/>
      <c r="B2" s="5"/>
      <c r="C2" s="5"/>
      <c r="D2" s="5"/>
      <c r="E2" s="5"/>
    </row>
    <row r="3" spans="1:5">
      <c r="A3" s="5"/>
      <c r="B3" s="5"/>
      <c r="C3" s="5"/>
      <c r="D3" s="5"/>
      <c r="E3" s="5"/>
    </row>
    <row r="4" spans="1:5" ht="15.75">
      <c r="A4" s="445" t="s">
        <v>10</v>
      </c>
      <c r="B4" s="445"/>
      <c r="C4" s="445"/>
      <c r="D4" s="445"/>
      <c r="E4" s="445"/>
    </row>
    <row r="5" spans="1:5">
      <c r="A5" s="5"/>
      <c r="B5" s="5"/>
      <c r="C5" s="5"/>
      <c r="D5" s="5"/>
      <c r="E5" s="1"/>
    </row>
    <row r="6" spans="1:5" ht="15.75">
      <c r="A6" s="455" t="s">
        <v>221</v>
      </c>
      <c r="B6" s="455"/>
      <c r="C6" s="455"/>
      <c r="D6" s="455"/>
      <c r="E6" s="455"/>
    </row>
    <row r="7" spans="1:5">
      <c r="A7" s="5"/>
      <c r="B7" s="5"/>
      <c r="C7" s="5"/>
      <c r="D7" s="5"/>
      <c r="E7" s="1"/>
    </row>
    <row r="8" spans="1:5">
      <c r="A8" s="5"/>
      <c r="B8" s="5"/>
      <c r="C8" s="31"/>
      <c r="D8" s="32"/>
      <c r="E8" s="33"/>
    </row>
    <row r="9" spans="1:5">
      <c r="A9" s="6" t="s">
        <v>56</v>
      </c>
      <c r="B9" s="71" t="s">
        <v>219</v>
      </c>
      <c r="C9" s="31"/>
      <c r="D9" s="32"/>
      <c r="E9" s="33"/>
    </row>
    <row r="10" spans="1:5">
      <c r="A10" s="2"/>
      <c r="B10" s="67"/>
      <c r="C10" s="31"/>
      <c r="D10" s="32"/>
      <c r="E10" s="33"/>
    </row>
    <row r="11" spans="1:5">
      <c r="A11" s="6" t="s">
        <v>268</v>
      </c>
      <c r="B11" s="34">
        <v>2011</v>
      </c>
      <c r="C11" s="31"/>
      <c r="D11" s="32"/>
      <c r="E11" s="33"/>
    </row>
    <row r="12" spans="1:5">
      <c r="A12" s="2"/>
      <c r="B12" s="67"/>
      <c r="C12" s="31"/>
      <c r="D12" s="32"/>
      <c r="E12" s="33"/>
    </row>
    <row r="13" spans="1:5">
      <c r="A13" s="6" t="s">
        <v>178</v>
      </c>
      <c r="B13" s="34">
        <v>90</v>
      </c>
      <c r="C13" s="35">
        <f>+B13/30</f>
        <v>3</v>
      </c>
      <c r="D13" s="32"/>
      <c r="E13" s="33"/>
    </row>
    <row r="14" spans="1:5">
      <c r="A14" s="6" t="s">
        <v>179</v>
      </c>
      <c r="B14" s="36">
        <v>90</v>
      </c>
      <c r="C14" s="35">
        <f>+B14/30</f>
        <v>3</v>
      </c>
      <c r="D14" s="32"/>
      <c r="E14" s="33"/>
    </row>
    <row r="15" spans="1:5">
      <c r="A15" s="6" t="s">
        <v>180</v>
      </c>
      <c r="B15" s="36">
        <v>15</v>
      </c>
      <c r="C15" s="35">
        <f>+B15/30</f>
        <v>0.5</v>
      </c>
      <c r="D15" s="32"/>
      <c r="E15" s="33"/>
    </row>
    <row r="16" spans="1:5">
      <c r="A16" s="2"/>
      <c r="B16" s="67"/>
      <c r="C16" s="31"/>
      <c r="D16" s="32"/>
      <c r="E16" s="33"/>
    </row>
    <row r="17" spans="1:5">
      <c r="A17" s="6" t="s">
        <v>182</v>
      </c>
      <c r="B17" s="37">
        <v>0.06</v>
      </c>
      <c r="C17" s="38"/>
      <c r="D17" s="39"/>
      <c r="E17" s="40"/>
    </row>
    <row r="18" spans="1:5">
      <c r="A18" s="6" t="s">
        <v>183</v>
      </c>
      <c r="B18" s="37"/>
      <c r="C18" s="38"/>
      <c r="D18" s="39"/>
      <c r="E18" s="40"/>
    </row>
    <row r="19" spans="1:5">
      <c r="A19" s="6" t="s">
        <v>109</v>
      </c>
      <c r="B19" s="37">
        <v>0.06</v>
      </c>
      <c r="C19" s="41"/>
      <c r="D19" s="39"/>
      <c r="E19" s="40"/>
    </row>
    <row r="20" spans="1:5">
      <c r="A20" s="6" t="s">
        <v>110</v>
      </c>
      <c r="B20" s="37">
        <v>0.23</v>
      </c>
      <c r="C20" s="42"/>
      <c r="D20" s="39"/>
      <c r="E20" s="40"/>
    </row>
    <row r="21" spans="1:5">
      <c r="A21" s="6" t="s">
        <v>254</v>
      </c>
      <c r="B21" s="37">
        <v>0.23</v>
      </c>
      <c r="C21" s="69"/>
      <c r="D21" s="39"/>
      <c r="E21" s="40"/>
    </row>
    <row r="22" spans="1:5">
      <c r="A22" s="2"/>
      <c r="B22" s="67"/>
      <c r="C22" s="31"/>
      <c r="D22" s="32"/>
      <c r="E22" s="33"/>
    </row>
    <row r="23" spans="1:5">
      <c r="A23" s="6" t="s">
        <v>382</v>
      </c>
      <c r="B23" s="43">
        <v>0.20300000000000001</v>
      </c>
      <c r="C23" s="31"/>
      <c r="D23" s="32"/>
      <c r="E23" s="33"/>
    </row>
    <row r="24" spans="1:5">
      <c r="A24" s="6" t="s">
        <v>383</v>
      </c>
      <c r="B24" s="43">
        <v>0.23749999999999999</v>
      </c>
      <c r="C24" s="31"/>
      <c r="D24" s="32"/>
      <c r="E24" s="33"/>
    </row>
    <row r="25" spans="1:5">
      <c r="A25" s="6" t="s">
        <v>384</v>
      </c>
      <c r="B25" s="43">
        <v>9.2999999999999999E-2</v>
      </c>
      <c r="C25" s="31"/>
      <c r="D25" s="32"/>
      <c r="E25" s="33"/>
    </row>
    <row r="26" spans="1:5">
      <c r="A26" s="6" t="s">
        <v>385</v>
      </c>
      <c r="B26" s="43">
        <v>0.11</v>
      </c>
      <c r="C26" s="31"/>
      <c r="D26" s="32"/>
      <c r="E26" s="33"/>
    </row>
    <row r="27" spans="1:5">
      <c r="A27" s="6" t="s">
        <v>88</v>
      </c>
      <c r="B27" s="43">
        <v>0.06</v>
      </c>
      <c r="C27" s="31"/>
      <c r="D27" s="32"/>
      <c r="E27" s="33"/>
    </row>
    <row r="28" spans="1:5" ht="13.5" customHeight="1">
      <c r="A28" s="6" t="s">
        <v>92</v>
      </c>
      <c r="B28" s="43">
        <v>0.25</v>
      </c>
      <c r="C28" s="31"/>
      <c r="D28" s="32"/>
      <c r="E28" s="33"/>
    </row>
    <row r="29" spans="1:5">
      <c r="A29" s="2"/>
      <c r="B29" s="67"/>
      <c r="C29" s="31"/>
      <c r="D29" s="32"/>
      <c r="E29" s="33"/>
    </row>
    <row r="30" spans="1:5">
      <c r="A30" s="6" t="s">
        <v>243</v>
      </c>
      <c r="B30" s="43">
        <v>2.1999999999999999E-2</v>
      </c>
      <c r="C30" s="31"/>
      <c r="D30" s="32"/>
      <c r="E30" s="33"/>
    </row>
    <row r="31" spans="1:5">
      <c r="A31" s="6" t="s">
        <v>146</v>
      </c>
      <c r="B31" s="43">
        <v>6.8000000000000005E-2</v>
      </c>
      <c r="C31" s="31"/>
      <c r="D31" s="32"/>
      <c r="E31" s="33"/>
    </row>
    <row r="32" spans="1:5">
      <c r="A32" s="6" t="s">
        <v>258</v>
      </c>
      <c r="B32" s="43">
        <v>7.1999999999999995E-2</v>
      </c>
      <c r="C32" s="5"/>
      <c r="D32" s="32"/>
      <c r="E32" s="33"/>
    </row>
    <row r="33" spans="1:5">
      <c r="A33" s="5"/>
      <c r="B33" s="5"/>
      <c r="C33" s="31"/>
      <c r="D33" s="32"/>
      <c r="E33" s="33"/>
    </row>
    <row r="34" spans="1:5">
      <c r="A34" s="6" t="s">
        <v>147</v>
      </c>
      <c r="B34" s="44">
        <v>3.7499999999999999E-2</v>
      </c>
      <c r="C34" s="446" t="s">
        <v>173</v>
      </c>
      <c r="D34" s="447"/>
      <c r="E34" s="448"/>
    </row>
    <row r="35" spans="1:5">
      <c r="A35" s="6" t="s">
        <v>175</v>
      </c>
      <c r="B35" s="44">
        <v>0.1</v>
      </c>
      <c r="C35" s="449" t="s">
        <v>174</v>
      </c>
      <c r="D35" s="450"/>
      <c r="E35" s="451"/>
    </row>
    <row r="36" spans="1:5">
      <c r="A36" s="6" t="s">
        <v>0</v>
      </c>
      <c r="B36" s="44">
        <v>1</v>
      </c>
      <c r="C36" s="45" t="s">
        <v>190</v>
      </c>
      <c r="D36" s="46"/>
      <c r="E36" s="47"/>
    </row>
    <row r="37" spans="1:5">
      <c r="A37" s="6" t="s">
        <v>194</v>
      </c>
      <c r="B37" s="48">
        <v>0.05</v>
      </c>
      <c r="C37" s="452" t="s">
        <v>172</v>
      </c>
      <c r="D37" s="453"/>
      <c r="E37" s="454"/>
    </row>
    <row r="38" spans="1:5">
      <c r="A38" s="5" t="s">
        <v>218</v>
      </c>
      <c r="B38" s="5"/>
      <c r="C38" s="31"/>
      <c r="D38" s="32"/>
      <c r="E38" s="33"/>
    </row>
    <row r="39" spans="1:5">
      <c r="A39" s="5"/>
      <c r="B39" s="5"/>
      <c r="C39" s="31"/>
      <c r="D39" s="32"/>
      <c r="E39" s="33"/>
    </row>
    <row r="40" spans="1:5">
      <c r="A40" s="8" t="s">
        <v>244</v>
      </c>
      <c r="B40" s="5"/>
      <c r="C40" s="31"/>
      <c r="D40" s="32"/>
      <c r="E40" s="33"/>
    </row>
    <row r="41" spans="1:5">
      <c r="A41" s="5"/>
      <c r="B41" s="5"/>
      <c r="C41" s="31"/>
      <c r="D41" s="32"/>
      <c r="E41" s="33"/>
    </row>
    <row r="42" spans="1:5">
      <c r="A42" s="4" t="s">
        <v>133</v>
      </c>
      <c r="B42" s="2"/>
      <c r="C42" s="69"/>
      <c r="D42" s="39"/>
      <c r="E42" s="40"/>
    </row>
    <row r="43" spans="1:5">
      <c r="A43" s="444" t="s">
        <v>245</v>
      </c>
      <c r="B43" s="444"/>
      <c r="C43" s="444"/>
      <c r="D43" s="444"/>
      <c r="E43" s="444"/>
    </row>
    <row r="44" spans="1:5">
      <c r="A44" s="444"/>
      <c r="B44" s="444"/>
      <c r="C44" s="444"/>
      <c r="D44" s="444"/>
      <c r="E44" s="444"/>
    </row>
    <row r="45" spans="1:5">
      <c r="A45" s="444"/>
      <c r="B45" s="444"/>
      <c r="C45" s="444"/>
      <c r="D45" s="444"/>
      <c r="E45" s="444"/>
    </row>
    <row r="46" spans="1:5">
      <c r="A46" s="444"/>
      <c r="B46" s="444"/>
      <c r="C46" s="444"/>
      <c r="D46" s="444"/>
      <c r="E46" s="444"/>
    </row>
    <row r="47" spans="1:5">
      <c r="A47" s="4" t="s">
        <v>247</v>
      </c>
      <c r="B47" s="2"/>
      <c r="C47" s="69"/>
      <c r="D47" s="39"/>
      <c r="E47" s="40"/>
    </row>
    <row r="48" spans="1:5">
      <c r="A48" s="444" t="s">
        <v>246</v>
      </c>
      <c r="B48" s="444"/>
      <c r="C48" s="444"/>
      <c r="D48" s="444"/>
      <c r="E48" s="444"/>
    </row>
    <row r="49" spans="1:18">
      <c r="A49" s="444"/>
      <c r="B49" s="444"/>
      <c r="C49" s="444"/>
      <c r="D49" s="444"/>
      <c r="E49" s="444"/>
    </row>
    <row r="50" spans="1:18">
      <c r="A50" s="444"/>
      <c r="B50" s="444"/>
      <c r="C50" s="444"/>
      <c r="D50" s="444"/>
      <c r="E50" s="444"/>
    </row>
    <row r="51" spans="1:18">
      <c r="A51" s="444"/>
      <c r="B51" s="444"/>
      <c r="C51" s="444"/>
      <c r="D51" s="444"/>
      <c r="E51" s="444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</row>
    <row r="52" spans="1:18">
      <c r="A52" s="23"/>
      <c r="B52" s="23"/>
      <c r="C52" s="23"/>
      <c r="D52" s="26"/>
      <c r="E52" s="24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</row>
    <row r="53" spans="1:18">
      <c r="A53" s="23"/>
      <c r="B53" s="23"/>
      <c r="C53" s="23"/>
      <c r="D53" s="27"/>
      <c r="E53" s="24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</row>
    <row r="54" spans="1:18">
      <c r="A54" s="23"/>
      <c r="B54" s="23"/>
      <c r="C54" s="23"/>
      <c r="D54" s="28"/>
      <c r="E54" s="23"/>
      <c r="F54" s="25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</row>
    <row r="55" spans="1:18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</row>
    <row r="56" spans="1:18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</row>
    <row r="57" spans="1:18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</row>
    <row r="58" spans="1:18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</row>
  </sheetData>
  <sheetProtection password="8318" sheet="1" objects="1" scenarios="1"/>
  <mergeCells count="7">
    <mergeCell ref="A43:E46"/>
    <mergeCell ref="A48:E51"/>
    <mergeCell ref="A4:E4"/>
    <mergeCell ref="C34:E34"/>
    <mergeCell ref="C35:E35"/>
    <mergeCell ref="C37:E37"/>
    <mergeCell ref="A6:E6"/>
  </mergeCells>
  <phoneticPr fontId="2" type="noConversion"/>
  <printOptions horizontalCentered="1"/>
  <pageMargins left="0.75" right="0.75" top="0.39370078740157483" bottom="0.39370078740157483" header="0.51181102362204722" footer="0.51181102362204722"/>
  <pageSetup paperSize="9" orientation="portrait" horizontalDpi="4294967293" verticalDpi="200" r:id="rId1"/>
  <headerFooter alignWithMargins="0">
    <oddFooter>&amp;C&amp;"Arial,Normal"&amp;8IAPMEI&amp;R&amp;"Arial,Normal"&amp;8&amp;N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J203"/>
  <sheetViews>
    <sheetView showGridLines="0" workbookViewId="0">
      <selection activeCell="H9" sqref="H9"/>
    </sheetView>
  </sheetViews>
  <sheetFormatPr defaultColWidth="8.7109375" defaultRowHeight="13.5"/>
  <cols>
    <col min="1" max="1" width="37.5703125" style="76" customWidth="1"/>
    <col min="2" max="2" width="7.85546875" style="76" customWidth="1"/>
    <col min="3" max="14" width="11.42578125" style="76" customWidth="1"/>
    <col min="15" max="16384" width="8.7109375" style="76"/>
  </cols>
  <sheetData>
    <row r="1" spans="1:8" ht="14.25">
      <c r="A1" s="72"/>
      <c r="B1" s="72"/>
      <c r="C1" s="73"/>
      <c r="D1" s="73"/>
      <c r="E1" s="73"/>
      <c r="F1" s="73"/>
      <c r="G1" s="74" t="s">
        <v>65</v>
      </c>
      <c r="H1" s="75" t="str">
        <f>+Pressupostos!E1</f>
        <v>ALI,Conserva&amp;Limpa, Lda</v>
      </c>
    </row>
    <row r="2" spans="1:8">
      <c r="A2" s="77" t="s">
        <v>181</v>
      </c>
      <c r="B2" s="73"/>
      <c r="C2" s="73"/>
      <c r="D2" s="73"/>
      <c r="E2" s="73"/>
      <c r="F2" s="73"/>
      <c r="G2" s="73"/>
      <c r="H2" s="78" t="str">
        <f>+Pressupostos!B9</f>
        <v>Euros</v>
      </c>
    </row>
    <row r="3" spans="1:8">
      <c r="A3" s="77"/>
      <c r="B3" s="73"/>
      <c r="C3" s="73"/>
      <c r="D3" s="73"/>
      <c r="E3" s="73"/>
      <c r="F3" s="73"/>
      <c r="G3" s="73"/>
      <c r="H3" s="78"/>
    </row>
    <row r="4" spans="1:8" ht="16.5">
      <c r="A4" s="462" t="s">
        <v>278</v>
      </c>
      <c r="B4" s="462"/>
      <c r="C4" s="462"/>
      <c r="D4" s="462"/>
      <c r="E4" s="462"/>
      <c r="F4" s="462"/>
      <c r="G4" s="462"/>
      <c r="H4" s="462"/>
    </row>
    <row r="5" spans="1:8">
      <c r="A5" s="79"/>
      <c r="B5" s="79"/>
      <c r="C5" s="79"/>
      <c r="D5" s="79"/>
      <c r="E5" s="79"/>
      <c r="F5" s="79"/>
      <c r="G5" s="79"/>
      <c r="H5" s="79"/>
    </row>
    <row r="6" spans="1:8">
      <c r="A6" s="79"/>
      <c r="B6" s="79"/>
      <c r="C6" s="79"/>
      <c r="D6" s="79"/>
      <c r="E6" s="79"/>
      <c r="F6" s="79"/>
      <c r="G6" s="79"/>
      <c r="H6" s="79"/>
    </row>
    <row r="7" spans="1:8">
      <c r="A7" s="79"/>
      <c r="B7" s="79"/>
      <c r="C7" s="79"/>
      <c r="D7" s="79"/>
      <c r="E7" s="79"/>
      <c r="F7" s="79"/>
      <c r="G7" s="79"/>
      <c r="H7" s="79"/>
    </row>
    <row r="8" spans="1:8">
      <c r="A8" s="467"/>
      <c r="B8" s="467"/>
      <c r="C8" s="80">
        <f>+Pressupostos!B11</f>
        <v>2011</v>
      </c>
      <c r="D8" s="80">
        <f>+C8+1</f>
        <v>2012</v>
      </c>
      <c r="E8" s="80">
        <f>+D8+1</f>
        <v>2013</v>
      </c>
      <c r="F8" s="80">
        <f>+E8+1</f>
        <v>2014</v>
      </c>
      <c r="G8" s="80">
        <f>+F8+1</f>
        <v>2015</v>
      </c>
      <c r="H8" s="80">
        <f>+G8+1</f>
        <v>2016</v>
      </c>
    </row>
    <row r="9" spans="1:8">
      <c r="A9" s="81" t="s">
        <v>150</v>
      </c>
      <c r="B9" s="82"/>
      <c r="C9" s="55"/>
      <c r="D9" s="50">
        <v>0.03</v>
      </c>
      <c r="E9" s="50">
        <v>0.03</v>
      </c>
      <c r="F9" s="50">
        <v>0.03</v>
      </c>
      <c r="G9" s="50">
        <v>0.03</v>
      </c>
      <c r="H9" s="50">
        <v>0.03</v>
      </c>
    </row>
    <row r="10" spans="1:8">
      <c r="A10" s="83"/>
      <c r="B10" s="83"/>
      <c r="C10" s="83"/>
      <c r="D10" s="83"/>
      <c r="E10" s="83"/>
      <c r="F10" s="83"/>
      <c r="G10" s="83"/>
      <c r="H10" s="83"/>
    </row>
    <row r="11" spans="1:8">
      <c r="A11" s="83"/>
      <c r="B11" s="83"/>
      <c r="C11" s="83"/>
      <c r="D11" s="83"/>
      <c r="E11" s="83"/>
      <c r="F11" s="83"/>
      <c r="G11" s="83"/>
      <c r="H11" s="83"/>
    </row>
    <row r="12" spans="1:8">
      <c r="A12" s="465" t="s">
        <v>184</v>
      </c>
      <c r="B12" s="466"/>
      <c r="C12" s="80">
        <f t="shared" ref="C12:H12" si="0">+C8</f>
        <v>2011</v>
      </c>
      <c r="D12" s="80">
        <f t="shared" si="0"/>
        <v>2012</v>
      </c>
      <c r="E12" s="80">
        <f t="shared" si="0"/>
        <v>2013</v>
      </c>
      <c r="F12" s="80">
        <f t="shared" si="0"/>
        <v>2014</v>
      </c>
      <c r="G12" s="80">
        <f t="shared" si="0"/>
        <v>2015</v>
      </c>
      <c r="H12" s="80">
        <f t="shared" si="0"/>
        <v>2016</v>
      </c>
    </row>
    <row r="13" spans="1:8">
      <c r="A13" s="457" t="s">
        <v>421</v>
      </c>
      <c r="B13" s="458"/>
      <c r="C13" s="314">
        <f t="shared" ref="C13" si="1">+C16*C14</f>
        <v>545919</v>
      </c>
      <c r="D13" s="314">
        <f>+D16*D14</f>
        <v>730985.54100000008</v>
      </c>
      <c r="E13" s="314">
        <f>+E16*E14</f>
        <v>941143.88403750013</v>
      </c>
      <c r="F13" s="314">
        <f>+F16*F14</f>
        <v>1153560.0586647638</v>
      </c>
      <c r="G13" s="314">
        <f>+G16*G14</f>
        <v>1378273.5580926598</v>
      </c>
      <c r="H13" s="314">
        <f>+H16*H14</f>
        <v>1490602.8530772117</v>
      </c>
    </row>
    <row r="14" spans="1:8">
      <c r="A14" s="84" t="s">
        <v>5</v>
      </c>
      <c r="B14" s="85"/>
      <c r="C14" s="315">
        <v>234300</v>
      </c>
      <c r="D14" s="316">
        <f>+C14*(1+D15)</f>
        <v>304590</v>
      </c>
      <c r="E14" s="316">
        <f>+D14*(1+E15)</f>
        <v>380737.5</v>
      </c>
      <c r="F14" s="316">
        <f>+E14*(1+F15)</f>
        <v>453077.625</v>
      </c>
      <c r="G14" s="316">
        <f>+F14*(1+G15)</f>
        <v>525570.04499999993</v>
      </c>
      <c r="H14" s="316">
        <f>+G14*(1+H15)</f>
        <v>551848.54724999995</v>
      </c>
    </row>
    <row r="15" spans="1:8">
      <c r="A15" s="84" t="s">
        <v>80</v>
      </c>
      <c r="B15" s="85"/>
      <c r="C15" s="317"/>
      <c r="D15" s="318">
        <v>0.3</v>
      </c>
      <c r="E15" s="318">
        <v>0.25</v>
      </c>
      <c r="F15" s="318">
        <v>0.19</v>
      </c>
      <c r="G15" s="318">
        <v>0.16</v>
      </c>
      <c r="H15" s="318">
        <v>0.05</v>
      </c>
    </row>
    <row r="16" spans="1:8">
      <c r="A16" s="84" t="s">
        <v>6</v>
      </c>
      <c r="B16" s="85"/>
      <c r="C16" s="319">
        <v>2.33</v>
      </c>
      <c r="D16" s="320">
        <f>+C16*(1+D9)</f>
        <v>2.3999000000000001</v>
      </c>
      <c r="E16" s="320">
        <f>+D16*(1+E9)</f>
        <v>2.4718970000000002</v>
      </c>
      <c r="F16" s="320">
        <f>+E16*(1+F9)</f>
        <v>2.5460539100000004</v>
      </c>
      <c r="G16" s="320">
        <f>+F16*(1+G9)</f>
        <v>2.6224355273000004</v>
      </c>
      <c r="H16" s="320">
        <f>+G16*(1+H9)</f>
        <v>2.7011085931190006</v>
      </c>
    </row>
    <row r="17" spans="1:8">
      <c r="A17" s="457" t="s">
        <v>422</v>
      </c>
      <c r="B17" s="458"/>
      <c r="C17" s="314">
        <f t="shared" ref="C17:H17" si="2">+C20*C18</f>
        <v>2041.7</v>
      </c>
      <c r="D17" s="314">
        <f t="shared" si="2"/>
        <v>2313.2461000000003</v>
      </c>
      <c r="E17" s="314">
        <f t="shared" si="2"/>
        <v>2549.4285268100002</v>
      </c>
      <c r="F17" s="314">
        <f t="shared" si="2"/>
        <v>2757.2069517450154</v>
      </c>
      <c r="G17" s="314">
        <f t="shared" si="2"/>
        <v>3038.7177815181822</v>
      </c>
      <c r="H17" s="314">
        <f t="shared" si="2"/>
        <v>3312.2023818548187</v>
      </c>
    </row>
    <row r="18" spans="1:8">
      <c r="A18" s="84" t="s">
        <v>5</v>
      </c>
      <c r="B18" s="85"/>
      <c r="C18" s="315">
        <v>2402</v>
      </c>
      <c r="D18" s="316">
        <f>+C18*(1+D19)</f>
        <v>2642.2000000000003</v>
      </c>
      <c r="E18" s="316">
        <f>+D18*(1+E19)</f>
        <v>2827.1540000000005</v>
      </c>
      <c r="F18" s="316">
        <f>+E18*(1+F19)</f>
        <v>2968.5117000000005</v>
      </c>
      <c r="G18" s="316">
        <f>+F18*(1+G19)</f>
        <v>3176.3075190000009</v>
      </c>
      <c r="H18" s="316">
        <f>+G18*(1+H19)</f>
        <v>3462.1751957100014</v>
      </c>
    </row>
    <row r="19" spans="1:8">
      <c r="A19" s="84" t="s">
        <v>80</v>
      </c>
      <c r="B19" s="85"/>
      <c r="C19" s="317"/>
      <c r="D19" s="318">
        <v>0.1</v>
      </c>
      <c r="E19" s="318">
        <v>7.0000000000000007E-2</v>
      </c>
      <c r="F19" s="318">
        <v>0.05</v>
      </c>
      <c r="G19" s="318">
        <v>7.0000000000000007E-2</v>
      </c>
      <c r="H19" s="318">
        <v>0.09</v>
      </c>
    </row>
    <row r="20" spans="1:8">
      <c r="A20" s="84" t="s">
        <v>6</v>
      </c>
      <c r="B20" s="85"/>
      <c r="C20" s="319">
        <v>0.85</v>
      </c>
      <c r="D20" s="320">
        <f>+C20*(1+E9)</f>
        <v>0.87549999999999994</v>
      </c>
      <c r="E20" s="320">
        <f t="shared" ref="E20:H20" si="3">+D20*(1+F9)</f>
        <v>0.90176499999999993</v>
      </c>
      <c r="F20" s="320">
        <f t="shared" si="3"/>
        <v>0.92881795</v>
      </c>
      <c r="G20" s="320">
        <f t="shared" si="3"/>
        <v>0.95668248850000004</v>
      </c>
      <c r="H20" s="320">
        <f t="shared" si="3"/>
        <v>0.95668248850000004</v>
      </c>
    </row>
    <row r="21" spans="1:8">
      <c r="A21" s="457" t="s">
        <v>423</v>
      </c>
      <c r="B21" s="458"/>
      <c r="C21" s="314">
        <f>+C24*C22</f>
        <v>24826.5</v>
      </c>
      <c r="D21" s="314">
        <f t="shared" ref="D21:H21" si="4">+D24*D22</f>
        <v>28128.424500000005</v>
      </c>
      <c r="E21" s="314">
        <f t="shared" si="4"/>
        <v>31000.336641450009</v>
      </c>
      <c r="F21" s="314">
        <f t="shared" si="4"/>
        <v>34165.471012542053</v>
      </c>
      <c r="G21" s="314">
        <f t="shared" si="4"/>
        <v>37653.765602922598</v>
      </c>
      <c r="H21" s="314">
        <f t="shared" si="4"/>
        <v>40722.547499560795</v>
      </c>
    </row>
    <row r="22" spans="1:8">
      <c r="A22" s="84" t="s">
        <v>5</v>
      </c>
      <c r="B22" s="85"/>
      <c r="C22" s="315">
        <v>1839</v>
      </c>
      <c r="D22" s="316">
        <f>+C22*(1+D23)</f>
        <v>2022.9</v>
      </c>
      <c r="E22" s="316">
        <f>+D22*(1+E23)</f>
        <v>2164.5030000000002</v>
      </c>
      <c r="F22" s="316">
        <f>+E22*(1+F23)</f>
        <v>2316.0182100000002</v>
      </c>
      <c r="G22" s="316">
        <f>+F22*(1+G23)</f>
        <v>2478.1394847000001</v>
      </c>
      <c r="H22" s="316">
        <f>+G22*(1+H23)</f>
        <v>2602.0464589350004</v>
      </c>
    </row>
    <row r="23" spans="1:8">
      <c r="A23" s="84" t="s">
        <v>80</v>
      </c>
      <c r="B23" s="85"/>
      <c r="C23" s="317"/>
      <c r="D23" s="318">
        <v>0.1</v>
      </c>
      <c r="E23" s="318">
        <v>7.0000000000000007E-2</v>
      </c>
      <c r="F23" s="318">
        <v>7.0000000000000007E-2</v>
      </c>
      <c r="G23" s="318">
        <v>7.0000000000000007E-2</v>
      </c>
      <c r="H23" s="318">
        <v>0.05</v>
      </c>
    </row>
    <row r="24" spans="1:8">
      <c r="A24" s="84" t="s">
        <v>6</v>
      </c>
      <c r="B24" s="85"/>
      <c r="C24" s="319">
        <v>13.5</v>
      </c>
      <c r="D24" s="320">
        <f>+C24*(1+D9)</f>
        <v>13.905000000000001</v>
      </c>
      <c r="E24" s="320">
        <f>+D24*(1+E9)</f>
        <v>14.322150000000002</v>
      </c>
      <c r="F24" s="320">
        <f>+E24*(1+F9)</f>
        <v>14.751814500000004</v>
      </c>
      <c r="G24" s="320">
        <f>+F24*(1+G9)</f>
        <v>15.194368935000004</v>
      </c>
      <c r="H24" s="320">
        <f>+G24*(1+H9)</f>
        <v>15.650200003050005</v>
      </c>
    </row>
    <row r="25" spans="1:8">
      <c r="A25" s="457" t="s">
        <v>424</v>
      </c>
      <c r="B25" s="458"/>
      <c r="C25" s="314">
        <f t="shared" ref="C25:H25" si="5">+C28*C26</f>
        <v>9990.68</v>
      </c>
      <c r="D25" s="314">
        <f t="shared" si="5"/>
        <v>11319.44044</v>
      </c>
      <c r="E25" s="314">
        <f t="shared" si="5"/>
        <v>12241.974835860001</v>
      </c>
      <c r="F25" s="314">
        <f t="shared" si="5"/>
        <v>13744.065148220025</v>
      </c>
      <c r="G25" s="314">
        <f t="shared" si="5"/>
        <v>15713.589683959957</v>
      </c>
      <c r="H25" s="314">
        <f t="shared" si="5"/>
        <v>16994.247243202692</v>
      </c>
    </row>
    <row r="26" spans="1:8">
      <c r="A26" s="84" t="s">
        <v>5</v>
      </c>
      <c r="B26" s="85"/>
      <c r="C26" s="315">
        <v>868</v>
      </c>
      <c r="D26" s="316">
        <f>+C26*(1+D27)</f>
        <v>954.80000000000007</v>
      </c>
      <c r="E26" s="316">
        <f>+D26*(1+E27)</f>
        <v>1002.5400000000001</v>
      </c>
      <c r="F26" s="316">
        <f>+E26*(1+F27)</f>
        <v>1092.7686000000001</v>
      </c>
      <c r="G26" s="316">
        <f>+F26*(1+G27)</f>
        <v>1212.9731460000003</v>
      </c>
      <c r="H26" s="316">
        <f>+G26*(1+H27)</f>
        <v>1273.6218033000002</v>
      </c>
    </row>
    <row r="27" spans="1:8">
      <c r="A27" s="84" t="s">
        <v>80</v>
      </c>
      <c r="B27" s="85"/>
      <c r="C27" s="317"/>
      <c r="D27" s="318">
        <v>0.1</v>
      </c>
      <c r="E27" s="318">
        <v>0.05</v>
      </c>
      <c r="F27" s="318">
        <v>0.09</v>
      </c>
      <c r="G27" s="318">
        <v>0.11</v>
      </c>
      <c r="H27" s="318">
        <v>0.05</v>
      </c>
    </row>
    <row r="28" spans="1:8">
      <c r="A28" s="84" t="s">
        <v>6</v>
      </c>
      <c r="B28" s="85"/>
      <c r="C28" s="319">
        <v>11.51</v>
      </c>
      <c r="D28" s="320">
        <f>+C28*(1+D9)</f>
        <v>11.8553</v>
      </c>
      <c r="E28" s="320">
        <f>+D28*(1+E9)</f>
        <v>12.210959000000001</v>
      </c>
      <c r="F28" s="320">
        <f>+E28*(1+F9)</f>
        <v>12.577287770000002</v>
      </c>
      <c r="G28" s="320">
        <f>+F28*(1+G9)</f>
        <v>12.954606403100001</v>
      </c>
      <c r="H28" s="320">
        <f>+G28*(1+H9)</f>
        <v>13.343244595193001</v>
      </c>
    </row>
    <row r="29" spans="1:8" ht="14.25" thickBot="1">
      <c r="A29" s="463" t="s">
        <v>96</v>
      </c>
      <c r="B29" s="464"/>
      <c r="C29" s="56">
        <f t="shared" ref="C29:H29" si="6">+C13+C17+C21+C25</f>
        <v>582777.88</v>
      </c>
      <c r="D29" s="56">
        <f t="shared" si="6"/>
        <v>772746.65204000007</v>
      </c>
      <c r="E29" s="56">
        <f t="shared" si="6"/>
        <v>986935.62404162018</v>
      </c>
      <c r="F29" s="56">
        <f t="shared" si="6"/>
        <v>1204226.8017772709</v>
      </c>
      <c r="G29" s="56">
        <f t="shared" si="6"/>
        <v>1434679.6311610604</v>
      </c>
      <c r="H29" s="56">
        <f t="shared" si="6"/>
        <v>1551631.85020183</v>
      </c>
    </row>
    <row r="30" spans="1:8" ht="14.25" thickTop="1">
      <c r="A30" s="86"/>
      <c r="B30" s="86"/>
      <c r="C30" s="87"/>
      <c r="D30" s="87"/>
      <c r="E30" s="87"/>
      <c r="F30" s="87"/>
      <c r="G30" s="87"/>
      <c r="H30" s="87"/>
    </row>
    <row r="31" spans="1:8">
      <c r="A31" s="86"/>
      <c r="B31" s="86"/>
      <c r="C31" s="87"/>
      <c r="D31" s="87"/>
      <c r="E31" s="87"/>
      <c r="F31" s="87"/>
      <c r="G31" s="87"/>
      <c r="H31" s="87"/>
    </row>
    <row r="32" spans="1:8">
      <c r="A32" s="459" t="s">
        <v>185</v>
      </c>
      <c r="B32" s="459"/>
      <c r="C32" s="80">
        <f t="shared" ref="C32:H32" si="7">+C8</f>
        <v>2011</v>
      </c>
      <c r="D32" s="80">
        <f t="shared" si="7"/>
        <v>2012</v>
      </c>
      <c r="E32" s="80">
        <f t="shared" si="7"/>
        <v>2013</v>
      </c>
      <c r="F32" s="80">
        <f t="shared" si="7"/>
        <v>2014</v>
      </c>
      <c r="G32" s="80">
        <f t="shared" si="7"/>
        <v>2015</v>
      </c>
      <c r="H32" s="80">
        <f t="shared" si="7"/>
        <v>2016</v>
      </c>
    </row>
    <row r="33" spans="1:10">
      <c r="A33" s="457" t="s">
        <v>421</v>
      </c>
      <c r="B33" s="458"/>
      <c r="C33" s="314">
        <f t="shared" ref="C33:H33" si="8">+C36*C34</f>
        <v>0</v>
      </c>
      <c r="D33" s="314">
        <f t="shared" si="8"/>
        <v>0</v>
      </c>
      <c r="E33" s="314">
        <f t="shared" si="8"/>
        <v>0</v>
      </c>
      <c r="F33" s="314">
        <f t="shared" si="8"/>
        <v>14321.553243750002</v>
      </c>
      <c r="G33" s="314">
        <f t="shared" si="8"/>
        <v>16226.319825168755</v>
      </c>
      <c r="H33" s="314">
        <f t="shared" si="8"/>
        <v>17548.764890920011</v>
      </c>
    </row>
    <row r="34" spans="1:10">
      <c r="A34" s="84" t="s">
        <v>5</v>
      </c>
      <c r="B34" s="85"/>
      <c r="C34" s="315"/>
      <c r="D34" s="316">
        <f>+C34*(1+D35)</f>
        <v>0</v>
      </c>
      <c r="E34" s="316">
        <f>+D34*(1+E35)</f>
        <v>0</v>
      </c>
      <c r="F34" s="316">
        <v>5625</v>
      </c>
      <c r="G34" s="316">
        <f>+F34*(1+G35)</f>
        <v>6187.5000000000009</v>
      </c>
      <c r="H34" s="316">
        <f>+G34*(1+H35)</f>
        <v>6496.8750000000009</v>
      </c>
    </row>
    <row r="35" spans="1:10">
      <c r="A35" s="84" t="s">
        <v>80</v>
      </c>
      <c r="B35" s="85"/>
      <c r="C35" s="317"/>
      <c r="D35" s="318"/>
      <c r="E35" s="318"/>
      <c r="F35" s="318"/>
      <c r="G35" s="318">
        <v>0.1</v>
      </c>
      <c r="H35" s="318">
        <v>0.05</v>
      </c>
    </row>
    <row r="36" spans="1:10">
      <c r="A36" s="84" t="s">
        <v>6</v>
      </c>
      <c r="B36" s="85"/>
      <c r="C36" s="319"/>
      <c r="D36" s="320">
        <f>+C36*(1+D9)</f>
        <v>0</v>
      </c>
      <c r="E36" s="320">
        <f>+D36*(1+E9)</f>
        <v>0</v>
      </c>
      <c r="F36" s="320">
        <f>F16</f>
        <v>2.5460539100000004</v>
      </c>
      <c r="G36" s="320">
        <f>+F36*(1+G9)</f>
        <v>2.6224355273000004</v>
      </c>
      <c r="H36" s="320">
        <f>+G36*(1+H9)</f>
        <v>2.7011085931190006</v>
      </c>
    </row>
    <row r="37" spans="1:10">
      <c r="A37" s="457" t="s">
        <v>149</v>
      </c>
      <c r="B37" s="458"/>
      <c r="C37" s="314">
        <f t="shared" ref="C37:H37" si="9">+C40*C38</f>
        <v>0</v>
      </c>
      <c r="D37" s="314">
        <f t="shared" si="9"/>
        <v>0</v>
      </c>
      <c r="E37" s="314">
        <f t="shared" si="9"/>
        <v>0</v>
      </c>
      <c r="F37" s="314">
        <f t="shared" si="9"/>
        <v>0</v>
      </c>
      <c r="G37" s="314">
        <f t="shared" si="9"/>
        <v>0</v>
      </c>
      <c r="H37" s="314">
        <f t="shared" si="9"/>
        <v>0</v>
      </c>
    </row>
    <row r="38" spans="1:10">
      <c r="A38" s="84" t="s">
        <v>5</v>
      </c>
      <c r="B38" s="85"/>
      <c r="C38" s="315"/>
      <c r="D38" s="316">
        <f>+C38*(1+D39)</f>
        <v>0</v>
      </c>
      <c r="E38" s="316">
        <f>+D38*(1+E39)</f>
        <v>0</v>
      </c>
      <c r="F38" s="316">
        <f>+E38*(1+F39)</f>
        <v>0</v>
      </c>
      <c r="G38" s="316">
        <f>+F38*(1+G39)</f>
        <v>0</v>
      </c>
      <c r="H38" s="316">
        <f>+G38*(1+H39)</f>
        <v>0</v>
      </c>
    </row>
    <row r="39" spans="1:10">
      <c r="A39" s="84" t="s">
        <v>80</v>
      </c>
      <c r="B39" s="85"/>
      <c r="C39" s="317"/>
      <c r="D39" s="318"/>
      <c r="E39" s="318"/>
      <c r="F39" s="318"/>
      <c r="G39" s="318"/>
      <c r="H39" s="318"/>
    </row>
    <row r="40" spans="1:10">
      <c r="A40" s="84" t="s">
        <v>6</v>
      </c>
      <c r="B40" s="85"/>
      <c r="C40" s="319"/>
      <c r="D40" s="320">
        <f>+C40*(1+D9)</f>
        <v>0</v>
      </c>
      <c r="E40" s="320">
        <f>+D40*(1+E9)</f>
        <v>0</v>
      </c>
      <c r="F40" s="320">
        <f>+E40*(1+F9)</f>
        <v>0</v>
      </c>
      <c r="G40" s="320">
        <f>+F40*(1+G9)</f>
        <v>0</v>
      </c>
      <c r="H40" s="320">
        <f>+G40*(1+H9)</f>
        <v>0</v>
      </c>
    </row>
    <row r="41" spans="1:10" ht="14.25" thickBot="1">
      <c r="A41" s="460" t="s">
        <v>96</v>
      </c>
      <c r="B41" s="460"/>
      <c r="C41" s="56">
        <f t="shared" ref="C41:H41" si="10">+C33+C37</f>
        <v>0</v>
      </c>
      <c r="D41" s="56">
        <f t="shared" si="10"/>
        <v>0</v>
      </c>
      <c r="E41" s="56">
        <f t="shared" si="10"/>
        <v>0</v>
      </c>
      <c r="F41" s="56">
        <f t="shared" si="10"/>
        <v>14321.553243750002</v>
      </c>
      <c r="G41" s="56">
        <f t="shared" si="10"/>
        <v>16226.319825168755</v>
      </c>
      <c r="H41" s="56">
        <f t="shared" si="10"/>
        <v>17548.764890920011</v>
      </c>
    </row>
    <row r="42" spans="1:10" ht="14.25" thickTop="1">
      <c r="A42" s="89" t="s">
        <v>148</v>
      </c>
      <c r="B42" s="86"/>
      <c r="C42" s="87"/>
      <c r="D42" s="87"/>
      <c r="E42" s="87"/>
      <c r="F42" s="87"/>
      <c r="G42" s="87"/>
      <c r="H42" s="87"/>
    </row>
    <row r="43" spans="1:10">
      <c r="A43" s="90" t="s">
        <v>152</v>
      </c>
      <c r="B43" s="91"/>
      <c r="C43" s="92"/>
      <c r="D43" s="92"/>
      <c r="E43" s="92"/>
      <c r="F43" s="92"/>
      <c r="G43" s="92"/>
      <c r="H43" s="92"/>
      <c r="I43" s="93"/>
      <c r="J43" s="93"/>
    </row>
    <row r="44" spans="1:10">
      <c r="A44" s="83"/>
      <c r="B44" s="91"/>
      <c r="C44" s="92"/>
      <c r="D44" s="92"/>
      <c r="E44" s="92"/>
      <c r="F44" s="92"/>
      <c r="G44" s="92"/>
      <c r="H44" s="92"/>
      <c r="I44" s="93"/>
      <c r="J44" s="93"/>
    </row>
    <row r="45" spans="1:10">
      <c r="A45" s="459" t="s">
        <v>279</v>
      </c>
      <c r="B45" s="459"/>
      <c r="C45" s="80">
        <f t="shared" ref="C45:H45" si="11">+C8</f>
        <v>2011</v>
      </c>
      <c r="D45" s="80">
        <f t="shared" si="11"/>
        <v>2012</v>
      </c>
      <c r="E45" s="80">
        <f t="shared" si="11"/>
        <v>2013</v>
      </c>
      <c r="F45" s="80">
        <f t="shared" si="11"/>
        <v>2014</v>
      </c>
      <c r="G45" s="80">
        <f t="shared" si="11"/>
        <v>2015</v>
      </c>
      <c r="H45" s="80">
        <f t="shared" si="11"/>
        <v>2016</v>
      </c>
      <c r="I45" s="93"/>
      <c r="J45" s="93"/>
    </row>
    <row r="46" spans="1:10">
      <c r="A46" s="457" t="s">
        <v>76</v>
      </c>
      <c r="B46" s="458"/>
      <c r="C46" s="315"/>
      <c r="D46" s="316">
        <f>+C46*(1+D47)</f>
        <v>0</v>
      </c>
      <c r="E46" s="316">
        <f>+D46*(1+E47)</f>
        <v>0</v>
      </c>
      <c r="F46" s="316">
        <f>+E46*(1+F47)</f>
        <v>0</v>
      </c>
      <c r="G46" s="316">
        <f>+F46*(1+G47)</f>
        <v>0</v>
      </c>
      <c r="H46" s="316">
        <f>+G46*(1+H47)</f>
        <v>0</v>
      </c>
      <c r="I46" s="93"/>
      <c r="J46" s="93"/>
    </row>
    <row r="47" spans="1:10">
      <c r="A47" s="84" t="s">
        <v>249</v>
      </c>
      <c r="B47" s="85"/>
      <c r="C47" s="317"/>
      <c r="D47" s="318"/>
      <c r="E47" s="318"/>
      <c r="F47" s="318"/>
      <c r="G47" s="318"/>
      <c r="H47" s="318"/>
      <c r="I47" s="93"/>
      <c r="J47" s="93"/>
    </row>
    <row r="48" spans="1:10">
      <c r="A48" s="457" t="s">
        <v>77</v>
      </c>
      <c r="B48" s="458"/>
      <c r="C48" s="315"/>
      <c r="D48" s="316">
        <f>+C48*(1+D49)</f>
        <v>0</v>
      </c>
      <c r="E48" s="316">
        <f>+D48*(1+E49)</f>
        <v>0</v>
      </c>
      <c r="F48" s="316">
        <f>+E48*(1+F49)</f>
        <v>0</v>
      </c>
      <c r="G48" s="316">
        <f>+F48*(1+G49)</f>
        <v>0</v>
      </c>
      <c r="H48" s="316">
        <f>+G48*(1+H49)</f>
        <v>0</v>
      </c>
      <c r="I48" s="93"/>
      <c r="J48" s="93"/>
    </row>
    <row r="49" spans="1:10">
      <c r="A49" s="84" t="s">
        <v>249</v>
      </c>
      <c r="B49" s="85"/>
      <c r="C49" s="317"/>
      <c r="D49" s="318"/>
      <c r="E49" s="318"/>
      <c r="F49" s="318"/>
      <c r="G49" s="318"/>
      <c r="H49" s="318"/>
      <c r="I49" s="93"/>
      <c r="J49" s="93"/>
    </row>
    <row r="50" spans="1:10">
      <c r="A50" s="457" t="s">
        <v>78</v>
      </c>
      <c r="B50" s="458"/>
      <c r="C50" s="315"/>
      <c r="D50" s="316">
        <f>+C50*(1+D51)</f>
        <v>0</v>
      </c>
      <c r="E50" s="316">
        <f>+D50*(1+E51)</f>
        <v>0</v>
      </c>
      <c r="F50" s="316">
        <f>+E50*(1+F51)</f>
        <v>0</v>
      </c>
      <c r="G50" s="316">
        <f>+F50*(1+G51)</f>
        <v>0</v>
      </c>
      <c r="H50" s="316">
        <f>+G50*(1+H51)</f>
        <v>0</v>
      </c>
      <c r="I50" s="93"/>
      <c r="J50" s="93"/>
    </row>
    <row r="51" spans="1:10">
      <c r="A51" s="84" t="s">
        <v>249</v>
      </c>
      <c r="B51" s="85"/>
      <c r="C51" s="317"/>
      <c r="D51" s="318"/>
      <c r="E51" s="318"/>
      <c r="F51" s="318"/>
      <c r="G51" s="318"/>
      <c r="H51" s="318"/>
      <c r="I51" s="93"/>
      <c r="J51" s="93"/>
    </row>
    <row r="52" spans="1:10">
      <c r="A52" s="457" t="s">
        <v>79</v>
      </c>
      <c r="B52" s="458"/>
      <c r="C52" s="315"/>
      <c r="D52" s="316">
        <f>+C52*(1+D53)</f>
        <v>0</v>
      </c>
      <c r="E52" s="316">
        <f>+D52*(1+E53)</f>
        <v>0</v>
      </c>
      <c r="F52" s="316">
        <f>+E52*(1+F53)</f>
        <v>0</v>
      </c>
      <c r="G52" s="316">
        <f>+F52*(1+G53)</f>
        <v>0</v>
      </c>
      <c r="H52" s="316">
        <f>+G52*(1+H53)</f>
        <v>0</v>
      </c>
      <c r="I52" s="93"/>
      <c r="J52" s="93"/>
    </row>
    <row r="53" spans="1:10">
      <c r="A53" s="84" t="s">
        <v>249</v>
      </c>
      <c r="B53" s="85"/>
      <c r="C53" s="317"/>
      <c r="D53" s="318"/>
      <c r="E53" s="318"/>
      <c r="F53" s="318"/>
      <c r="G53" s="318"/>
      <c r="H53" s="318"/>
      <c r="I53" s="93"/>
      <c r="J53" s="93"/>
    </row>
    <row r="54" spans="1:10" ht="14.25" thickBot="1">
      <c r="A54" s="460" t="s">
        <v>96</v>
      </c>
      <c r="B54" s="460"/>
      <c r="C54" s="56">
        <f t="shared" ref="C54:H54" si="12">+C46+C48+C50+C52</f>
        <v>0</v>
      </c>
      <c r="D54" s="56">
        <f t="shared" si="12"/>
        <v>0</v>
      </c>
      <c r="E54" s="56">
        <f t="shared" si="12"/>
        <v>0</v>
      </c>
      <c r="F54" s="56">
        <f t="shared" si="12"/>
        <v>0</v>
      </c>
      <c r="G54" s="56">
        <f t="shared" si="12"/>
        <v>0</v>
      </c>
      <c r="H54" s="56">
        <f t="shared" si="12"/>
        <v>0</v>
      </c>
    </row>
    <row r="55" spans="1:10" ht="14.25" thickTop="1">
      <c r="A55" s="95"/>
      <c r="B55" s="96"/>
      <c r="C55" s="92"/>
      <c r="D55" s="92"/>
      <c r="E55" s="92"/>
      <c r="F55" s="92"/>
      <c r="G55" s="92"/>
      <c r="H55" s="92"/>
      <c r="I55" s="93"/>
      <c r="J55" s="93"/>
    </row>
    <row r="56" spans="1:10">
      <c r="A56" s="95"/>
      <c r="B56" s="96"/>
      <c r="C56" s="92"/>
      <c r="D56" s="92"/>
      <c r="E56" s="92"/>
      <c r="F56" s="92"/>
      <c r="G56" s="92"/>
      <c r="H56" s="92"/>
      <c r="I56" s="93"/>
      <c r="J56" s="93"/>
    </row>
    <row r="57" spans="1:10">
      <c r="A57" s="459" t="s">
        <v>280</v>
      </c>
      <c r="B57" s="459"/>
      <c r="C57" s="97">
        <f t="shared" ref="C57:H57" si="13">+C8</f>
        <v>2011</v>
      </c>
      <c r="D57" s="97">
        <f t="shared" si="13"/>
        <v>2012</v>
      </c>
      <c r="E57" s="97">
        <f t="shared" si="13"/>
        <v>2013</v>
      </c>
      <c r="F57" s="97">
        <f t="shared" si="13"/>
        <v>2014</v>
      </c>
      <c r="G57" s="97">
        <f t="shared" si="13"/>
        <v>2015</v>
      </c>
      <c r="H57" s="97">
        <f t="shared" si="13"/>
        <v>2016</v>
      </c>
      <c r="I57" s="93"/>
      <c r="J57" s="93"/>
    </row>
    <row r="58" spans="1:10">
      <c r="A58" s="457" t="s">
        <v>76</v>
      </c>
      <c r="B58" s="458"/>
      <c r="C58" s="315"/>
      <c r="D58" s="316">
        <f>+C58*(1+D59)</f>
        <v>0</v>
      </c>
      <c r="E58" s="316">
        <f>+D58*(1+E59)</f>
        <v>0</v>
      </c>
      <c r="F58" s="316">
        <f>+E58*(1+F59)</f>
        <v>0</v>
      </c>
      <c r="G58" s="316">
        <f>+F58*(1+G59)</f>
        <v>0</v>
      </c>
      <c r="H58" s="316">
        <f>+G58*(1+H59)</f>
        <v>0</v>
      </c>
      <c r="I58" s="93"/>
      <c r="J58" s="93"/>
    </row>
    <row r="59" spans="1:10">
      <c r="A59" s="84" t="s">
        <v>249</v>
      </c>
      <c r="B59" s="85"/>
      <c r="C59" s="317"/>
      <c r="D59" s="318"/>
      <c r="E59" s="318"/>
      <c r="F59" s="318"/>
      <c r="G59" s="318"/>
      <c r="H59" s="318"/>
      <c r="I59" s="93"/>
      <c r="J59" s="93"/>
    </row>
    <row r="60" spans="1:10">
      <c r="A60" s="457" t="s">
        <v>77</v>
      </c>
      <c r="B60" s="458"/>
      <c r="C60" s="315"/>
      <c r="D60" s="316">
        <f>+C60*(1+D61)</f>
        <v>0</v>
      </c>
      <c r="E60" s="316">
        <f>+D60*(1+E61)</f>
        <v>0</v>
      </c>
      <c r="F60" s="316">
        <f>+E60*(1+F61)</f>
        <v>0</v>
      </c>
      <c r="G60" s="316">
        <f>+F60*(1+G61)</f>
        <v>0</v>
      </c>
      <c r="H60" s="316">
        <f>+G60*(1+H61)</f>
        <v>0</v>
      </c>
      <c r="I60" s="93"/>
      <c r="J60" s="93"/>
    </row>
    <row r="61" spans="1:10">
      <c r="A61" s="84" t="s">
        <v>249</v>
      </c>
      <c r="B61" s="85"/>
      <c r="C61" s="317"/>
      <c r="D61" s="318"/>
      <c r="E61" s="318"/>
      <c r="F61" s="318"/>
      <c r="G61" s="318"/>
      <c r="H61" s="318"/>
      <c r="I61" s="93"/>
      <c r="J61" s="93"/>
    </row>
    <row r="62" spans="1:10">
      <c r="A62" s="457" t="s">
        <v>78</v>
      </c>
      <c r="B62" s="458"/>
      <c r="C62" s="315"/>
      <c r="D62" s="316">
        <f>+C62*(1+D63)</f>
        <v>0</v>
      </c>
      <c r="E62" s="316">
        <f>+D62*(1+E63)</f>
        <v>0</v>
      </c>
      <c r="F62" s="316">
        <f>+E62*(1+F63)</f>
        <v>0</v>
      </c>
      <c r="G62" s="316">
        <f>+F62*(1+G63)</f>
        <v>0</v>
      </c>
      <c r="H62" s="316">
        <f>+G62*(1+H63)</f>
        <v>0</v>
      </c>
      <c r="I62" s="93"/>
      <c r="J62" s="93"/>
    </row>
    <row r="63" spans="1:10">
      <c r="A63" s="84" t="s">
        <v>249</v>
      </c>
      <c r="B63" s="85"/>
      <c r="C63" s="317"/>
      <c r="D63" s="318"/>
      <c r="E63" s="318"/>
      <c r="F63" s="318"/>
      <c r="G63" s="318"/>
      <c r="H63" s="318"/>
      <c r="I63" s="93"/>
      <c r="J63" s="93"/>
    </row>
    <row r="64" spans="1:10">
      <c r="A64" s="457" t="s">
        <v>79</v>
      </c>
      <c r="B64" s="458"/>
      <c r="C64" s="315"/>
      <c r="D64" s="316">
        <f>+C64*(1+D65)</f>
        <v>0</v>
      </c>
      <c r="E64" s="316">
        <f>+D64*(1+E65)</f>
        <v>0</v>
      </c>
      <c r="F64" s="316">
        <f>+E64*(1+F65)</f>
        <v>0</v>
      </c>
      <c r="G64" s="316">
        <f>+F64*(1+G65)</f>
        <v>0</v>
      </c>
      <c r="H64" s="316">
        <f>+G64*(1+H65)</f>
        <v>0</v>
      </c>
      <c r="I64" s="93"/>
      <c r="J64" s="93"/>
    </row>
    <row r="65" spans="1:10">
      <c r="A65" s="84" t="s">
        <v>249</v>
      </c>
      <c r="B65" s="85"/>
      <c r="C65" s="317"/>
      <c r="D65" s="318"/>
      <c r="E65" s="318"/>
      <c r="F65" s="318"/>
      <c r="G65" s="318"/>
      <c r="H65" s="318"/>
      <c r="I65" s="93"/>
      <c r="J65" s="93"/>
    </row>
    <row r="66" spans="1:10" ht="14.25" thickBot="1">
      <c r="A66" s="460" t="s">
        <v>96</v>
      </c>
      <c r="B66" s="460"/>
      <c r="C66" s="56">
        <f t="shared" ref="C66:H66" si="14">+C58+C60+C62+C64</f>
        <v>0</v>
      </c>
      <c r="D66" s="56">
        <f t="shared" si="14"/>
        <v>0</v>
      </c>
      <c r="E66" s="56">
        <f t="shared" si="14"/>
        <v>0</v>
      </c>
      <c r="F66" s="56">
        <f t="shared" si="14"/>
        <v>0</v>
      </c>
      <c r="G66" s="56">
        <f t="shared" si="14"/>
        <v>0</v>
      </c>
      <c r="H66" s="56">
        <f t="shared" si="14"/>
        <v>0</v>
      </c>
    </row>
    <row r="67" spans="1:10" ht="14.25" thickTop="1">
      <c r="A67" s="95"/>
      <c r="B67" s="96"/>
      <c r="C67" s="92"/>
      <c r="D67" s="92"/>
      <c r="E67" s="92"/>
      <c r="F67" s="92"/>
      <c r="G67" s="92"/>
      <c r="H67" s="92"/>
      <c r="I67" s="93"/>
      <c r="J67" s="93"/>
    </row>
    <row r="68" spans="1:10">
      <c r="A68" s="95"/>
      <c r="B68" s="96"/>
      <c r="C68" s="92"/>
      <c r="D68" s="92"/>
      <c r="E68" s="92"/>
      <c r="F68" s="92"/>
      <c r="G68" s="92"/>
      <c r="H68" s="92"/>
      <c r="I68" s="93"/>
      <c r="J68" s="93"/>
    </row>
    <row r="69" spans="1:10">
      <c r="A69" s="456" t="s">
        <v>186</v>
      </c>
      <c r="B69" s="456"/>
      <c r="C69" s="98">
        <f t="shared" ref="C69:H69" si="15">+C29</f>
        <v>582777.88</v>
      </c>
      <c r="D69" s="98">
        <f t="shared" si="15"/>
        <v>772746.65204000007</v>
      </c>
      <c r="E69" s="98">
        <f t="shared" si="15"/>
        <v>986935.62404162018</v>
      </c>
      <c r="F69" s="98">
        <f t="shared" si="15"/>
        <v>1204226.8017772709</v>
      </c>
      <c r="G69" s="98">
        <f t="shared" si="15"/>
        <v>1434679.6311610604</v>
      </c>
      <c r="H69" s="98">
        <f t="shared" si="15"/>
        <v>1551631.85020183</v>
      </c>
      <c r="I69" s="93"/>
      <c r="J69" s="93"/>
    </row>
    <row r="70" spans="1:10">
      <c r="A70" s="456" t="s">
        <v>187</v>
      </c>
      <c r="B70" s="456"/>
      <c r="C70" s="98">
        <f t="shared" ref="C70:H70" si="16">+C41</f>
        <v>0</v>
      </c>
      <c r="D70" s="98">
        <f t="shared" si="16"/>
        <v>0</v>
      </c>
      <c r="E70" s="98">
        <f t="shared" si="16"/>
        <v>0</v>
      </c>
      <c r="F70" s="98">
        <f t="shared" si="16"/>
        <v>14321.553243750002</v>
      </c>
      <c r="G70" s="98">
        <f t="shared" si="16"/>
        <v>16226.319825168755</v>
      </c>
      <c r="H70" s="98">
        <f t="shared" si="16"/>
        <v>17548.764890920011</v>
      </c>
      <c r="I70" s="93"/>
      <c r="J70" s="93"/>
    </row>
    <row r="71" spans="1:10">
      <c r="A71" s="456" t="s">
        <v>66</v>
      </c>
      <c r="B71" s="456"/>
      <c r="C71" s="105">
        <f t="shared" ref="C71:H71" si="17">+C69+C70</f>
        <v>582777.88</v>
      </c>
      <c r="D71" s="105">
        <f t="shared" si="17"/>
        <v>772746.65204000007</v>
      </c>
      <c r="E71" s="105">
        <f t="shared" si="17"/>
        <v>986935.62404162018</v>
      </c>
      <c r="F71" s="105">
        <f t="shared" si="17"/>
        <v>1218548.3550210209</v>
      </c>
      <c r="G71" s="105">
        <f t="shared" si="17"/>
        <v>1450905.9509862291</v>
      </c>
      <c r="H71" s="105">
        <f t="shared" si="17"/>
        <v>1569180.6150927499</v>
      </c>
      <c r="I71" s="93"/>
      <c r="J71" s="93"/>
    </row>
    <row r="72" spans="1:10" ht="14.25" thickBot="1">
      <c r="A72" s="99" t="s">
        <v>151</v>
      </c>
      <c r="B72" s="106">
        <f>+Pressupostos!B17</f>
        <v>0.06</v>
      </c>
      <c r="C72" s="56">
        <f t="shared" ref="C72:H72" si="18">+C69*$B$72</f>
        <v>34966.6728</v>
      </c>
      <c r="D72" s="56">
        <f t="shared" si="18"/>
        <v>46364.7991224</v>
      </c>
      <c r="E72" s="56">
        <f t="shared" si="18"/>
        <v>59216.137442497209</v>
      </c>
      <c r="F72" s="56">
        <f t="shared" si="18"/>
        <v>72253.608106636253</v>
      </c>
      <c r="G72" s="56">
        <f t="shared" si="18"/>
        <v>86080.777869663623</v>
      </c>
      <c r="H72" s="56">
        <f t="shared" si="18"/>
        <v>93097.911012109806</v>
      </c>
      <c r="I72" s="93"/>
      <c r="J72" s="93"/>
    </row>
    <row r="73" spans="1:10" ht="14.25" thickTop="1">
      <c r="A73" s="86"/>
      <c r="B73" s="100"/>
      <c r="C73" s="87"/>
      <c r="D73" s="87"/>
      <c r="E73" s="87"/>
      <c r="F73" s="87"/>
      <c r="G73" s="87"/>
      <c r="H73" s="87"/>
      <c r="I73" s="93"/>
      <c r="J73" s="93"/>
    </row>
    <row r="74" spans="1:10" s="102" customFormat="1">
      <c r="A74" s="86"/>
      <c r="B74" s="100"/>
      <c r="C74" s="87"/>
      <c r="D74" s="87"/>
      <c r="E74" s="87"/>
      <c r="F74" s="87"/>
      <c r="G74" s="87"/>
      <c r="H74" s="87"/>
      <c r="I74" s="101"/>
      <c r="J74" s="101"/>
    </row>
    <row r="75" spans="1:10">
      <c r="A75" s="456" t="s">
        <v>281</v>
      </c>
      <c r="B75" s="456"/>
      <c r="C75" s="98">
        <f t="shared" ref="C75:H75" si="19">+C54</f>
        <v>0</v>
      </c>
      <c r="D75" s="98">
        <f t="shared" si="19"/>
        <v>0</v>
      </c>
      <c r="E75" s="98">
        <f t="shared" si="19"/>
        <v>0</v>
      </c>
      <c r="F75" s="98">
        <f t="shared" si="19"/>
        <v>0</v>
      </c>
      <c r="G75" s="98">
        <f t="shared" si="19"/>
        <v>0</v>
      </c>
      <c r="H75" s="98">
        <f t="shared" si="19"/>
        <v>0</v>
      </c>
      <c r="I75" s="93"/>
      <c r="J75" s="93"/>
    </row>
    <row r="76" spans="1:10">
      <c r="A76" s="456" t="s">
        <v>282</v>
      </c>
      <c r="B76" s="456"/>
      <c r="C76" s="98">
        <f t="shared" ref="C76:H76" si="20">+C66</f>
        <v>0</v>
      </c>
      <c r="D76" s="98">
        <f t="shared" si="20"/>
        <v>0</v>
      </c>
      <c r="E76" s="98">
        <f t="shared" si="20"/>
        <v>0</v>
      </c>
      <c r="F76" s="98">
        <f t="shared" si="20"/>
        <v>0</v>
      </c>
      <c r="G76" s="98">
        <f t="shared" si="20"/>
        <v>0</v>
      </c>
      <c r="H76" s="98">
        <f t="shared" si="20"/>
        <v>0</v>
      </c>
      <c r="I76" s="93"/>
      <c r="J76" s="93"/>
    </row>
    <row r="77" spans="1:10">
      <c r="A77" s="456" t="s">
        <v>188</v>
      </c>
      <c r="B77" s="456"/>
      <c r="C77" s="105">
        <f t="shared" ref="C77:H77" si="21">+C75+C76</f>
        <v>0</v>
      </c>
      <c r="D77" s="105">
        <f t="shared" si="21"/>
        <v>0</v>
      </c>
      <c r="E77" s="105">
        <f t="shared" si="21"/>
        <v>0</v>
      </c>
      <c r="F77" s="105">
        <f t="shared" si="21"/>
        <v>0</v>
      </c>
      <c r="G77" s="105">
        <f t="shared" si="21"/>
        <v>0</v>
      </c>
      <c r="H77" s="105">
        <f t="shared" si="21"/>
        <v>0</v>
      </c>
      <c r="I77" s="93"/>
      <c r="J77" s="93"/>
    </row>
    <row r="78" spans="1:10" ht="14.25" thickBot="1">
      <c r="A78" s="99" t="s">
        <v>283</v>
      </c>
      <c r="B78" s="106">
        <f>+Pressupostos!B18</f>
        <v>0</v>
      </c>
      <c r="C78" s="56">
        <f t="shared" ref="C78:H78" si="22">+C75*$B$78</f>
        <v>0</v>
      </c>
      <c r="D78" s="56">
        <f t="shared" si="22"/>
        <v>0</v>
      </c>
      <c r="E78" s="56">
        <f t="shared" si="22"/>
        <v>0</v>
      </c>
      <c r="F78" s="56">
        <f t="shared" si="22"/>
        <v>0</v>
      </c>
      <c r="G78" s="56">
        <f t="shared" si="22"/>
        <v>0</v>
      </c>
      <c r="H78" s="56">
        <f t="shared" si="22"/>
        <v>0</v>
      </c>
      <c r="I78" s="93"/>
      <c r="J78" s="93"/>
    </row>
    <row r="79" spans="1:10" ht="14.25" thickTop="1">
      <c r="A79" s="95"/>
      <c r="B79" s="96"/>
      <c r="C79" s="92"/>
      <c r="D79" s="92"/>
      <c r="E79" s="92"/>
      <c r="F79" s="92"/>
      <c r="G79" s="92"/>
      <c r="H79" s="92"/>
      <c r="I79" s="93"/>
      <c r="J79" s="93"/>
    </row>
    <row r="80" spans="1:10" ht="14.25" thickBot="1">
      <c r="A80" s="461" t="s">
        <v>67</v>
      </c>
      <c r="B80" s="461"/>
      <c r="C80" s="56">
        <f t="shared" ref="C80:H80" si="23">+C71+C77</f>
        <v>582777.88</v>
      </c>
      <c r="D80" s="56">
        <f t="shared" si="23"/>
        <v>772746.65204000007</v>
      </c>
      <c r="E80" s="56">
        <f t="shared" si="23"/>
        <v>986935.62404162018</v>
      </c>
      <c r="F80" s="56">
        <f t="shared" si="23"/>
        <v>1218548.3550210209</v>
      </c>
      <c r="G80" s="56">
        <f t="shared" si="23"/>
        <v>1450905.9509862291</v>
      </c>
      <c r="H80" s="56">
        <f t="shared" si="23"/>
        <v>1569180.6150927499</v>
      </c>
      <c r="I80" s="93"/>
      <c r="J80" s="93"/>
    </row>
    <row r="81" spans="1:10" ht="14.25" thickTop="1">
      <c r="A81" s="95"/>
      <c r="B81" s="91"/>
      <c r="C81" s="92"/>
      <c r="D81" s="92"/>
      <c r="E81" s="92"/>
      <c r="F81" s="92"/>
      <c r="G81" s="92"/>
      <c r="H81" s="92"/>
      <c r="I81" s="93"/>
      <c r="J81" s="93"/>
    </row>
    <row r="82" spans="1:10" ht="14.25" thickBot="1">
      <c r="A82" s="461" t="s">
        <v>64</v>
      </c>
      <c r="B82" s="461"/>
      <c r="C82" s="56">
        <f t="shared" ref="C82:H82" si="24">+C72+C78</f>
        <v>34966.6728</v>
      </c>
      <c r="D82" s="56">
        <f t="shared" si="24"/>
        <v>46364.7991224</v>
      </c>
      <c r="E82" s="56">
        <f t="shared" si="24"/>
        <v>59216.137442497209</v>
      </c>
      <c r="F82" s="56">
        <f t="shared" si="24"/>
        <v>72253.608106636253</v>
      </c>
      <c r="G82" s="56">
        <f t="shared" si="24"/>
        <v>86080.777869663623</v>
      </c>
      <c r="H82" s="56">
        <f t="shared" si="24"/>
        <v>93097.911012109806</v>
      </c>
      <c r="I82" s="93"/>
      <c r="J82" s="93"/>
    </row>
    <row r="83" spans="1:10" ht="14.25" thickTop="1">
      <c r="A83" s="83"/>
      <c r="B83" s="83"/>
      <c r="C83" s="83"/>
      <c r="D83" s="83"/>
      <c r="E83" s="83"/>
      <c r="F83" s="83"/>
      <c r="G83" s="83"/>
      <c r="H83" s="83"/>
      <c r="I83" s="93"/>
      <c r="J83" s="93"/>
    </row>
    <row r="84" spans="1:10" ht="14.25" thickBot="1">
      <c r="A84" s="461" t="s">
        <v>71</v>
      </c>
      <c r="B84" s="461"/>
      <c r="C84" s="56">
        <f t="shared" ref="C84:H84" si="25">+C80+C82</f>
        <v>617744.55279999995</v>
      </c>
      <c r="D84" s="56">
        <f t="shared" si="25"/>
        <v>819111.45116240007</v>
      </c>
      <c r="E84" s="56">
        <f t="shared" si="25"/>
        <v>1046151.7614841174</v>
      </c>
      <c r="F84" s="56">
        <f t="shared" si="25"/>
        <v>1290801.9631276571</v>
      </c>
      <c r="G84" s="56">
        <f t="shared" si="25"/>
        <v>1536986.7288558928</v>
      </c>
      <c r="H84" s="56">
        <f t="shared" si="25"/>
        <v>1662278.5261048598</v>
      </c>
      <c r="I84" s="93"/>
      <c r="J84" s="93"/>
    </row>
    <row r="85" spans="1:10" ht="14.25" thickTop="1">
      <c r="A85" s="83"/>
      <c r="B85" s="83"/>
      <c r="C85" s="83"/>
      <c r="D85" s="83"/>
      <c r="E85" s="83"/>
      <c r="F85" s="83"/>
      <c r="G85" s="83"/>
      <c r="H85" s="83"/>
      <c r="I85" s="93"/>
      <c r="J85" s="93"/>
    </row>
    <row r="86" spans="1:10">
      <c r="A86" s="83"/>
      <c r="B86" s="83"/>
      <c r="C86" s="83"/>
      <c r="D86" s="83"/>
      <c r="E86" s="83"/>
      <c r="F86" s="83"/>
      <c r="G86" s="83"/>
      <c r="H86" s="83"/>
      <c r="I86" s="93"/>
      <c r="J86" s="93"/>
    </row>
    <row r="87" spans="1:10" ht="14.25" thickBot="1">
      <c r="A87" s="103" t="s">
        <v>338</v>
      </c>
      <c r="B87" s="65"/>
      <c r="C87" s="56">
        <f t="shared" ref="C87:H87" si="26">+$B$87*C84</f>
        <v>0</v>
      </c>
      <c r="D87" s="56">
        <f t="shared" si="26"/>
        <v>0</v>
      </c>
      <c r="E87" s="56">
        <f t="shared" si="26"/>
        <v>0</v>
      </c>
      <c r="F87" s="56">
        <f t="shared" si="26"/>
        <v>0</v>
      </c>
      <c r="G87" s="56">
        <f t="shared" si="26"/>
        <v>0</v>
      </c>
      <c r="H87" s="56">
        <f t="shared" si="26"/>
        <v>0</v>
      </c>
      <c r="I87" s="93"/>
      <c r="J87" s="93"/>
    </row>
    <row r="88" spans="1:10" ht="14.25" thickTop="1">
      <c r="A88" s="83"/>
      <c r="B88" s="83"/>
      <c r="C88" s="83"/>
      <c r="D88" s="83"/>
      <c r="E88" s="83"/>
      <c r="F88" s="83"/>
      <c r="G88" s="83"/>
      <c r="H88" s="83"/>
    </row>
    <row r="89" spans="1:10">
      <c r="A89" s="93"/>
      <c r="B89" s="93"/>
      <c r="C89" s="93"/>
      <c r="D89" s="93"/>
      <c r="E89" s="93"/>
      <c r="F89" s="93"/>
      <c r="G89" s="93"/>
      <c r="H89" s="93"/>
    </row>
    <row r="90" spans="1:10">
      <c r="A90" s="93"/>
      <c r="B90" s="93"/>
      <c r="C90" s="93"/>
      <c r="D90" s="93"/>
      <c r="E90" s="93"/>
      <c r="F90" s="93"/>
      <c r="G90" s="93"/>
      <c r="H90" s="93"/>
    </row>
    <row r="91" spans="1:10">
      <c r="A91" s="93"/>
      <c r="B91" s="93"/>
      <c r="C91" s="93"/>
      <c r="D91" s="93"/>
      <c r="E91" s="93"/>
      <c r="F91" s="93"/>
      <c r="G91" s="93"/>
      <c r="H91" s="93"/>
    </row>
    <row r="92" spans="1:10">
      <c r="A92" s="93"/>
      <c r="B92" s="93"/>
      <c r="C92" s="93"/>
      <c r="D92" s="93"/>
      <c r="E92" s="93"/>
      <c r="F92" s="93"/>
      <c r="G92" s="93"/>
      <c r="H92" s="93"/>
    </row>
    <row r="93" spans="1:10">
      <c r="A93" s="93"/>
      <c r="B93" s="93"/>
      <c r="C93" s="93"/>
      <c r="D93" s="93"/>
      <c r="E93" s="93"/>
      <c r="F93" s="93"/>
      <c r="G93" s="93"/>
      <c r="H93" s="93"/>
    </row>
    <row r="94" spans="1:10">
      <c r="A94" s="93"/>
      <c r="B94" s="93"/>
      <c r="C94" s="93"/>
      <c r="D94" s="93"/>
      <c r="E94" s="93"/>
      <c r="F94" s="93"/>
      <c r="G94" s="93"/>
      <c r="H94" s="93"/>
    </row>
    <row r="95" spans="1:10">
      <c r="A95" s="93"/>
      <c r="B95" s="93"/>
      <c r="C95" s="93"/>
      <c r="D95" s="93"/>
      <c r="E95" s="93"/>
      <c r="F95" s="93"/>
      <c r="G95" s="93"/>
      <c r="H95" s="93"/>
    </row>
    <row r="96" spans="1:10">
      <c r="A96" s="93"/>
      <c r="B96" s="93"/>
      <c r="C96" s="93"/>
      <c r="D96" s="93"/>
      <c r="E96" s="93"/>
      <c r="F96" s="93"/>
      <c r="G96" s="93"/>
      <c r="H96" s="93"/>
    </row>
    <row r="97" spans="1:8">
      <c r="A97" s="93"/>
      <c r="B97" s="93"/>
      <c r="C97" s="93"/>
      <c r="D97" s="93"/>
      <c r="E97" s="93"/>
      <c r="F97" s="93"/>
      <c r="G97" s="93"/>
      <c r="H97" s="93"/>
    </row>
    <row r="98" spans="1:8">
      <c r="A98" s="93"/>
      <c r="B98" s="93"/>
      <c r="C98" s="93"/>
      <c r="D98" s="93"/>
      <c r="E98" s="93"/>
      <c r="F98" s="93"/>
      <c r="G98" s="93"/>
      <c r="H98" s="93"/>
    </row>
    <row r="99" spans="1:8">
      <c r="A99" s="93"/>
      <c r="B99" s="93"/>
      <c r="C99" s="93"/>
      <c r="D99" s="93"/>
      <c r="E99" s="93"/>
      <c r="F99" s="93"/>
      <c r="G99" s="93"/>
      <c r="H99" s="93"/>
    </row>
    <row r="100" spans="1:8">
      <c r="A100" s="93"/>
      <c r="B100" s="93"/>
      <c r="C100" s="93"/>
      <c r="D100" s="93"/>
      <c r="E100" s="93"/>
      <c r="F100" s="93"/>
      <c r="G100" s="93"/>
      <c r="H100" s="93"/>
    </row>
    <row r="101" spans="1:8">
      <c r="A101" s="93"/>
      <c r="B101" s="93"/>
      <c r="C101" s="93"/>
      <c r="D101" s="93"/>
      <c r="E101" s="93"/>
      <c r="F101" s="93"/>
      <c r="G101" s="93"/>
      <c r="H101" s="93"/>
    </row>
    <row r="102" spans="1:8">
      <c r="A102" s="93"/>
      <c r="B102" s="93"/>
      <c r="C102" s="93"/>
      <c r="D102" s="93"/>
      <c r="E102" s="93"/>
      <c r="F102" s="93"/>
      <c r="G102" s="93"/>
      <c r="H102" s="93"/>
    </row>
    <row r="103" spans="1:8">
      <c r="A103" s="93"/>
      <c r="B103" s="93"/>
      <c r="C103" s="93"/>
      <c r="D103" s="93"/>
      <c r="E103" s="93"/>
      <c r="F103" s="93"/>
      <c r="G103" s="93"/>
      <c r="H103" s="93"/>
    </row>
    <row r="104" spans="1:8">
      <c r="A104" s="93"/>
      <c r="B104" s="93"/>
      <c r="C104" s="93"/>
      <c r="D104" s="93"/>
      <c r="E104" s="93"/>
      <c r="F104" s="93"/>
      <c r="G104" s="93"/>
      <c r="H104" s="93"/>
    </row>
    <row r="105" spans="1:8">
      <c r="A105" s="93"/>
      <c r="B105" s="93"/>
      <c r="C105" s="93"/>
      <c r="D105" s="93"/>
      <c r="E105" s="93"/>
      <c r="F105" s="93"/>
      <c r="G105" s="93"/>
      <c r="H105" s="93"/>
    </row>
    <row r="106" spans="1:8">
      <c r="A106" s="93"/>
      <c r="B106" s="93"/>
      <c r="C106" s="93"/>
      <c r="D106" s="93"/>
      <c r="E106" s="93"/>
      <c r="F106" s="93"/>
      <c r="G106" s="93"/>
      <c r="H106" s="93"/>
    </row>
    <row r="107" spans="1:8">
      <c r="A107" s="93"/>
      <c r="B107" s="93"/>
      <c r="C107" s="93"/>
      <c r="D107" s="93"/>
      <c r="E107" s="93"/>
      <c r="F107" s="93"/>
      <c r="G107" s="93"/>
      <c r="H107" s="93"/>
    </row>
    <row r="108" spans="1:8">
      <c r="A108" s="93"/>
      <c r="B108" s="93"/>
      <c r="C108" s="93"/>
      <c r="D108" s="93"/>
      <c r="E108" s="93"/>
      <c r="F108" s="93"/>
      <c r="G108" s="93"/>
      <c r="H108" s="93"/>
    </row>
    <row r="109" spans="1:8">
      <c r="A109" s="93"/>
      <c r="B109" s="93"/>
      <c r="C109" s="93"/>
      <c r="D109" s="93"/>
      <c r="E109" s="93"/>
      <c r="F109" s="93"/>
      <c r="G109" s="93"/>
      <c r="H109" s="93"/>
    </row>
    <row r="110" spans="1:8">
      <c r="A110" s="93"/>
      <c r="B110" s="93"/>
      <c r="C110" s="93"/>
      <c r="D110" s="93"/>
      <c r="E110" s="93"/>
      <c r="F110" s="93"/>
      <c r="G110" s="93"/>
      <c r="H110" s="93"/>
    </row>
    <row r="111" spans="1:8">
      <c r="A111" s="93"/>
      <c r="B111" s="93"/>
      <c r="C111" s="93"/>
      <c r="D111" s="93"/>
      <c r="E111" s="93"/>
      <c r="F111" s="93"/>
      <c r="G111" s="93"/>
      <c r="H111" s="93"/>
    </row>
    <row r="112" spans="1:8">
      <c r="A112" s="93"/>
      <c r="B112" s="93"/>
      <c r="C112" s="93"/>
      <c r="D112" s="93"/>
      <c r="E112" s="93"/>
      <c r="F112" s="93"/>
      <c r="G112" s="93"/>
      <c r="H112" s="93"/>
    </row>
    <row r="113" spans="1:8">
      <c r="A113" s="93"/>
      <c r="B113" s="93"/>
      <c r="C113" s="93"/>
      <c r="D113" s="93"/>
      <c r="E113" s="93"/>
      <c r="F113" s="93"/>
      <c r="G113" s="93"/>
      <c r="H113" s="93"/>
    </row>
    <row r="114" spans="1:8">
      <c r="A114" s="93"/>
      <c r="B114" s="93"/>
      <c r="C114" s="93"/>
      <c r="D114" s="93"/>
      <c r="E114" s="93"/>
      <c r="F114" s="93"/>
      <c r="G114" s="93"/>
      <c r="H114" s="93"/>
    </row>
    <row r="115" spans="1:8">
      <c r="A115" s="93"/>
      <c r="B115" s="93"/>
      <c r="C115" s="93"/>
      <c r="D115" s="93"/>
      <c r="E115" s="93"/>
      <c r="F115" s="93"/>
      <c r="G115" s="93"/>
      <c r="H115" s="93"/>
    </row>
    <row r="116" spans="1:8">
      <c r="A116" s="93"/>
      <c r="B116" s="93"/>
      <c r="C116" s="93"/>
      <c r="D116" s="93"/>
      <c r="E116" s="93"/>
      <c r="F116" s="93"/>
      <c r="G116" s="93"/>
      <c r="H116" s="93"/>
    </row>
    <row r="117" spans="1:8">
      <c r="A117" s="93"/>
      <c r="B117" s="93"/>
      <c r="C117" s="93"/>
      <c r="D117" s="93"/>
      <c r="E117" s="93"/>
      <c r="F117" s="93"/>
      <c r="G117" s="93"/>
      <c r="H117" s="93"/>
    </row>
    <row r="118" spans="1:8">
      <c r="A118" s="93"/>
      <c r="B118" s="93"/>
      <c r="C118" s="93"/>
      <c r="D118" s="93"/>
      <c r="E118" s="93"/>
      <c r="F118" s="93"/>
      <c r="G118" s="93"/>
      <c r="H118" s="93"/>
    </row>
    <row r="119" spans="1:8">
      <c r="A119" s="93"/>
      <c r="B119" s="93"/>
      <c r="C119" s="93"/>
      <c r="D119" s="93"/>
      <c r="E119" s="93"/>
      <c r="F119" s="93"/>
      <c r="G119" s="93"/>
      <c r="H119" s="93"/>
    </row>
    <row r="120" spans="1:8">
      <c r="A120" s="93"/>
      <c r="B120" s="93"/>
      <c r="C120" s="93"/>
      <c r="D120" s="93"/>
      <c r="E120" s="93"/>
      <c r="F120" s="93"/>
      <c r="G120" s="93"/>
      <c r="H120" s="93"/>
    </row>
    <row r="121" spans="1:8">
      <c r="A121" s="93"/>
      <c r="B121" s="93"/>
      <c r="C121" s="93"/>
      <c r="D121" s="93"/>
      <c r="E121" s="93"/>
      <c r="F121" s="93"/>
      <c r="G121" s="93"/>
      <c r="H121" s="93"/>
    </row>
    <row r="122" spans="1:8">
      <c r="A122" s="93"/>
      <c r="B122" s="93"/>
      <c r="C122" s="93"/>
      <c r="D122" s="93"/>
      <c r="E122" s="93"/>
      <c r="F122" s="93"/>
      <c r="G122" s="93"/>
      <c r="H122" s="93"/>
    </row>
    <row r="123" spans="1:8">
      <c r="A123" s="93"/>
      <c r="B123" s="93"/>
      <c r="C123" s="93"/>
      <c r="D123" s="93"/>
      <c r="E123" s="93"/>
      <c r="F123" s="93"/>
      <c r="G123" s="93"/>
      <c r="H123" s="93"/>
    </row>
    <row r="124" spans="1:8">
      <c r="A124" s="93"/>
      <c r="B124" s="93"/>
      <c r="C124" s="93"/>
      <c r="D124" s="93"/>
      <c r="E124" s="93"/>
      <c r="F124" s="93"/>
      <c r="G124" s="93"/>
      <c r="H124" s="93"/>
    </row>
    <row r="125" spans="1:8">
      <c r="A125" s="93"/>
      <c r="B125" s="93"/>
      <c r="C125" s="93"/>
      <c r="D125" s="93"/>
      <c r="E125" s="93"/>
      <c r="F125" s="93"/>
      <c r="G125" s="93"/>
      <c r="H125" s="93"/>
    </row>
    <row r="126" spans="1:8">
      <c r="A126" s="93"/>
      <c r="B126" s="93"/>
      <c r="C126" s="93"/>
      <c r="D126" s="93"/>
      <c r="E126" s="93"/>
      <c r="F126" s="93"/>
      <c r="G126" s="93"/>
      <c r="H126" s="93"/>
    </row>
    <row r="127" spans="1:8">
      <c r="A127" s="93"/>
      <c r="B127" s="93"/>
      <c r="C127" s="93"/>
      <c r="D127" s="93"/>
      <c r="E127" s="93"/>
      <c r="F127" s="93"/>
      <c r="G127" s="93"/>
      <c r="H127" s="93"/>
    </row>
    <row r="128" spans="1:8">
      <c r="A128" s="93"/>
      <c r="B128" s="93"/>
      <c r="C128" s="93"/>
      <c r="D128" s="93"/>
      <c r="E128" s="93"/>
      <c r="F128" s="93"/>
      <c r="G128" s="93"/>
      <c r="H128" s="93"/>
    </row>
    <row r="129" spans="1:8">
      <c r="A129" s="93"/>
      <c r="B129" s="93"/>
      <c r="C129" s="93"/>
      <c r="D129" s="93"/>
      <c r="E129" s="93"/>
      <c r="F129" s="93"/>
      <c r="G129" s="93"/>
      <c r="H129" s="93"/>
    </row>
    <row r="130" spans="1:8">
      <c r="A130" s="93"/>
      <c r="B130" s="93"/>
      <c r="C130" s="93"/>
      <c r="D130" s="93"/>
      <c r="E130" s="93"/>
      <c r="F130" s="93"/>
      <c r="G130" s="93"/>
      <c r="H130" s="93"/>
    </row>
    <row r="131" spans="1:8">
      <c r="A131" s="93"/>
      <c r="B131" s="93"/>
      <c r="C131" s="93"/>
      <c r="D131" s="93"/>
      <c r="E131" s="93"/>
      <c r="F131" s="93"/>
      <c r="G131" s="93"/>
      <c r="H131" s="93"/>
    </row>
    <row r="132" spans="1:8">
      <c r="A132" s="93"/>
      <c r="B132" s="93"/>
      <c r="C132" s="93"/>
      <c r="D132" s="93"/>
      <c r="E132" s="93"/>
      <c r="F132" s="93"/>
      <c r="G132" s="93"/>
      <c r="H132" s="93"/>
    </row>
    <row r="133" spans="1:8">
      <c r="A133" s="93"/>
      <c r="B133" s="93"/>
      <c r="C133" s="93"/>
      <c r="D133" s="93"/>
      <c r="E133" s="93"/>
      <c r="F133" s="93"/>
      <c r="G133" s="93"/>
      <c r="H133" s="93"/>
    </row>
    <row r="134" spans="1:8">
      <c r="A134" s="93"/>
      <c r="B134" s="93"/>
      <c r="C134" s="93"/>
      <c r="D134" s="93"/>
      <c r="E134" s="93"/>
      <c r="F134" s="93"/>
      <c r="G134" s="93"/>
      <c r="H134" s="93"/>
    </row>
    <row r="135" spans="1:8">
      <c r="A135" s="93"/>
      <c r="B135" s="93"/>
      <c r="C135" s="93"/>
      <c r="D135" s="93"/>
      <c r="E135" s="93"/>
      <c r="F135" s="93"/>
      <c r="G135" s="93"/>
      <c r="H135" s="93"/>
    </row>
    <row r="136" spans="1:8">
      <c r="A136" s="93"/>
      <c r="B136" s="93"/>
      <c r="C136" s="93"/>
      <c r="D136" s="93"/>
      <c r="E136" s="93"/>
      <c r="F136" s="93"/>
      <c r="G136" s="93"/>
      <c r="H136" s="93"/>
    </row>
    <row r="137" spans="1:8">
      <c r="A137" s="93"/>
      <c r="B137" s="93"/>
      <c r="C137" s="93"/>
      <c r="D137" s="93"/>
      <c r="E137" s="93"/>
      <c r="F137" s="93"/>
      <c r="G137" s="93"/>
      <c r="H137" s="93"/>
    </row>
    <row r="138" spans="1:8">
      <c r="A138" s="93"/>
      <c r="B138" s="93"/>
      <c r="C138" s="93"/>
      <c r="D138" s="93"/>
      <c r="E138" s="93"/>
      <c r="F138" s="93"/>
      <c r="G138" s="93"/>
      <c r="H138" s="93"/>
    </row>
    <row r="139" spans="1:8">
      <c r="A139" s="93"/>
      <c r="B139" s="93"/>
      <c r="C139" s="93"/>
      <c r="D139" s="93"/>
      <c r="E139" s="93"/>
      <c r="F139" s="93"/>
      <c r="G139" s="93"/>
      <c r="H139" s="93"/>
    </row>
    <row r="140" spans="1:8">
      <c r="A140" s="93"/>
      <c r="B140" s="93"/>
      <c r="C140" s="93"/>
      <c r="D140" s="93"/>
      <c r="E140" s="93"/>
      <c r="F140" s="93"/>
      <c r="G140" s="93"/>
      <c r="H140" s="93"/>
    </row>
    <row r="141" spans="1:8">
      <c r="A141" s="93"/>
      <c r="B141" s="93"/>
      <c r="C141" s="93"/>
      <c r="D141" s="93"/>
      <c r="E141" s="93"/>
      <c r="F141" s="93"/>
      <c r="G141" s="93"/>
      <c r="H141" s="93"/>
    </row>
    <row r="142" spans="1:8">
      <c r="A142" s="93"/>
      <c r="B142" s="93"/>
      <c r="C142" s="93"/>
      <c r="D142" s="93"/>
      <c r="E142" s="93"/>
      <c r="F142" s="93"/>
      <c r="G142" s="93"/>
      <c r="H142" s="93"/>
    </row>
    <row r="143" spans="1:8">
      <c r="A143" s="93"/>
      <c r="B143" s="93"/>
      <c r="C143" s="93"/>
      <c r="D143" s="93"/>
      <c r="E143" s="93"/>
      <c r="F143" s="93"/>
      <c r="G143" s="93"/>
      <c r="H143" s="93"/>
    </row>
    <row r="144" spans="1:8">
      <c r="A144" s="93"/>
      <c r="B144" s="93"/>
      <c r="C144" s="93"/>
      <c r="D144" s="93"/>
      <c r="E144" s="93"/>
      <c r="F144" s="93"/>
      <c r="G144" s="93"/>
      <c r="H144" s="93"/>
    </row>
    <row r="145" spans="1:8">
      <c r="A145" s="93"/>
      <c r="B145" s="93"/>
      <c r="C145" s="93"/>
      <c r="D145" s="93"/>
      <c r="E145" s="93"/>
      <c r="F145" s="93"/>
      <c r="G145" s="93"/>
      <c r="H145" s="93"/>
    </row>
    <row r="146" spans="1:8">
      <c r="A146" s="93"/>
      <c r="B146" s="93"/>
      <c r="C146" s="93"/>
      <c r="D146" s="93"/>
      <c r="E146" s="93"/>
      <c r="F146" s="93"/>
      <c r="G146" s="93"/>
      <c r="H146" s="93"/>
    </row>
    <row r="147" spans="1:8">
      <c r="A147" s="93"/>
      <c r="B147" s="93"/>
      <c r="C147" s="93"/>
      <c r="D147" s="93"/>
      <c r="E147" s="93"/>
      <c r="F147" s="93"/>
      <c r="G147" s="93"/>
      <c r="H147" s="93"/>
    </row>
    <row r="148" spans="1:8">
      <c r="A148" s="93"/>
      <c r="B148" s="93"/>
      <c r="C148" s="93"/>
      <c r="D148" s="93"/>
      <c r="E148" s="93"/>
      <c r="F148" s="93"/>
      <c r="G148" s="93"/>
      <c r="H148" s="93"/>
    </row>
    <row r="149" spans="1:8">
      <c r="A149" s="93"/>
      <c r="B149" s="93"/>
      <c r="C149" s="93"/>
      <c r="D149" s="93"/>
      <c r="E149" s="93"/>
      <c r="F149" s="93"/>
      <c r="G149" s="93"/>
      <c r="H149" s="93"/>
    </row>
    <row r="150" spans="1:8">
      <c r="A150" s="93"/>
      <c r="B150" s="93"/>
      <c r="C150" s="93"/>
      <c r="D150" s="93"/>
      <c r="E150" s="93"/>
      <c r="F150" s="93"/>
      <c r="G150" s="93"/>
      <c r="H150" s="93"/>
    </row>
    <row r="151" spans="1:8">
      <c r="A151" s="93"/>
      <c r="B151" s="93"/>
      <c r="C151" s="93"/>
      <c r="D151" s="93"/>
      <c r="E151" s="93"/>
      <c r="F151" s="93"/>
      <c r="G151" s="93"/>
      <c r="H151" s="93"/>
    </row>
    <row r="152" spans="1:8">
      <c r="A152" s="93"/>
      <c r="B152" s="93"/>
      <c r="C152" s="93"/>
      <c r="D152" s="93"/>
      <c r="E152" s="93"/>
      <c r="F152" s="93"/>
      <c r="G152" s="93"/>
      <c r="H152" s="93"/>
    </row>
    <row r="153" spans="1:8">
      <c r="A153" s="93"/>
      <c r="B153" s="93"/>
      <c r="C153" s="93"/>
      <c r="D153" s="93"/>
      <c r="E153" s="93"/>
      <c r="F153" s="93"/>
      <c r="G153" s="93"/>
      <c r="H153" s="93"/>
    </row>
    <row r="154" spans="1:8">
      <c r="A154" s="93"/>
      <c r="B154" s="93"/>
      <c r="C154" s="93"/>
      <c r="D154" s="93"/>
      <c r="E154" s="93"/>
      <c r="F154" s="93"/>
      <c r="G154" s="93"/>
      <c r="H154" s="93"/>
    </row>
    <row r="155" spans="1:8">
      <c r="A155" s="93"/>
      <c r="B155" s="93"/>
      <c r="C155" s="93"/>
      <c r="D155" s="93"/>
      <c r="E155" s="93"/>
      <c r="F155" s="93"/>
      <c r="G155" s="93"/>
      <c r="H155" s="93"/>
    </row>
    <row r="156" spans="1:8">
      <c r="A156" s="93"/>
      <c r="B156" s="93"/>
      <c r="C156" s="93"/>
      <c r="D156" s="93"/>
      <c r="E156" s="93"/>
      <c r="F156" s="93"/>
      <c r="G156" s="93"/>
      <c r="H156" s="93"/>
    </row>
    <row r="157" spans="1:8">
      <c r="A157" s="93"/>
      <c r="B157" s="93"/>
      <c r="C157" s="93"/>
      <c r="D157" s="93"/>
      <c r="E157" s="93"/>
      <c r="F157" s="93"/>
      <c r="G157" s="93"/>
      <c r="H157" s="93"/>
    </row>
    <row r="158" spans="1:8">
      <c r="A158" s="93"/>
      <c r="B158" s="93"/>
      <c r="C158" s="93"/>
      <c r="D158" s="93"/>
      <c r="E158" s="93"/>
      <c r="F158" s="93"/>
      <c r="G158" s="93"/>
      <c r="H158" s="93"/>
    </row>
    <row r="159" spans="1:8">
      <c r="A159" s="93"/>
      <c r="B159" s="93"/>
      <c r="C159" s="93"/>
      <c r="D159" s="93"/>
      <c r="E159" s="93"/>
      <c r="F159" s="93"/>
      <c r="G159" s="93"/>
      <c r="H159" s="93"/>
    </row>
    <row r="160" spans="1:8">
      <c r="A160" s="93"/>
      <c r="B160" s="93"/>
      <c r="C160" s="93"/>
      <c r="D160" s="93"/>
      <c r="E160" s="93"/>
      <c r="F160" s="93"/>
      <c r="G160" s="93"/>
      <c r="H160" s="93"/>
    </row>
    <row r="161" spans="1:8">
      <c r="A161" s="93"/>
      <c r="B161" s="93"/>
      <c r="C161" s="93"/>
      <c r="D161" s="93"/>
      <c r="E161" s="93"/>
      <c r="F161" s="93"/>
      <c r="G161" s="93"/>
      <c r="H161" s="93"/>
    </row>
    <row r="162" spans="1:8">
      <c r="A162" s="93"/>
      <c r="B162" s="93"/>
      <c r="C162" s="93"/>
      <c r="D162" s="93"/>
      <c r="E162" s="93"/>
      <c r="F162" s="93"/>
      <c r="G162" s="93"/>
      <c r="H162" s="93"/>
    </row>
    <row r="163" spans="1:8">
      <c r="A163" s="93"/>
      <c r="B163" s="93"/>
      <c r="C163" s="93"/>
      <c r="D163" s="93"/>
      <c r="E163" s="93"/>
      <c r="F163" s="93"/>
      <c r="G163" s="93"/>
      <c r="H163" s="93"/>
    </row>
    <row r="164" spans="1:8">
      <c r="A164" s="93"/>
      <c r="B164" s="93"/>
      <c r="C164" s="93"/>
      <c r="D164" s="93"/>
      <c r="E164" s="93"/>
      <c r="F164" s="93"/>
      <c r="G164" s="93"/>
      <c r="H164" s="93"/>
    </row>
    <row r="165" spans="1:8">
      <c r="A165" s="93"/>
      <c r="B165" s="93"/>
      <c r="C165" s="93"/>
      <c r="D165" s="93"/>
      <c r="E165" s="93"/>
      <c r="F165" s="93"/>
      <c r="G165" s="93"/>
      <c r="H165" s="93"/>
    </row>
    <row r="166" spans="1:8">
      <c r="A166" s="93"/>
      <c r="B166" s="93"/>
      <c r="C166" s="93"/>
      <c r="D166" s="93"/>
      <c r="E166" s="93"/>
      <c r="F166" s="93"/>
      <c r="G166" s="93"/>
      <c r="H166" s="93"/>
    </row>
    <row r="167" spans="1:8">
      <c r="A167" s="93"/>
      <c r="B167" s="93"/>
      <c r="C167" s="93"/>
      <c r="D167" s="93"/>
      <c r="E167" s="93"/>
      <c r="F167" s="93"/>
      <c r="G167" s="93"/>
      <c r="H167" s="93"/>
    </row>
    <row r="168" spans="1:8">
      <c r="A168" s="93"/>
      <c r="B168" s="93"/>
      <c r="C168" s="93"/>
      <c r="D168" s="93"/>
      <c r="E168" s="93"/>
      <c r="F168" s="93"/>
      <c r="G168" s="93"/>
      <c r="H168" s="93"/>
    </row>
    <row r="169" spans="1:8">
      <c r="A169" s="93"/>
      <c r="B169" s="93"/>
      <c r="C169" s="93"/>
      <c r="D169" s="93"/>
      <c r="E169" s="93"/>
      <c r="F169" s="93"/>
      <c r="G169" s="93"/>
      <c r="H169" s="93"/>
    </row>
    <row r="170" spans="1:8">
      <c r="A170" s="93"/>
      <c r="B170" s="93"/>
      <c r="C170" s="93"/>
      <c r="D170" s="93"/>
      <c r="E170" s="93"/>
      <c r="F170" s="93"/>
      <c r="G170" s="93"/>
      <c r="H170" s="93"/>
    </row>
    <row r="171" spans="1:8">
      <c r="A171" s="93"/>
      <c r="B171" s="93"/>
      <c r="C171" s="93"/>
      <c r="D171" s="93"/>
      <c r="E171" s="93"/>
      <c r="F171" s="93"/>
      <c r="G171" s="93"/>
      <c r="H171" s="93"/>
    </row>
    <row r="172" spans="1:8">
      <c r="A172" s="93"/>
      <c r="B172" s="93"/>
      <c r="C172" s="93"/>
      <c r="D172" s="93"/>
      <c r="E172" s="93"/>
      <c r="F172" s="93"/>
      <c r="G172" s="93"/>
      <c r="H172" s="93"/>
    </row>
    <row r="173" spans="1:8">
      <c r="A173" s="93"/>
      <c r="B173" s="93"/>
      <c r="C173" s="93"/>
      <c r="D173" s="93"/>
      <c r="E173" s="93"/>
      <c r="F173" s="93"/>
      <c r="G173" s="93"/>
      <c r="H173" s="93"/>
    </row>
    <row r="174" spans="1:8">
      <c r="A174" s="93"/>
      <c r="B174" s="93"/>
      <c r="C174" s="93"/>
      <c r="D174" s="93"/>
      <c r="E174" s="93"/>
      <c r="F174" s="93"/>
      <c r="G174" s="93"/>
      <c r="H174" s="93"/>
    </row>
    <row r="175" spans="1:8">
      <c r="A175" s="93"/>
      <c r="B175" s="93"/>
      <c r="C175" s="93"/>
      <c r="D175" s="93"/>
      <c r="E175" s="93"/>
      <c r="F175" s="93"/>
      <c r="G175" s="93"/>
      <c r="H175" s="93"/>
    </row>
    <row r="176" spans="1:8">
      <c r="A176" s="93"/>
      <c r="B176" s="93"/>
      <c r="C176" s="93"/>
      <c r="D176" s="93"/>
      <c r="E176" s="93"/>
      <c r="F176" s="93"/>
      <c r="G176" s="93"/>
      <c r="H176" s="93"/>
    </row>
    <row r="177" spans="1:8">
      <c r="A177" s="93"/>
      <c r="B177" s="93"/>
      <c r="C177" s="93"/>
      <c r="D177" s="93"/>
      <c r="E177" s="93"/>
      <c r="F177" s="93"/>
      <c r="G177" s="93"/>
      <c r="H177" s="93"/>
    </row>
    <row r="178" spans="1:8">
      <c r="A178" s="93"/>
      <c r="B178" s="93"/>
      <c r="C178" s="93"/>
      <c r="D178" s="93"/>
      <c r="E178" s="93"/>
      <c r="F178" s="93"/>
      <c r="G178" s="93"/>
      <c r="H178" s="93"/>
    </row>
    <row r="179" spans="1:8">
      <c r="A179" s="93"/>
      <c r="B179" s="93"/>
      <c r="C179" s="93"/>
      <c r="D179" s="93"/>
      <c r="E179" s="93"/>
      <c r="F179" s="93"/>
      <c r="G179" s="93"/>
      <c r="H179" s="93"/>
    </row>
    <row r="180" spans="1:8">
      <c r="A180" s="93"/>
      <c r="B180" s="93"/>
      <c r="C180" s="93"/>
      <c r="D180" s="93"/>
      <c r="E180" s="93"/>
      <c r="F180" s="93"/>
      <c r="G180" s="93"/>
      <c r="H180" s="93"/>
    </row>
    <row r="181" spans="1:8">
      <c r="A181" s="93"/>
      <c r="B181" s="93"/>
      <c r="C181" s="93"/>
      <c r="D181" s="93"/>
      <c r="E181" s="93"/>
      <c r="F181" s="93"/>
      <c r="G181" s="93"/>
      <c r="H181" s="93"/>
    </row>
    <row r="182" spans="1:8">
      <c r="A182" s="93"/>
      <c r="B182" s="93"/>
      <c r="C182" s="93"/>
      <c r="D182" s="93"/>
      <c r="E182" s="93"/>
      <c r="F182" s="93"/>
      <c r="G182" s="93"/>
      <c r="H182" s="93"/>
    </row>
    <row r="183" spans="1:8">
      <c r="A183" s="93"/>
      <c r="B183" s="93"/>
      <c r="C183" s="93"/>
      <c r="D183" s="93"/>
      <c r="E183" s="93"/>
      <c r="F183" s="93"/>
      <c r="G183" s="93"/>
      <c r="H183" s="93"/>
    </row>
    <row r="184" spans="1:8">
      <c r="A184" s="93"/>
      <c r="B184" s="93"/>
      <c r="C184" s="93"/>
      <c r="D184" s="93"/>
      <c r="E184" s="93"/>
      <c r="F184" s="93"/>
      <c r="G184" s="93"/>
      <c r="H184" s="93"/>
    </row>
    <row r="185" spans="1:8">
      <c r="A185" s="93"/>
      <c r="B185" s="93"/>
      <c r="C185" s="93"/>
      <c r="D185" s="93"/>
      <c r="E185" s="93"/>
      <c r="F185" s="93"/>
      <c r="G185" s="93"/>
      <c r="H185" s="93"/>
    </row>
    <row r="186" spans="1:8">
      <c r="A186" s="93"/>
      <c r="B186" s="93"/>
      <c r="C186" s="93"/>
      <c r="D186" s="93"/>
      <c r="E186" s="93"/>
      <c r="F186" s="93"/>
      <c r="G186" s="93"/>
      <c r="H186" s="93"/>
    </row>
    <row r="187" spans="1:8">
      <c r="A187" s="93"/>
      <c r="B187" s="93"/>
      <c r="C187" s="93"/>
      <c r="D187" s="93"/>
      <c r="E187" s="93"/>
      <c r="F187" s="93"/>
      <c r="G187" s="93"/>
      <c r="H187" s="93"/>
    </row>
    <row r="188" spans="1:8">
      <c r="A188" s="93"/>
      <c r="B188" s="93"/>
      <c r="C188" s="93"/>
      <c r="D188" s="93"/>
      <c r="E188" s="93"/>
      <c r="F188" s="93"/>
      <c r="G188" s="93"/>
      <c r="H188" s="93"/>
    </row>
    <row r="189" spans="1:8">
      <c r="A189" s="93"/>
      <c r="B189" s="93"/>
      <c r="C189" s="93"/>
      <c r="D189" s="93"/>
      <c r="E189" s="93"/>
      <c r="F189" s="93"/>
      <c r="G189" s="93"/>
      <c r="H189" s="93"/>
    </row>
    <row r="190" spans="1:8">
      <c r="A190" s="93"/>
      <c r="B190" s="93"/>
      <c r="C190" s="93"/>
      <c r="D190" s="93"/>
      <c r="E190" s="93"/>
      <c r="F190" s="93"/>
      <c r="G190" s="93"/>
      <c r="H190" s="93"/>
    </row>
    <row r="191" spans="1:8">
      <c r="A191" s="93"/>
      <c r="B191" s="93"/>
      <c r="C191" s="93"/>
      <c r="D191" s="93"/>
      <c r="E191" s="93"/>
      <c r="F191" s="93"/>
      <c r="G191" s="93"/>
      <c r="H191" s="93"/>
    </row>
    <row r="192" spans="1:8">
      <c r="A192" s="93"/>
      <c r="B192" s="93"/>
      <c r="C192" s="93"/>
      <c r="D192" s="93"/>
      <c r="E192" s="93"/>
      <c r="F192" s="93"/>
      <c r="G192" s="93"/>
      <c r="H192" s="93"/>
    </row>
    <row r="193" spans="1:8">
      <c r="A193" s="93"/>
      <c r="B193" s="93"/>
      <c r="C193" s="93"/>
      <c r="D193" s="93"/>
      <c r="E193" s="93"/>
      <c r="F193" s="93"/>
      <c r="G193" s="93"/>
      <c r="H193" s="93"/>
    </row>
    <row r="194" spans="1:8">
      <c r="A194" s="93"/>
      <c r="B194" s="93"/>
      <c r="C194" s="93"/>
      <c r="D194" s="93"/>
      <c r="E194" s="93"/>
      <c r="F194" s="93"/>
      <c r="G194" s="93"/>
      <c r="H194" s="93"/>
    </row>
    <row r="195" spans="1:8">
      <c r="A195" s="93"/>
      <c r="B195" s="93"/>
      <c r="C195" s="93"/>
      <c r="D195" s="93"/>
      <c r="E195" s="93"/>
      <c r="F195" s="93"/>
      <c r="G195" s="93"/>
      <c r="H195" s="93"/>
    </row>
    <row r="196" spans="1:8">
      <c r="A196" s="93"/>
      <c r="B196" s="93"/>
      <c r="C196" s="93"/>
      <c r="D196" s="93"/>
      <c r="E196" s="93"/>
      <c r="F196" s="93"/>
      <c r="G196" s="93"/>
      <c r="H196" s="93"/>
    </row>
    <row r="197" spans="1:8">
      <c r="A197" s="93"/>
      <c r="B197" s="93"/>
      <c r="C197" s="93"/>
      <c r="D197" s="93"/>
      <c r="E197" s="93"/>
      <c r="F197" s="93"/>
      <c r="G197" s="93"/>
      <c r="H197" s="93"/>
    </row>
    <row r="198" spans="1:8">
      <c r="A198" s="93"/>
      <c r="B198" s="93"/>
      <c r="C198" s="93"/>
      <c r="D198" s="93"/>
      <c r="E198" s="93"/>
      <c r="F198" s="93"/>
      <c r="G198" s="93"/>
      <c r="H198" s="93"/>
    </row>
    <row r="199" spans="1:8">
      <c r="A199" s="93"/>
      <c r="B199" s="93"/>
      <c r="C199" s="93"/>
      <c r="D199" s="93"/>
      <c r="E199" s="93"/>
      <c r="F199" s="93"/>
      <c r="G199" s="93"/>
      <c r="H199" s="93"/>
    </row>
    <row r="200" spans="1:8">
      <c r="A200" s="93"/>
      <c r="B200" s="93"/>
      <c r="C200" s="93"/>
      <c r="D200" s="93"/>
      <c r="E200" s="93"/>
      <c r="F200" s="93"/>
      <c r="G200" s="93"/>
      <c r="H200" s="93"/>
    </row>
    <row r="201" spans="1:8">
      <c r="A201" s="93"/>
      <c r="B201" s="93"/>
      <c r="C201" s="93"/>
      <c r="D201" s="93"/>
      <c r="E201" s="93"/>
      <c r="F201" s="93"/>
      <c r="G201" s="93"/>
      <c r="H201" s="93"/>
    </row>
    <row r="202" spans="1:8">
      <c r="A202" s="93"/>
      <c r="B202" s="93"/>
      <c r="C202" s="93"/>
      <c r="D202" s="93"/>
      <c r="E202" s="93"/>
      <c r="F202" s="93"/>
      <c r="G202" s="93"/>
      <c r="H202" s="93"/>
    </row>
    <row r="203" spans="1:8">
      <c r="A203" s="93"/>
      <c r="B203" s="93"/>
      <c r="C203" s="93"/>
      <c r="D203" s="93"/>
      <c r="E203" s="93"/>
      <c r="F203" s="93"/>
      <c r="G203" s="93"/>
      <c r="H203" s="93"/>
    </row>
  </sheetData>
  <sheetProtection password="8318" sheet="1"/>
  <mergeCells count="33">
    <mergeCell ref="A4:H4"/>
    <mergeCell ref="A29:B29"/>
    <mergeCell ref="A12:B12"/>
    <mergeCell ref="A8:B8"/>
    <mergeCell ref="A13:B13"/>
    <mergeCell ref="A17:B17"/>
    <mergeCell ref="A21:B21"/>
    <mergeCell ref="A25:B25"/>
    <mergeCell ref="A84:B84"/>
    <mergeCell ref="A45:B45"/>
    <mergeCell ref="A69:B69"/>
    <mergeCell ref="A75:B75"/>
    <mergeCell ref="A82:B82"/>
    <mergeCell ref="A57:B57"/>
    <mergeCell ref="A76:B76"/>
    <mergeCell ref="A77:B77"/>
    <mergeCell ref="A50:B50"/>
    <mergeCell ref="A64:B64"/>
    <mergeCell ref="A58:B58"/>
    <mergeCell ref="A46:B46"/>
    <mergeCell ref="A48:B48"/>
    <mergeCell ref="A80:B80"/>
    <mergeCell ref="A66:B66"/>
    <mergeCell ref="A70:B70"/>
    <mergeCell ref="A71:B71"/>
    <mergeCell ref="A60:B60"/>
    <mergeCell ref="A62:B62"/>
    <mergeCell ref="A32:B32"/>
    <mergeCell ref="A41:B41"/>
    <mergeCell ref="A54:B54"/>
    <mergeCell ref="A33:B33"/>
    <mergeCell ref="A37:B37"/>
    <mergeCell ref="A52:B52"/>
  </mergeCells>
  <phoneticPr fontId="2" type="noConversion"/>
  <printOptions horizontalCentered="1"/>
  <pageMargins left="0.75" right="0.75" top="0.39370078740157483" bottom="0.39370078740157483" header="0.51181102362204722" footer="0.51181102362204722"/>
  <pageSetup paperSize="9" scale="90" orientation="portrait" r:id="rId1"/>
  <headerFooter alignWithMargins="0">
    <oddFooter>&amp;C&amp;"Arial,Normal"&amp;8IAPMEI&amp;R&amp;"Arial,Normal"&amp;8&amp;P</oddFooter>
  </headerFooter>
  <rowBreaks count="1" manualBreakCount="1">
    <brk id="56" max="16383" man="1"/>
  </rowBreaks>
  <ignoredErrors>
    <ignoredError sqref="D52:H52 D50:H50 E16:H16 E14:H14 D26 E26:H26 D28 E8:H8 E18:H18 D18 E22:H22 D22 D24 B72 B78 D8 E48:H48 E24:H24 E28:H28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olha2"/>
  <dimension ref="A1:I140"/>
  <sheetViews>
    <sheetView showGridLines="0" showZeros="0" workbookViewId="0">
      <selection activeCell="C11" sqref="C11"/>
    </sheetView>
  </sheetViews>
  <sheetFormatPr defaultColWidth="8.7109375" defaultRowHeight="13.5"/>
  <cols>
    <col min="1" max="1" width="40.5703125" style="76" customWidth="1"/>
    <col min="2" max="2" width="7.85546875" style="76" customWidth="1"/>
    <col min="3" max="14" width="11.42578125" style="76" customWidth="1"/>
    <col min="15" max="16384" width="8.7109375" style="76"/>
  </cols>
  <sheetData>
    <row r="1" spans="1:9" ht="14.25">
      <c r="A1" s="72"/>
      <c r="B1" s="72"/>
      <c r="C1" s="73"/>
      <c r="D1" s="73"/>
      <c r="E1" s="73"/>
      <c r="F1" s="73"/>
      <c r="G1" s="74" t="s">
        <v>20</v>
      </c>
      <c r="H1" s="75" t="str">
        <f>+Pressupostos!E1</f>
        <v>ALI,Conserva&amp;Limpa, Lda</v>
      </c>
    </row>
    <row r="2" spans="1:9">
      <c r="A2" s="77"/>
      <c r="B2" s="73"/>
      <c r="C2" s="73"/>
      <c r="D2" s="73"/>
      <c r="E2" s="73"/>
      <c r="F2" s="73"/>
      <c r="G2" s="73"/>
      <c r="H2" s="78" t="str">
        <f>+Pressupostos!B9</f>
        <v>Euros</v>
      </c>
      <c r="I2" s="93"/>
    </row>
    <row r="3" spans="1:9">
      <c r="A3" s="77"/>
      <c r="B3" s="73"/>
      <c r="C3" s="73"/>
      <c r="D3" s="73"/>
      <c r="E3" s="73"/>
      <c r="F3" s="73"/>
      <c r="G3" s="73"/>
      <c r="H3" s="78"/>
      <c r="I3" s="93"/>
    </row>
    <row r="4" spans="1:9" ht="16.5">
      <c r="A4" s="462" t="s">
        <v>73</v>
      </c>
      <c r="B4" s="462"/>
      <c r="C4" s="462"/>
      <c r="D4" s="462"/>
      <c r="E4" s="462"/>
      <c r="F4" s="462"/>
      <c r="G4" s="462"/>
      <c r="H4" s="462"/>
      <c r="I4" s="93"/>
    </row>
    <row r="5" spans="1:9">
      <c r="A5" s="79"/>
      <c r="B5" s="79"/>
      <c r="C5" s="79"/>
      <c r="D5" s="79"/>
      <c r="E5" s="79"/>
      <c r="F5" s="79"/>
      <c r="G5" s="79"/>
      <c r="H5" s="79"/>
      <c r="I5" s="93"/>
    </row>
    <row r="6" spans="1:9">
      <c r="A6" s="83"/>
      <c r="B6" s="83"/>
      <c r="C6" s="83"/>
      <c r="D6" s="83"/>
      <c r="E6" s="83"/>
      <c r="F6" s="83"/>
      <c r="G6" s="83"/>
      <c r="H6" s="83"/>
      <c r="I6" s="93"/>
    </row>
    <row r="7" spans="1:9" ht="25.5">
      <c r="A7" s="107" t="s">
        <v>22</v>
      </c>
      <c r="B7" s="108" t="s">
        <v>68</v>
      </c>
      <c r="C7" s="109">
        <f>+VN!C8</f>
        <v>2011</v>
      </c>
      <c r="D7" s="109">
        <f>+VN!D8</f>
        <v>2012</v>
      </c>
      <c r="E7" s="109">
        <f>+VN!E8</f>
        <v>2013</v>
      </c>
      <c r="F7" s="109">
        <f>+VN!F8</f>
        <v>2014</v>
      </c>
      <c r="G7" s="109">
        <f>+VN!G8</f>
        <v>2015</v>
      </c>
      <c r="H7" s="109">
        <f>+VN!H8</f>
        <v>2016</v>
      </c>
      <c r="I7" s="93"/>
    </row>
    <row r="8" spans="1:9">
      <c r="A8" s="107" t="s">
        <v>222</v>
      </c>
      <c r="B8" s="421"/>
      <c r="C8" s="422">
        <f t="shared" ref="C8:H8" si="0">+SUM(C9:C12)</f>
        <v>335943.83599999995</v>
      </c>
      <c r="D8" s="422">
        <f t="shared" si="0"/>
        <v>448100.16985800007</v>
      </c>
      <c r="E8" s="422">
        <f t="shared" si="0"/>
        <v>575119.39268672897</v>
      </c>
      <c r="F8" s="422">
        <f t="shared" si="0"/>
        <v>703647.98729723215</v>
      </c>
      <c r="G8" s="422">
        <f t="shared" si="0"/>
        <v>839764.70836003509</v>
      </c>
      <c r="H8" s="422">
        <f t="shared" si="0"/>
        <v>908223.61246217799</v>
      </c>
      <c r="I8" s="93"/>
    </row>
    <row r="9" spans="1:9">
      <c r="A9" s="110" t="str">
        <f>+VN!A13</f>
        <v>Alimentação</v>
      </c>
      <c r="B9" s="52">
        <v>0.4</v>
      </c>
      <c r="C9" s="423">
        <f>VN!C13*(1-CMVMC!$B$9)</f>
        <v>327551.39999999997</v>
      </c>
      <c r="D9" s="423">
        <f>VN!D13*(1-CMVMC!$B$9)</f>
        <v>438591.32460000005</v>
      </c>
      <c r="E9" s="423">
        <f>VN!E13*(1-CMVMC!$B$9)</f>
        <v>564686.33042250003</v>
      </c>
      <c r="F9" s="423">
        <f>VN!F13*(1-CMVMC!$B$9)</f>
        <v>692136.03519885824</v>
      </c>
      <c r="G9" s="423">
        <f>VN!G13*(1-CMVMC!$B$9)</f>
        <v>826964.13485559588</v>
      </c>
      <c r="H9" s="423">
        <f>VN!H13*(1-CMVMC!$B$9)</f>
        <v>894361.71184632694</v>
      </c>
      <c r="I9" s="93"/>
    </row>
    <row r="10" spans="1:9">
      <c r="A10" s="110" t="str">
        <f>+VN!A17</f>
        <v>Conservação e Limpeza</v>
      </c>
      <c r="B10" s="52">
        <v>0.3</v>
      </c>
      <c r="C10" s="423">
        <v>1429</v>
      </c>
      <c r="D10" s="423">
        <f>VN!D17*(1-CMVMC!$B$10)</f>
        <v>1619.2722700000002</v>
      </c>
      <c r="E10" s="423">
        <f>VN!E17*(1-CMVMC!$B$10)</f>
        <v>1784.5999687670001</v>
      </c>
      <c r="F10" s="423">
        <f>VN!F17*(1-CMVMC!$B$10)</f>
        <v>1930.0448662215106</v>
      </c>
      <c r="G10" s="423">
        <f>VN!G17*(1-CMVMC!$B$10)</f>
        <v>2127.1024470627276</v>
      </c>
      <c r="H10" s="423">
        <f>VN!H17*(1-CMVMC!$B$10)</f>
        <v>2318.5416672983729</v>
      </c>
      <c r="I10" s="93"/>
    </row>
    <row r="11" spans="1:9">
      <c r="A11" s="110" t="str">
        <f>+VN!A21</f>
        <v>Bolo de aniversário com massa de manteiga</v>
      </c>
      <c r="B11" s="52">
        <v>0.8</v>
      </c>
      <c r="C11" s="423">
        <f>VN!C21*(1-CMVMC!$B$11)</f>
        <v>4965.2999999999993</v>
      </c>
      <c r="D11" s="423">
        <f>VN!D21*(1-CMVMC!$B$11)</f>
        <v>5625.6848999999993</v>
      </c>
      <c r="E11" s="423">
        <f>VN!E21*(1-CMVMC!$B$11)</f>
        <v>6200.0673282900007</v>
      </c>
      <c r="F11" s="423">
        <f>VN!F21*(1-CMVMC!$B$11)</f>
        <v>6833.0942025084096</v>
      </c>
      <c r="G11" s="423">
        <f>VN!G21*(1-CMVMC!$B$11)</f>
        <v>7530.753120584518</v>
      </c>
      <c r="H11" s="423">
        <f>VN!H21*(1-CMVMC!$B$11)</f>
        <v>8144.5094999121575</v>
      </c>
      <c r="I11" s="93"/>
    </row>
    <row r="12" spans="1:9">
      <c r="A12" s="110" t="str">
        <f>+VN!A25</f>
        <v>Bolo de aniversário com massa pão-de-ló</v>
      </c>
      <c r="B12" s="52">
        <v>0.8</v>
      </c>
      <c r="C12" s="423">
        <f>VN!C25*(1-CMVMC!$B$12)</f>
        <v>1998.1359999999995</v>
      </c>
      <c r="D12" s="423">
        <f>VN!D25*(1-CMVMC!$B$12)</f>
        <v>2263.8880879999997</v>
      </c>
      <c r="E12" s="423">
        <f>VN!E25*(1-CMVMC!$B$12)</f>
        <v>2448.3949671719997</v>
      </c>
      <c r="F12" s="423">
        <f>VN!F25*(1-CMVMC!$B$12)</f>
        <v>2748.8130296440045</v>
      </c>
      <c r="G12" s="423">
        <f>VN!G25*(1-CMVMC!$B$12)</f>
        <v>3142.7179367919907</v>
      </c>
      <c r="H12" s="423">
        <f>VN!H25*(1-CMVMC!$B$12)</f>
        <v>3398.8494486405375</v>
      </c>
      <c r="I12" s="93"/>
    </row>
    <row r="13" spans="1:9">
      <c r="A13" s="107" t="s">
        <v>223</v>
      </c>
      <c r="B13" s="111"/>
      <c r="C13" s="145">
        <f t="shared" ref="C13:H13" si="1">+C15+C14</f>
        <v>0</v>
      </c>
      <c r="D13" s="145">
        <f t="shared" si="1"/>
        <v>0</v>
      </c>
      <c r="E13" s="145">
        <f t="shared" si="1"/>
        <v>0</v>
      </c>
      <c r="F13" s="145">
        <f t="shared" si="1"/>
        <v>14321.553243750002</v>
      </c>
      <c r="G13" s="145">
        <f t="shared" si="1"/>
        <v>16226.319825168755</v>
      </c>
      <c r="H13" s="145">
        <f t="shared" si="1"/>
        <v>17548.764890920011</v>
      </c>
      <c r="I13" s="93"/>
    </row>
    <row r="14" spans="1:9">
      <c r="A14" s="110" t="str">
        <f>+VN!A33</f>
        <v>Alimentação</v>
      </c>
      <c r="B14" s="52"/>
      <c r="C14" s="423">
        <f>VN!C33*(1-CMVMC!$B$14)</f>
        <v>0</v>
      </c>
      <c r="D14" s="423">
        <f>VN!D33*(1-CMVMC!$B$14)</f>
        <v>0</v>
      </c>
      <c r="E14" s="423">
        <f>VN!E33*(1-CMVMC!$B$14)</f>
        <v>0</v>
      </c>
      <c r="F14" s="423">
        <f>VN!F33*(1-CMVMC!$B$14)</f>
        <v>14321.553243750002</v>
      </c>
      <c r="G14" s="423">
        <f>VN!G33*(1-CMVMC!$B$14)</f>
        <v>16226.319825168755</v>
      </c>
      <c r="H14" s="423">
        <f>VN!H33*(1-CMVMC!$B$14)</f>
        <v>17548.764890920011</v>
      </c>
      <c r="I14" s="93"/>
    </row>
    <row r="15" spans="1:9">
      <c r="A15" s="110" t="str">
        <f>+VN!A37</f>
        <v>Produto B *</v>
      </c>
      <c r="B15" s="52"/>
      <c r="C15" s="423">
        <f>VN!C37*(1-CMVMC!$B$15)</f>
        <v>0</v>
      </c>
      <c r="D15" s="423">
        <f>VN!D37*(1-CMVMC!$B$15)</f>
        <v>0</v>
      </c>
      <c r="E15" s="423">
        <f>VN!E37*(1-CMVMC!$B$15)</f>
        <v>0</v>
      </c>
      <c r="F15" s="423">
        <f>VN!F37*(1-CMVMC!$B$15)</f>
        <v>0</v>
      </c>
      <c r="G15" s="423">
        <f>VN!G37*(1-CMVMC!$B$15)</f>
        <v>0</v>
      </c>
      <c r="H15" s="423">
        <f>VN!H37*(1-CMVMC!$B$15)</f>
        <v>0</v>
      </c>
      <c r="I15" s="93"/>
    </row>
    <row r="16" spans="1:9" ht="14.25" thickBot="1">
      <c r="A16" s="460" t="s">
        <v>69</v>
      </c>
      <c r="B16" s="460"/>
      <c r="C16" s="424">
        <f t="shared" ref="C16:H16" si="2">+C8+C13</f>
        <v>335943.83599999995</v>
      </c>
      <c r="D16" s="424">
        <f t="shared" si="2"/>
        <v>448100.16985800007</v>
      </c>
      <c r="E16" s="424">
        <f t="shared" si="2"/>
        <v>575119.39268672897</v>
      </c>
      <c r="F16" s="424">
        <f t="shared" si="2"/>
        <v>717969.54054098215</v>
      </c>
      <c r="G16" s="424">
        <f t="shared" si="2"/>
        <v>855991.02818520379</v>
      </c>
      <c r="H16" s="424">
        <f t="shared" si="2"/>
        <v>925772.37735309801</v>
      </c>
      <c r="I16" s="93"/>
    </row>
    <row r="17" spans="1:9" ht="14.25" thickTop="1">
      <c r="A17" s="86"/>
      <c r="B17" s="86"/>
      <c r="C17" s="87"/>
      <c r="D17" s="87"/>
      <c r="E17" s="87"/>
      <c r="F17" s="87"/>
      <c r="G17" s="87"/>
      <c r="H17" s="87"/>
      <c r="I17" s="93"/>
    </row>
    <row r="18" spans="1:9" ht="14.25" thickBot="1">
      <c r="A18" s="88" t="s">
        <v>64</v>
      </c>
      <c r="B18" s="106">
        <f>+Pressupostos!B19</f>
        <v>0.06</v>
      </c>
      <c r="C18" s="112">
        <f t="shared" ref="C18:H18" si="3">+C8*$B$18</f>
        <v>20156.630159999997</v>
      </c>
      <c r="D18" s="112">
        <f t="shared" si="3"/>
        <v>26886.010191480003</v>
      </c>
      <c r="E18" s="112">
        <f t="shared" si="3"/>
        <v>34507.163561203735</v>
      </c>
      <c r="F18" s="112">
        <f t="shared" si="3"/>
        <v>42218.879237833928</v>
      </c>
      <c r="G18" s="112">
        <f t="shared" si="3"/>
        <v>50385.8825016021</v>
      </c>
      <c r="H18" s="112">
        <f t="shared" si="3"/>
        <v>54493.416747730676</v>
      </c>
      <c r="I18" s="93"/>
    </row>
    <row r="19" spans="1:9" ht="14.25" thickTop="1">
      <c r="A19" s="83"/>
      <c r="B19" s="83"/>
      <c r="C19" s="83"/>
      <c r="D19" s="83"/>
      <c r="E19" s="83"/>
      <c r="F19" s="83"/>
      <c r="G19" s="83"/>
      <c r="H19" s="83"/>
      <c r="I19" s="93"/>
    </row>
    <row r="20" spans="1:9" ht="14.25" thickBot="1">
      <c r="A20" s="460" t="s">
        <v>70</v>
      </c>
      <c r="B20" s="460"/>
      <c r="C20" s="56">
        <f t="shared" ref="C20:H20" si="4">+C16+C18</f>
        <v>356100.46615999995</v>
      </c>
      <c r="D20" s="56">
        <f t="shared" si="4"/>
        <v>474986.18004948006</v>
      </c>
      <c r="E20" s="56">
        <f t="shared" si="4"/>
        <v>609626.55624793272</v>
      </c>
      <c r="F20" s="56">
        <f t="shared" si="4"/>
        <v>760188.41977881605</v>
      </c>
      <c r="G20" s="56">
        <f t="shared" si="4"/>
        <v>906376.91068680584</v>
      </c>
      <c r="H20" s="56">
        <f t="shared" si="4"/>
        <v>980265.7941008287</v>
      </c>
      <c r="I20" s="93"/>
    </row>
    <row r="21" spans="1:9" ht="14.25" thickTop="1">
      <c r="A21" s="83"/>
      <c r="B21" s="83"/>
      <c r="C21" s="83"/>
      <c r="D21" s="83"/>
      <c r="E21" s="83"/>
      <c r="F21" s="83"/>
      <c r="G21" s="83"/>
      <c r="H21" s="83"/>
      <c r="I21" s="93"/>
    </row>
    <row r="22" spans="1:9">
      <c r="A22" s="83"/>
      <c r="B22" s="83"/>
      <c r="C22" s="83"/>
      <c r="D22" s="83"/>
      <c r="E22" s="83"/>
      <c r="F22" s="83"/>
      <c r="G22" s="83"/>
      <c r="H22" s="83"/>
      <c r="I22" s="93"/>
    </row>
    <row r="23" spans="1:9">
      <c r="A23" s="113" t="s">
        <v>153</v>
      </c>
      <c r="B23" s="83"/>
      <c r="C23" s="83"/>
      <c r="D23" s="83"/>
      <c r="E23" s="83"/>
      <c r="F23" s="83"/>
      <c r="G23" s="83"/>
      <c r="H23" s="83"/>
      <c r="I23" s="93"/>
    </row>
    <row r="24" spans="1:9">
      <c r="A24" s="114" t="s">
        <v>224</v>
      </c>
      <c r="B24" s="83"/>
      <c r="C24" s="83"/>
      <c r="D24" s="83"/>
      <c r="E24" s="83"/>
      <c r="F24" s="83"/>
      <c r="G24" s="83"/>
      <c r="H24" s="83"/>
      <c r="I24" s="93"/>
    </row>
    <row r="25" spans="1:9">
      <c r="A25" s="114" t="s">
        <v>154</v>
      </c>
      <c r="B25" s="83"/>
      <c r="C25" s="83"/>
      <c r="D25" s="83"/>
      <c r="E25" s="83"/>
      <c r="F25" s="83"/>
      <c r="G25" s="83"/>
      <c r="H25" s="83"/>
      <c r="I25" s="93"/>
    </row>
    <row r="26" spans="1:9">
      <c r="A26" s="114" t="s">
        <v>195</v>
      </c>
      <c r="B26" s="83"/>
      <c r="C26" s="83"/>
      <c r="D26" s="83"/>
      <c r="E26" s="83"/>
      <c r="F26" s="83"/>
      <c r="G26" s="83"/>
      <c r="H26" s="83"/>
      <c r="I26" s="93"/>
    </row>
    <row r="27" spans="1:9">
      <c r="A27" s="114"/>
      <c r="B27" s="83"/>
      <c r="C27" s="83"/>
      <c r="D27" s="83"/>
      <c r="E27" s="83"/>
      <c r="F27" s="83"/>
      <c r="G27" s="83"/>
      <c r="H27" s="83"/>
      <c r="I27" s="93"/>
    </row>
    <row r="28" spans="1:9">
      <c r="A28" s="113" t="s">
        <v>196</v>
      </c>
      <c r="B28" s="83"/>
      <c r="C28" s="83"/>
      <c r="D28" s="83"/>
      <c r="E28" s="83"/>
      <c r="F28" s="83"/>
      <c r="G28" s="83"/>
      <c r="H28" s="83"/>
      <c r="I28" s="93"/>
    </row>
    <row r="29" spans="1:9">
      <c r="A29" s="115"/>
      <c r="B29" s="83"/>
      <c r="C29" s="83"/>
      <c r="D29" s="83"/>
      <c r="E29" s="83"/>
      <c r="F29" s="83"/>
      <c r="G29" s="83"/>
      <c r="H29" s="83"/>
      <c r="I29" s="93"/>
    </row>
    <row r="30" spans="1:9">
      <c r="A30" s="116"/>
      <c r="B30" s="93"/>
      <c r="C30" s="93"/>
      <c r="D30" s="93"/>
      <c r="E30" s="93"/>
      <c r="F30" s="93"/>
      <c r="G30" s="93"/>
      <c r="H30" s="93"/>
    </row>
    <row r="31" spans="1:9">
      <c r="A31" s="93"/>
      <c r="B31" s="93"/>
      <c r="C31" s="93"/>
      <c r="D31" s="93"/>
      <c r="E31" s="93"/>
      <c r="F31" s="93"/>
      <c r="G31" s="93"/>
      <c r="H31" s="93"/>
    </row>
    <row r="32" spans="1:9">
      <c r="A32" s="93"/>
      <c r="B32" s="93"/>
      <c r="C32" s="93"/>
      <c r="D32" s="93"/>
      <c r="E32" s="93"/>
      <c r="F32" s="93"/>
      <c r="G32" s="93"/>
      <c r="H32" s="93"/>
    </row>
    <row r="33" spans="1:8">
      <c r="A33" s="93"/>
      <c r="B33" s="93"/>
      <c r="C33" s="93"/>
      <c r="D33" s="93"/>
      <c r="E33" s="93"/>
      <c r="F33" s="93"/>
      <c r="G33" s="93"/>
      <c r="H33" s="93"/>
    </row>
    <row r="34" spans="1:8">
      <c r="A34" s="93"/>
      <c r="B34" s="93"/>
      <c r="C34" s="93"/>
      <c r="D34" s="93"/>
      <c r="E34" s="93"/>
      <c r="F34" s="93"/>
      <c r="G34" s="93"/>
      <c r="H34" s="93"/>
    </row>
    <row r="35" spans="1:8">
      <c r="A35" s="93"/>
      <c r="B35" s="93"/>
      <c r="C35" s="93"/>
      <c r="D35" s="93"/>
      <c r="E35" s="93"/>
      <c r="F35" s="93"/>
      <c r="G35" s="93"/>
      <c r="H35" s="93"/>
    </row>
    <row r="36" spans="1:8">
      <c r="A36" s="93"/>
      <c r="B36" s="93"/>
      <c r="C36" s="93"/>
      <c r="D36" s="93"/>
      <c r="E36" s="93"/>
      <c r="F36" s="93"/>
      <c r="G36" s="93"/>
      <c r="H36" s="93"/>
    </row>
    <row r="37" spans="1:8">
      <c r="A37" s="93"/>
      <c r="B37" s="93"/>
      <c r="C37" s="93"/>
      <c r="D37" s="93"/>
      <c r="E37" s="93"/>
      <c r="F37" s="93"/>
      <c r="G37" s="93"/>
      <c r="H37" s="93"/>
    </row>
    <row r="38" spans="1:8">
      <c r="A38" s="93"/>
      <c r="B38" s="93"/>
      <c r="C38" s="93"/>
      <c r="D38" s="93"/>
      <c r="E38" s="93"/>
      <c r="F38" s="93"/>
      <c r="G38" s="93"/>
      <c r="H38" s="93"/>
    </row>
    <row r="39" spans="1:8">
      <c r="A39" s="93"/>
      <c r="B39" s="93"/>
      <c r="C39" s="93"/>
      <c r="D39" s="93"/>
      <c r="E39" s="93"/>
      <c r="F39" s="93"/>
      <c r="G39" s="93"/>
      <c r="H39" s="93"/>
    </row>
    <row r="40" spans="1:8">
      <c r="A40" s="93"/>
      <c r="B40" s="93"/>
      <c r="C40" s="93"/>
      <c r="D40" s="93"/>
      <c r="E40" s="93"/>
      <c r="F40" s="93"/>
      <c r="G40" s="93"/>
      <c r="H40" s="93"/>
    </row>
    <row r="41" spans="1:8">
      <c r="A41" s="93"/>
      <c r="B41" s="93"/>
      <c r="C41" s="93"/>
      <c r="D41" s="93"/>
      <c r="E41" s="93"/>
      <c r="F41" s="93"/>
      <c r="G41" s="93"/>
      <c r="H41" s="93"/>
    </row>
    <row r="42" spans="1:8">
      <c r="A42" s="93"/>
      <c r="B42" s="93"/>
      <c r="C42" s="93"/>
      <c r="D42" s="93"/>
      <c r="E42" s="93"/>
      <c r="F42" s="93"/>
      <c r="G42" s="93"/>
      <c r="H42" s="93"/>
    </row>
    <row r="43" spans="1:8">
      <c r="A43" s="93"/>
      <c r="B43" s="93"/>
      <c r="C43" s="93"/>
      <c r="D43" s="93"/>
      <c r="E43" s="93"/>
      <c r="F43" s="93"/>
      <c r="G43" s="93"/>
      <c r="H43" s="93"/>
    </row>
    <row r="44" spans="1:8">
      <c r="A44" s="93"/>
      <c r="B44" s="93"/>
      <c r="C44" s="93"/>
      <c r="D44" s="93"/>
      <c r="E44" s="93"/>
      <c r="F44" s="93"/>
      <c r="G44" s="93"/>
      <c r="H44" s="93"/>
    </row>
    <row r="45" spans="1:8">
      <c r="A45" s="93"/>
      <c r="B45" s="93"/>
      <c r="C45" s="93"/>
      <c r="D45" s="93"/>
      <c r="E45" s="93"/>
      <c r="F45" s="93"/>
      <c r="G45" s="93"/>
      <c r="H45" s="93"/>
    </row>
    <row r="46" spans="1:8">
      <c r="A46" s="93"/>
      <c r="B46" s="93"/>
      <c r="C46" s="93"/>
      <c r="D46" s="93"/>
      <c r="E46" s="93"/>
      <c r="F46" s="93"/>
      <c r="G46" s="93"/>
      <c r="H46" s="93"/>
    </row>
    <row r="47" spans="1:8">
      <c r="A47" s="93"/>
      <c r="B47" s="93"/>
      <c r="C47" s="93"/>
      <c r="D47" s="93"/>
      <c r="E47" s="93"/>
      <c r="F47" s="93"/>
      <c r="G47" s="93"/>
      <c r="H47" s="93"/>
    </row>
    <row r="48" spans="1:8">
      <c r="A48" s="93"/>
      <c r="B48" s="93"/>
      <c r="C48" s="93"/>
      <c r="D48" s="93"/>
      <c r="E48" s="93"/>
      <c r="F48" s="93"/>
      <c r="G48" s="93"/>
      <c r="H48" s="93"/>
    </row>
    <row r="49" spans="1:8">
      <c r="A49" s="93"/>
      <c r="B49" s="93"/>
      <c r="C49" s="93"/>
      <c r="D49" s="93"/>
      <c r="E49" s="93"/>
      <c r="F49" s="93"/>
      <c r="G49" s="93"/>
      <c r="H49" s="93"/>
    </row>
    <row r="50" spans="1:8">
      <c r="A50" s="93"/>
      <c r="B50" s="93"/>
      <c r="C50" s="93"/>
      <c r="D50" s="93"/>
      <c r="E50" s="93"/>
      <c r="F50" s="93"/>
      <c r="G50" s="93"/>
      <c r="H50" s="93"/>
    </row>
    <row r="51" spans="1:8">
      <c r="A51" s="93"/>
      <c r="B51" s="93"/>
      <c r="C51" s="93"/>
      <c r="D51" s="93"/>
      <c r="E51" s="93"/>
      <c r="F51" s="93"/>
      <c r="G51" s="93"/>
      <c r="H51" s="93"/>
    </row>
    <row r="52" spans="1:8">
      <c r="A52" s="93"/>
      <c r="B52" s="93"/>
      <c r="C52" s="93"/>
      <c r="D52" s="93"/>
      <c r="E52" s="93"/>
      <c r="F52" s="93"/>
      <c r="G52" s="93"/>
      <c r="H52" s="93"/>
    </row>
    <row r="53" spans="1:8">
      <c r="A53" s="93"/>
      <c r="B53" s="93"/>
      <c r="C53" s="93"/>
      <c r="D53" s="93"/>
      <c r="E53" s="93"/>
      <c r="F53" s="93"/>
      <c r="G53" s="93"/>
      <c r="H53" s="93"/>
    </row>
    <row r="54" spans="1:8">
      <c r="A54" s="93"/>
      <c r="B54" s="93"/>
      <c r="C54" s="93"/>
      <c r="D54" s="93"/>
      <c r="E54" s="93"/>
      <c r="F54" s="93"/>
      <c r="G54" s="93"/>
      <c r="H54" s="93"/>
    </row>
    <row r="55" spans="1:8">
      <c r="A55" s="93"/>
      <c r="B55" s="93"/>
      <c r="C55" s="93"/>
      <c r="D55" s="93"/>
      <c r="E55" s="93"/>
      <c r="F55" s="93"/>
      <c r="G55" s="93"/>
      <c r="H55" s="93"/>
    </row>
    <row r="56" spans="1:8">
      <c r="A56" s="93"/>
      <c r="B56" s="93"/>
      <c r="C56" s="93"/>
      <c r="D56" s="93"/>
      <c r="E56" s="93"/>
      <c r="F56" s="93"/>
      <c r="G56" s="93"/>
      <c r="H56" s="93"/>
    </row>
    <row r="57" spans="1:8">
      <c r="A57" s="93"/>
      <c r="B57" s="93"/>
      <c r="C57" s="93"/>
      <c r="D57" s="93"/>
      <c r="E57" s="93"/>
      <c r="F57" s="93"/>
      <c r="G57" s="93"/>
      <c r="H57" s="93"/>
    </row>
    <row r="58" spans="1:8">
      <c r="A58" s="93"/>
      <c r="B58" s="93"/>
      <c r="C58" s="93"/>
      <c r="D58" s="93"/>
      <c r="E58" s="93"/>
      <c r="F58" s="93"/>
      <c r="G58" s="93"/>
      <c r="H58" s="93"/>
    </row>
    <row r="59" spans="1:8">
      <c r="A59" s="93"/>
      <c r="B59" s="93"/>
      <c r="C59" s="93"/>
      <c r="D59" s="93"/>
      <c r="E59" s="93"/>
      <c r="F59" s="93"/>
      <c r="G59" s="93"/>
      <c r="H59" s="93"/>
    </row>
    <row r="60" spans="1:8">
      <c r="A60" s="93"/>
      <c r="B60" s="93"/>
      <c r="C60" s="93"/>
      <c r="D60" s="93"/>
      <c r="E60" s="93"/>
      <c r="F60" s="93"/>
      <c r="G60" s="93"/>
      <c r="H60" s="93"/>
    </row>
    <row r="61" spans="1:8">
      <c r="A61" s="93"/>
      <c r="B61" s="93"/>
      <c r="C61" s="93"/>
      <c r="D61" s="93"/>
      <c r="E61" s="93"/>
      <c r="F61" s="93"/>
      <c r="G61" s="93"/>
      <c r="H61" s="93"/>
    </row>
    <row r="62" spans="1:8">
      <c r="A62" s="93"/>
      <c r="B62" s="93"/>
      <c r="C62" s="93"/>
      <c r="D62" s="93"/>
      <c r="E62" s="93"/>
      <c r="F62" s="93"/>
      <c r="G62" s="93"/>
      <c r="H62" s="93"/>
    </row>
    <row r="63" spans="1:8">
      <c r="A63" s="93"/>
      <c r="B63" s="93"/>
      <c r="C63" s="93"/>
      <c r="D63" s="93"/>
      <c r="E63" s="93"/>
      <c r="F63" s="93"/>
      <c r="G63" s="93"/>
      <c r="H63" s="93"/>
    </row>
    <row r="64" spans="1:8">
      <c r="A64" s="93"/>
      <c r="B64" s="93"/>
      <c r="C64" s="93"/>
      <c r="D64" s="93"/>
      <c r="E64" s="93"/>
      <c r="F64" s="93"/>
      <c r="G64" s="93"/>
      <c r="H64" s="93"/>
    </row>
    <row r="65" spans="1:8">
      <c r="A65" s="93"/>
      <c r="B65" s="93"/>
      <c r="C65" s="93"/>
      <c r="D65" s="93"/>
      <c r="E65" s="93"/>
      <c r="F65" s="93"/>
      <c r="G65" s="93"/>
      <c r="H65" s="93"/>
    </row>
    <row r="66" spans="1:8">
      <c r="A66" s="93"/>
      <c r="B66" s="93"/>
      <c r="C66" s="93"/>
      <c r="D66" s="93"/>
      <c r="E66" s="93"/>
      <c r="F66" s="93"/>
      <c r="G66" s="93"/>
      <c r="H66" s="93"/>
    </row>
    <row r="67" spans="1:8">
      <c r="A67" s="93"/>
      <c r="B67" s="93"/>
      <c r="C67" s="93"/>
      <c r="D67" s="93"/>
      <c r="E67" s="93"/>
      <c r="F67" s="93"/>
      <c r="G67" s="93"/>
      <c r="H67" s="93"/>
    </row>
    <row r="68" spans="1:8">
      <c r="A68" s="93"/>
      <c r="B68" s="93"/>
      <c r="C68" s="93"/>
      <c r="D68" s="93"/>
      <c r="E68" s="93"/>
      <c r="F68" s="93"/>
      <c r="G68" s="93"/>
      <c r="H68" s="93"/>
    </row>
    <row r="69" spans="1:8">
      <c r="A69" s="93"/>
      <c r="B69" s="93"/>
      <c r="C69" s="93"/>
      <c r="D69" s="93"/>
      <c r="E69" s="93"/>
      <c r="F69" s="93"/>
      <c r="G69" s="93"/>
      <c r="H69" s="93"/>
    </row>
    <row r="70" spans="1:8">
      <c r="A70" s="93"/>
      <c r="B70" s="93"/>
      <c r="C70" s="93"/>
      <c r="D70" s="93"/>
      <c r="E70" s="93"/>
      <c r="F70" s="93"/>
      <c r="G70" s="93"/>
      <c r="H70" s="93"/>
    </row>
    <row r="71" spans="1:8">
      <c r="A71" s="93"/>
      <c r="B71" s="93"/>
      <c r="C71" s="93"/>
      <c r="D71" s="93"/>
      <c r="E71" s="93"/>
      <c r="F71" s="93"/>
      <c r="G71" s="93"/>
      <c r="H71" s="93"/>
    </row>
    <row r="72" spans="1:8">
      <c r="A72" s="93"/>
      <c r="B72" s="93"/>
      <c r="C72" s="93"/>
      <c r="D72" s="93"/>
      <c r="E72" s="93"/>
      <c r="F72" s="93"/>
      <c r="G72" s="93"/>
      <c r="H72" s="93"/>
    </row>
    <row r="73" spans="1:8">
      <c r="A73" s="93"/>
      <c r="B73" s="93"/>
      <c r="C73" s="93"/>
      <c r="D73" s="93"/>
      <c r="E73" s="93"/>
      <c r="F73" s="93"/>
      <c r="G73" s="93"/>
      <c r="H73" s="93"/>
    </row>
    <row r="74" spans="1:8">
      <c r="A74" s="93"/>
      <c r="B74" s="93"/>
      <c r="C74" s="93"/>
      <c r="D74" s="93"/>
      <c r="E74" s="93"/>
      <c r="F74" s="93"/>
      <c r="G74" s="93"/>
      <c r="H74" s="93"/>
    </row>
    <row r="75" spans="1:8">
      <c r="A75" s="93"/>
      <c r="B75" s="93"/>
      <c r="C75" s="93"/>
      <c r="D75" s="93"/>
      <c r="E75" s="93"/>
      <c r="F75" s="93"/>
      <c r="G75" s="93"/>
      <c r="H75" s="93"/>
    </row>
    <row r="76" spans="1:8">
      <c r="A76" s="93"/>
      <c r="B76" s="93"/>
      <c r="C76" s="93"/>
      <c r="D76" s="93"/>
      <c r="E76" s="93"/>
      <c r="F76" s="93"/>
      <c r="G76" s="93"/>
      <c r="H76" s="93"/>
    </row>
    <row r="77" spans="1:8">
      <c r="A77" s="93"/>
      <c r="B77" s="93"/>
      <c r="C77" s="93"/>
      <c r="D77" s="93"/>
      <c r="E77" s="93"/>
      <c r="F77" s="93"/>
      <c r="G77" s="93"/>
      <c r="H77" s="93"/>
    </row>
    <row r="78" spans="1:8">
      <c r="A78" s="93"/>
      <c r="B78" s="93"/>
      <c r="C78" s="93"/>
      <c r="D78" s="93"/>
      <c r="E78" s="93"/>
      <c r="F78" s="93"/>
      <c r="G78" s="93"/>
      <c r="H78" s="93"/>
    </row>
    <row r="79" spans="1:8">
      <c r="A79" s="93"/>
      <c r="B79" s="93"/>
      <c r="C79" s="93"/>
      <c r="D79" s="93"/>
      <c r="E79" s="93"/>
      <c r="F79" s="93"/>
      <c r="G79" s="93"/>
      <c r="H79" s="93"/>
    </row>
    <row r="80" spans="1:8">
      <c r="A80" s="93"/>
      <c r="B80" s="93"/>
      <c r="C80" s="93"/>
      <c r="D80" s="93"/>
      <c r="E80" s="93"/>
      <c r="F80" s="93"/>
      <c r="G80" s="93"/>
      <c r="H80" s="93"/>
    </row>
    <row r="81" spans="1:8">
      <c r="A81" s="93"/>
      <c r="B81" s="93"/>
      <c r="C81" s="93"/>
      <c r="D81" s="93"/>
      <c r="E81" s="93"/>
      <c r="F81" s="93"/>
      <c r="G81" s="93"/>
      <c r="H81" s="93"/>
    </row>
    <row r="82" spans="1:8">
      <c r="A82" s="93"/>
      <c r="B82" s="93"/>
      <c r="C82" s="93"/>
      <c r="D82" s="93"/>
      <c r="E82" s="93"/>
      <c r="F82" s="93"/>
      <c r="G82" s="93"/>
      <c r="H82" s="93"/>
    </row>
    <row r="83" spans="1:8">
      <c r="A83" s="93"/>
      <c r="B83" s="93"/>
      <c r="C83" s="93"/>
      <c r="D83" s="93"/>
      <c r="E83" s="93"/>
      <c r="F83" s="93"/>
      <c r="G83" s="93"/>
      <c r="H83" s="93"/>
    </row>
    <row r="84" spans="1:8">
      <c r="A84" s="93"/>
      <c r="B84" s="93"/>
      <c r="C84" s="93"/>
      <c r="D84" s="93"/>
      <c r="E84" s="93"/>
      <c r="F84" s="93"/>
      <c r="G84" s="93"/>
      <c r="H84" s="93"/>
    </row>
    <row r="85" spans="1:8">
      <c r="A85" s="93"/>
      <c r="B85" s="93"/>
      <c r="C85" s="93"/>
      <c r="D85" s="93"/>
      <c r="E85" s="93"/>
      <c r="F85" s="93"/>
      <c r="G85" s="93"/>
      <c r="H85" s="93"/>
    </row>
    <row r="86" spans="1:8">
      <c r="A86" s="93"/>
      <c r="B86" s="93"/>
      <c r="C86" s="93"/>
      <c r="D86" s="93"/>
      <c r="E86" s="93"/>
      <c r="F86" s="93"/>
      <c r="G86" s="93"/>
      <c r="H86" s="93"/>
    </row>
    <row r="87" spans="1:8">
      <c r="A87" s="93"/>
      <c r="B87" s="93"/>
      <c r="C87" s="93"/>
      <c r="D87" s="93"/>
      <c r="E87" s="93"/>
      <c r="F87" s="93"/>
      <c r="G87" s="93"/>
      <c r="H87" s="93"/>
    </row>
    <row r="88" spans="1:8">
      <c r="A88" s="93"/>
      <c r="B88" s="93"/>
      <c r="C88" s="93"/>
      <c r="D88" s="93"/>
      <c r="E88" s="93"/>
      <c r="F88" s="93"/>
      <c r="G88" s="93"/>
      <c r="H88" s="93"/>
    </row>
    <row r="89" spans="1:8">
      <c r="A89" s="93"/>
      <c r="B89" s="93"/>
      <c r="C89" s="93"/>
      <c r="D89" s="93"/>
      <c r="E89" s="93"/>
      <c r="F89" s="93"/>
      <c r="G89" s="93"/>
      <c r="H89" s="93"/>
    </row>
    <row r="90" spans="1:8">
      <c r="A90" s="93"/>
      <c r="B90" s="93"/>
      <c r="C90" s="93"/>
      <c r="D90" s="93"/>
      <c r="E90" s="93"/>
      <c r="F90" s="93"/>
      <c r="G90" s="93"/>
      <c r="H90" s="93"/>
    </row>
    <row r="91" spans="1:8">
      <c r="A91" s="93"/>
      <c r="B91" s="93"/>
      <c r="C91" s="93"/>
      <c r="D91" s="93"/>
      <c r="E91" s="93"/>
      <c r="F91" s="93"/>
      <c r="G91" s="93"/>
      <c r="H91" s="93"/>
    </row>
    <row r="92" spans="1:8">
      <c r="A92" s="93"/>
      <c r="B92" s="93"/>
      <c r="C92" s="93"/>
      <c r="D92" s="93"/>
      <c r="E92" s="93"/>
      <c r="F92" s="93"/>
      <c r="G92" s="93"/>
      <c r="H92" s="93"/>
    </row>
    <row r="93" spans="1:8">
      <c r="A93" s="93"/>
      <c r="B93" s="93"/>
      <c r="C93" s="93"/>
      <c r="D93" s="93"/>
      <c r="E93" s="93"/>
      <c r="F93" s="93"/>
      <c r="G93" s="93"/>
      <c r="H93" s="93"/>
    </row>
    <row r="94" spans="1:8">
      <c r="A94" s="93"/>
      <c r="B94" s="93"/>
      <c r="C94" s="93"/>
      <c r="D94" s="93"/>
      <c r="E94" s="93"/>
      <c r="F94" s="93"/>
      <c r="G94" s="93"/>
      <c r="H94" s="93"/>
    </row>
    <row r="95" spans="1:8">
      <c r="A95" s="93"/>
      <c r="B95" s="93"/>
      <c r="C95" s="93"/>
      <c r="D95" s="93"/>
      <c r="E95" s="93"/>
      <c r="F95" s="93"/>
      <c r="G95" s="93"/>
      <c r="H95" s="93"/>
    </row>
    <row r="96" spans="1:8">
      <c r="A96" s="93"/>
      <c r="B96" s="93"/>
      <c r="C96" s="93"/>
      <c r="D96" s="93"/>
      <c r="E96" s="93"/>
      <c r="F96" s="93"/>
      <c r="G96" s="93"/>
      <c r="H96" s="93"/>
    </row>
    <row r="97" spans="1:8">
      <c r="A97" s="93"/>
      <c r="B97" s="93"/>
      <c r="C97" s="93"/>
      <c r="D97" s="93"/>
      <c r="E97" s="93"/>
      <c r="F97" s="93"/>
      <c r="G97" s="93"/>
      <c r="H97" s="93"/>
    </row>
    <row r="98" spans="1:8">
      <c r="A98" s="93"/>
      <c r="B98" s="93"/>
      <c r="C98" s="93"/>
      <c r="D98" s="93"/>
      <c r="E98" s="93"/>
      <c r="F98" s="93"/>
      <c r="G98" s="93"/>
      <c r="H98" s="93"/>
    </row>
    <row r="99" spans="1:8">
      <c r="A99" s="93"/>
      <c r="B99" s="93"/>
      <c r="C99" s="93"/>
      <c r="D99" s="93"/>
      <c r="E99" s="93"/>
      <c r="F99" s="93"/>
      <c r="G99" s="93"/>
      <c r="H99" s="93"/>
    </row>
    <row r="100" spans="1:8">
      <c r="A100" s="93"/>
      <c r="B100" s="93"/>
      <c r="C100" s="93"/>
      <c r="D100" s="93"/>
      <c r="E100" s="93"/>
      <c r="F100" s="93"/>
      <c r="G100" s="93"/>
      <c r="H100" s="93"/>
    </row>
    <row r="101" spans="1:8">
      <c r="A101" s="93"/>
      <c r="B101" s="93"/>
      <c r="C101" s="93"/>
      <c r="D101" s="93"/>
      <c r="E101" s="93"/>
      <c r="F101" s="93"/>
      <c r="G101" s="93"/>
      <c r="H101" s="93"/>
    </row>
    <row r="102" spans="1:8">
      <c r="A102" s="93"/>
      <c r="B102" s="93"/>
      <c r="C102" s="93"/>
      <c r="D102" s="93"/>
      <c r="E102" s="93"/>
      <c r="F102" s="93"/>
      <c r="G102" s="93"/>
      <c r="H102" s="93"/>
    </row>
    <row r="103" spans="1:8">
      <c r="A103" s="93"/>
      <c r="B103" s="93"/>
      <c r="C103" s="93"/>
      <c r="D103" s="93"/>
      <c r="E103" s="93"/>
      <c r="F103" s="93"/>
      <c r="G103" s="93"/>
      <c r="H103" s="93"/>
    </row>
    <row r="104" spans="1:8">
      <c r="A104" s="93"/>
      <c r="B104" s="93"/>
      <c r="C104" s="93"/>
      <c r="D104" s="93"/>
      <c r="E104" s="93"/>
      <c r="F104" s="93"/>
      <c r="G104" s="93"/>
      <c r="H104" s="93"/>
    </row>
    <row r="105" spans="1:8">
      <c r="A105" s="93"/>
      <c r="B105" s="93"/>
      <c r="C105" s="93"/>
      <c r="D105" s="93"/>
      <c r="E105" s="93"/>
      <c r="F105" s="93"/>
      <c r="G105" s="93"/>
      <c r="H105" s="93"/>
    </row>
    <row r="106" spans="1:8">
      <c r="A106" s="93"/>
      <c r="B106" s="93"/>
      <c r="C106" s="93"/>
      <c r="D106" s="93"/>
      <c r="E106" s="93"/>
      <c r="F106" s="93"/>
      <c r="G106" s="93"/>
      <c r="H106" s="93"/>
    </row>
    <row r="107" spans="1:8">
      <c r="A107" s="93"/>
      <c r="B107" s="93"/>
      <c r="C107" s="93"/>
      <c r="D107" s="93"/>
      <c r="E107" s="93"/>
      <c r="F107" s="93"/>
      <c r="G107" s="93"/>
      <c r="H107" s="93"/>
    </row>
    <row r="108" spans="1:8">
      <c r="A108" s="93"/>
      <c r="B108" s="93"/>
      <c r="C108" s="93"/>
      <c r="D108" s="93"/>
      <c r="E108" s="93"/>
      <c r="F108" s="93"/>
      <c r="G108" s="93"/>
      <c r="H108" s="93"/>
    </row>
    <row r="109" spans="1:8">
      <c r="A109" s="93"/>
      <c r="B109" s="93"/>
      <c r="C109" s="93"/>
      <c r="D109" s="93"/>
      <c r="E109" s="93"/>
      <c r="F109" s="93"/>
      <c r="G109" s="93"/>
      <c r="H109" s="93"/>
    </row>
    <row r="110" spans="1:8">
      <c r="A110" s="93"/>
      <c r="B110" s="93"/>
      <c r="C110" s="93"/>
      <c r="D110" s="93"/>
      <c r="E110" s="93"/>
      <c r="F110" s="93"/>
      <c r="G110" s="93"/>
      <c r="H110" s="93"/>
    </row>
    <row r="111" spans="1:8">
      <c r="A111" s="93"/>
      <c r="B111" s="93"/>
      <c r="C111" s="93"/>
      <c r="D111" s="93"/>
      <c r="E111" s="93"/>
      <c r="F111" s="93"/>
      <c r="G111" s="93"/>
      <c r="H111" s="93"/>
    </row>
    <row r="112" spans="1:8">
      <c r="A112" s="93"/>
      <c r="B112" s="93"/>
      <c r="C112" s="93"/>
      <c r="D112" s="93"/>
      <c r="E112" s="93"/>
      <c r="F112" s="93"/>
      <c r="G112" s="93"/>
      <c r="H112" s="93"/>
    </row>
    <row r="113" spans="1:8">
      <c r="A113" s="93"/>
      <c r="B113" s="93"/>
      <c r="C113" s="93"/>
      <c r="D113" s="93"/>
      <c r="E113" s="93"/>
      <c r="F113" s="93"/>
      <c r="G113" s="93"/>
      <c r="H113" s="93"/>
    </row>
    <row r="114" spans="1:8">
      <c r="A114" s="93"/>
      <c r="B114" s="93"/>
      <c r="C114" s="93"/>
      <c r="D114" s="93"/>
      <c r="E114" s="93"/>
      <c r="F114" s="93"/>
      <c r="G114" s="93"/>
      <c r="H114" s="93"/>
    </row>
    <row r="115" spans="1:8">
      <c r="A115" s="93"/>
      <c r="B115" s="93"/>
      <c r="C115" s="93"/>
      <c r="D115" s="93"/>
      <c r="E115" s="93"/>
      <c r="F115" s="93"/>
      <c r="G115" s="93"/>
      <c r="H115" s="93"/>
    </row>
    <row r="116" spans="1:8">
      <c r="A116" s="93"/>
      <c r="B116" s="93"/>
      <c r="C116" s="93"/>
      <c r="D116" s="93"/>
      <c r="E116" s="93"/>
      <c r="F116" s="93"/>
      <c r="G116" s="93"/>
      <c r="H116" s="93"/>
    </row>
    <row r="117" spans="1:8">
      <c r="A117" s="93"/>
      <c r="B117" s="93"/>
      <c r="C117" s="93"/>
      <c r="D117" s="93"/>
      <c r="E117" s="93"/>
      <c r="F117" s="93"/>
      <c r="G117" s="93"/>
      <c r="H117" s="93"/>
    </row>
    <row r="118" spans="1:8">
      <c r="A118" s="93"/>
      <c r="B118" s="93"/>
      <c r="C118" s="93"/>
      <c r="D118" s="93"/>
      <c r="E118" s="93"/>
      <c r="F118" s="93"/>
      <c r="G118" s="93"/>
      <c r="H118" s="93"/>
    </row>
    <row r="119" spans="1:8">
      <c r="A119" s="93"/>
      <c r="B119" s="93"/>
      <c r="C119" s="93"/>
      <c r="D119" s="93"/>
      <c r="E119" s="93"/>
      <c r="F119" s="93"/>
      <c r="G119" s="93"/>
      <c r="H119" s="93"/>
    </row>
    <row r="120" spans="1:8">
      <c r="A120" s="93"/>
      <c r="B120" s="93"/>
      <c r="C120" s="93"/>
      <c r="D120" s="93"/>
      <c r="E120" s="93"/>
      <c r="F120" s="93"/>
      <c r="G120" s="93"/>
      <c r="H120" s="93"/>
    </row>
    <row r="121" spans="1:8">
      <c r="A121" s="93"/>
      <c r="B121" s="93"/>
      <c r="C121" s="93"/>
      <c r="D121" s="93"/>
      <c r="E121" s="93"/>
      <c r="F121" s="93"/>
      <c r="G121" s="93"/>
      <c r="H121" s="93"/>
    </row>
    <row r="122" spans="1:8">
      <c r="A122" s="93"/>
      <c r="B122" s="93"/>
      <c r="C122" s="93"/>
      <c r="D122" s="93"/>
      <c r="E122" s="93"/>
      <c r="F122" s="93"/>
      <c r="G122" s="93"/>
      <c r="H122" s="93"/>
    </row>
    <row r="123" spans="1:8">
      <c r="A123" s="93"/>
      <c r="B123" s="93"/>
      <c r="C123" s="93"/>
      <c r="D123" s="93"/>
      <c r="E123" s="93"/>
      <c r="F123" s="93"/>
      <c r="G123" s="93"/>
      <c r="H123" s="93"/>
    </row>
    <row r="124" spans="1:8">
      <c r="A124" s="93"/>
      <c r="B124" s="93"/>
      <c r="C124" s="93"/>
      <c r="D124" s="93"/>
      <c r="E124" s="93"/>
      <c r="F124" s="93"/>
      <c r="G124" s="93"/>
      <c r="H124" s="93"/>
    </row>
    <row r="125" spans="1:8">
      <c r="A125" s="93"/>
      <c r="B125" s="93"/>
      <c r="C125" s="93"/>
      <c r="D125" s="93"/>
      <c r="E125" s="93"/>
      <c r="F125" s="93"/>
      <c r="G125" s="93"/>
      <c r="H125" s="93"/>
    </row>
    <row r="126" spans="1:8">
      <c r="A126" s="93"/>
      <c r="B126" s="93"/>
      <c r="C126" s="93"/>
      <c r="D126" s="93"/>
      <c r="E126" s="93"/>
      <c r="F126" s="93"/>
      <c r="G126" s="93"/>
      <c r="H126" s="93"/>
    </row>
    <row r="127" spans="1:8">
      <c r="A127" s="93"/>
      <c r="B127" s="93"/>
      <c r="C127" s="93"/>
      <c r="D127" s="93"/>
      <c r="E127" s="93"/>
      <c r="F127" s="93"/>
      <c r="G127" s="93"/>
      <c r="H127" s="93"/>
    </row>
    <row r="128" spans="1:8">
      <c r="A128" s="93"/>
      <c r="B128" s="93"/>
      <c r="C128" s="93"/>
      <c r="D128" s="93"/>
      <c r="E128" s="93"/>
      <c r="F128" s="93"/>
      <c r="G128" s="93"/>
      <c r="H128" s="93"/>
    </row>
    <row r="129" spans="1:8">
      <c r="A129" s="93"/>
      <c r="B129" s="93"/>
      <c r="C129" s="93"/>
      <c r="D129" s="93"/>
      <c r="E129" s="93"/>
      <c r="F129" s="93"/>
      <c r="G129" s="93"/>
      <c r="H129" s="93"/>
    </row>
    <row r="130" spans="1:8">
      <c r="A130" s="93"/>
      <c r="B130" s="93"/>
      <c r="C130" s="93"/>
      <c r="D130" s="93"/>
      <c r="E130" s="93"/>
      <c r="F130" s="93"/>
      <c r="G130" s="93"/>
      <c r="H130" s="93"/>
    </row>
    <row r="131" spans="1:8">
      <c r="A131" s="93"/>
      <c r="B131" s="93"/>
      <c r="C131" s="93"/>
      <c r="D131" s="93"/>
      <c r="E131" s="93"/>
      <c r="F131" s="93"/>
      <c r="G131" s="93"/>
      <c r="H131" s="93"/>
    </row>
    <row r="132" spans="1:8">
      <c r="A132" s="93"/>
      <c r="B132" s="93"/>
      <c r="C132" s="93"/>
      <c r="D132" s="93"/>
      <c r="E132" s="93"/>
      <c r="F132" s="93"/>
      <c r="G132" s="93"/>
      <c r="H132" s="93"/>
    </row>
    <row r="133" spans="1:8">
      <c r="A133" s="93"/>
      <c r="B133" s="93"/>
      <c r="C133" s="93"/>
      <c r="D133" s="93"/>
      <c r="E133" s="93"/>
      <c r="F133" s="93"/>
      <c r="G133" s="93"/>
      <c r="H133" s="93"/>
    </row>
    <row r="134" spans="1:8">
      <c r="A134" s="93"/>
      <c r="B134" s="93"/>
      <c r="C134" s="93"/>
      <c r="D134" s="93"/>
      <c r="E134" s="93"/>
      <c r="F134" s="93"/>
      <c r="G134" s="93"/>
      <c r="H134" s="93"/>
    </row>
    <row r="135" spans="1:8">
      <c r="A135" s="93"/>
      <c r="B135" s="93"/>
      <c r="C135" s="93"/>
      <c r="D135" s="93"/>
      <c r="E135" s="93"/>
      <c r="F135" s="93"/>
      <c r="G135" s="93"/>
      <c r="H135" s="93"/>
    </row>
    <row r="136" spans="1:8">
      <c r="A136" s="93"/>
      <c r="B136" s="93"/>
      <c r="C136" s="93"/>
      <c r="D136" s="93"/>
      <c r="E136" s="93"/>
      <c r="F136" s="93"/>
      <c r="G136" s="93"/>
      <c r="H136" s="93"/>
    </row>
    <row r="137" spans="1:8">
      <c r="A137" s="93"/>
      <c r="B137" s="93"/>
      <c r="C137" s="93"/>
      <c r="D137" s="93"/>
      <c r="E137" s="93"/>
      <c r="F137" s="93"/>
      <c r="G137" s="93"/>
      <c r="H137" s="93"/>
    </row>
    <row r="138" spans="1:8">
      <c r="A138" s="93"/>
      <c r="B138" s="93"/>
      <c r="C138" s="93"/>
      <c r="D138" s="93"/>
      <c r="E138" s="93"/>
      <c r="F138" s="93"/>
      <c r="G138" s="93"/>
      <c r="H138" s="93"/>
    </row>
    <row r="139" spans="1:8">
      <c r="A139" s="93"/>
      <c r="B139" s="93"/>
      <c r="C139" s="93"/>
      <c r="D139" s="93"/>
      <c r="E139" s="93"/>
      <c r="F139" s="93"/>
      <c r="G139" s="93"/>
      <c r="H139" s="93"/>
    </row>
    <row r="140" spans="1:8">
      <c r="A140" s="93"/>
      <c r="B140" s="93"/>
      <c r="C140" s="93"/>
      <c r="D140" s="93"/>
      <c r="E140" s="93"/>
      <c r="F140" s="93"/>
      <c r="G140" s="93"/>
      <c r="H140" s="93"/>
    </row>
  </sheetData>
  <sheetProtection password="8318" sheet="1" objects="1" scenarios="1"/>
  <mergeCells count="3">
    <mergeCell ref="A4:H4"/>
    <mergeCell ref="A16:B16"/>
    <mergeCell ref="A20:B20"/>
  </mergeCells>
  <phoneticPr fontId="2" type="noConversion"/>
  <printOptions horizontalCentered="1"/>
  <pageMargins left="0.75" right="0.75" top="0.39370078740157483" bottom="0.39370078740157483" header="0.51181102362204722" footer="0.51181102362204722"/>
  <pageSetup paperSize="9" scale="90" orientation="portrait" r:id="rId1"/>
  <headerFooter alignWithMargins="0">
    <oddFooter>&amp;C&amp;"Arial,Normal"&amp;8IAPMEI&amp;R&amp;"Arial,Normal"&amp;8&amp;P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/>
  <dimension ref="A1:K54"/>
  <sheetViews>
    <sheetView showGridLines="0" showZeros="0" topLeftCell="A19" workbookViewId="0">
      <selection activeCell="N28" sqref="N28"/>
    </sheetView>
  </sheetViews>
  <sheetFormatPr defaultColWidth="8.7109375" defaultRowHeight="12.75"/>
  <cols>
    <col min="1" max="1" width="29.7109375" style="93" customWidth="1"/>
    <col min="2" max="4" width="6.42578125" style="93" customWidth="1"/>
    <col min="5" max="5" width="11.85546875" style="93" customWidth="1"/>
    <col min="6" max="14" width="11.42578125" style="93" customWidth="1"/>
    <col min="15" max="16384" width="8.7109375" style="93"/>
  </cols>
  <sheetData>
    <row r="1" spans="1:11" ht="13.5">
      <c r="A1" s="83"/>
      <c r="B1" s="83"/>
      <c r="C1" s="83"/>
      <c r="D1" s="83"/>
      <c r="E1" s="73"/>
      <c r="F1" s="73"/>
      <c r="G1" s="73"/>
      <c r="H1" s="73"/>
      <c r="I1" s="73"/>
      <c r="J1" s="118" t="str">
        <f>+VN!G1</f>
        <v>Empresa:</v>
      </c>
      <c r="K1" s="119" t="str">
        <f>+Pressupostos!E1</f>
        <v>ALI,Conserva&amp;Limpa, Lda</v>
      </c>
    </row>
    <row r="2" spans="1:11">
      <c r="A2" s="77"/>
      <c r="B2" s="77"/>
      <c r="C2" s="77"/>
      <c r="D2" s="77"/>
      <c r="E2" s="73"/>
      <c r="F2" s="73"/>
      <c r="G2" s="73"/>
      <c r="H2" s="73"/>
      <c r="I2" s="73"/>
      <c r="J2" s="73"/>
      <c r="K2" s="78" t="str">
        <f>+Pressupostos!B9</f>
        <v>Euros</v>
      </c>
    </row>
    <row r="3" spans="1:11">
      <c r="A3" s="77"/>
      <c r="B3" s="77"/>
      <c r="C3" s="77"/>
      <c r="D3" s="77"/>
      <c r="E3" s="73"/>
      <c r="F3" s="73"/>
      <c r="G3" s="73"/>
      <c r="H3" s="73"/>
      <c r="I3" s="73"/>
      <c r="J3" s="73"/>
      <c r="K3" s="78"/>
    </row>
    <row r="4" spans="1:11" ht="15.75">
      <c r="A4" s="462" t="s">
        <v>72</v>
      </c>
      <c r="B4" s="462"/>
      <c r="C4" s="462"/>
      <c r="D4" s="462"/>
      <c r="E4" s="462"/>
      <c r="F4" s="462"/>
      <c r="G4" s="462"/>
      <c r="H4" s="462"/>
      <c r="I4" s="462"/>
      <c r="J4" s="462"/>
      <c r="K4" s="462"/>
    </row>
    <row r="5" spans="1:11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</row>
    <row r="6" spans="1:11">
      <c r="A6" s="83"/>
      <c r="B6" s="83"/>
      <c r="C6" s="83"/>
      <c r="D6" s="83"/>
      <c r="E6" s="83"/>
      <c r="F6" s="83"/>
      <c r="G6" s="83"/>
      <c r="H6" s="83"/>
      <c r="I6" s="83"/>
      <c r="J6" s="83"/>
      <c r="K6" s="83"/>
    </row>
    <row r="7" spans="1:11">
      <c r="A7" s="81"/>
      <c r="B7" s="120"/>
      <c r="C7" s="120"/>
      <c r="D7" s="120"/>
      <c r="E7" s="104"/>
      <c r="F7" s="80">
        <f>+VN!C8</f>
        <v>2011</v>
      </c>
      <c r="G7" s="80">
        <f>+VN!D8</f>
        <v>2012</v>
      </c>
      <c r="H7" s="80">
        <f>+VN!E8</f>
        <v>2013</v>
      </c>
      <c r="I7" s="80">
        <f>+VN!F8</f>
        <v>2014</v>
      </c>
      <c r="J7" s="80">
        <f>+VN!G8</f>
        <v>2015</v>
      </c>
      <c r="K7" s="80">
        <f>+VN!H8</f>
        <v>2016</v>
      </c>
    </row>
    <row r="8" spans="1:11">
      <c r="A8" s="121" t="s">
        <v>34</v>
      </c>
      <c r="B8" s="122"/>
      <c r="C8" s="122"/>
      <c r="D8" s="122"/>
      <c r="E8" s="124"/>
      <c r="F8" s="54">
        <v>12</v>
      </c>
      <c r="G8" s="128">
        <v>12</v>
      </c>
      <c r="H8" s="128">
        <v>12</v>
      </c>
      <c r="I8" s="128">
        <v>12</v>
      </c>
      <c r="J8" s="128">
        <v>12</v>
      </c>
      <c r="K8" s="128">
        <v>12</v>
      </c>
    </row>
    <row r="9" spans="1:11">
      <c r="A9" s="121" t="s">
        <v>74</v>
      </c>
      <c r="B9" s="122"/>
      <c r="C9" s="122"/>
      <c r="D9" s="122"/>
      <c r="E9" s="124"/>
      <c r="F9" s="125">
        <v>0</v>
      </c>
      <c r="G9" s="50">
        <v>0.02</v>
      </c>
      <c r="H9" s="50">
        <v>0.02</v>
      </c>
      <c r="I9" s="50">
        <v>0.02</v>
      </c>
      <c r="J9" s="50">
        <v>0.02</v>
      </c>
      <c r="K9" s="50">
        <v>0.02</v>
      </c>
    </row>
    <row r="10" spans="1:11">
      <c r="A10" s="83"/>
      <c r="B10" s="83"/>
      <c r="C10" s="83"/>
      <c r="D10" s="83"/>
      <c r="E10" s="83"/>
      <c r="F10" s="83"/>
      <c r="G10" s="83"/>
      <c r="H10" s="83"/>
      <c r="I10" s="83"/>
      <c r="J10" s="83"/>
      <c r="K10" s="83"/>
    </row>
    <row r="11" spans="1:11">
      <c r="A11" s="83"/>
      <c r="B11" s="83"/>
      <c r="C11" s="83"/>
      <c r="D11" s="83"/>
      <c r="E11" s="83"/>
      <c r="F11" s="83"/>
      <c r="G11" s="83"/>
      <c r="H11" s="83"/>
      <c r="I11" s="83"/>
      <c r="J11" s="83"/>
      <c r="K11" s="83"/>
    </row>
    <row r="12" spans="1:11">
      <c r="A12" s="81"/>
      <c r="B12" s="80" t="s">
        <v>145</v>
      </c>
      <c r="C12" s="80" t="s">
        <v>3</v>
      </c>
      <c r="D12" s="80" t="s">
        <v>410</v>
      </c>
      <c r="E12" s="80" t="s">
        <v>75</v>
      </c>
      <c r="F12" s="406">
        <f>+VN!C8</f>
        <v>2011</v>
      </c>
      <c r="G12" s="406">
        <f>+VN!D8</f>
        <v>2012</v>
      </c>
      <c r="H12" s="406">
        <f>+VN!E8</f>
        <v>2013</v>
      </c>
      <c r="I12" s="406">
        <f>+VN!F8</f>
        <v>2014</v>
      </c>
      <c r="J12" s="406">
        <f>+VN!G8</f>
        <v>2015</v>
      </c>
      <c r="K12" s="406">
        <f>+VN!H8</f>
        <v>2016</v>
      </c>
    </row>
    <row r="13" spans="1:11">
      <c r="A13" s="126" t="s">
        <v>30</v>
      </c>
      <c r="B13" s="37">
        <v>0.23</v>
      </c>
      <c r="C13" s="407">
        <f>100%-D13</f>
        <v>1</v>
      </c>
      <c r="D13" s="37"/>
      <c r="E13" s="408"/>
      <c r="F13" s="409">
        <f>E13*$F$8</f>
        <v>0</v>
      </c>
      <c r="G13" s="409">
        <f>+E13*$G$8*(1+$G$9)</f>
        <v>0</v>
      </c>
      <c r="H13" s="409">
        <f>+G13*(1+$H$9)</f>
        <v>0</v>
      </c>
      <c r="I13" s="409">
        <f>+H13*(1+$I$9)</f>
        <v>0</v>
      </c>
      <c r="J13" s="409">
        <f>+I13*(1+$J$9)</f>
        <v>0</v>
      </c>
      <c r="K13" s="409">
        <f>+J13*(1+$K$9)</f>
        <v>0</v>
      </c>
    </row>
    <row r="14" spans="1:11">
      <c r="A14" s="127" t="s">
        <v>339</v>
      </c>
      <c r="B14" s="125"/>
      <c r="C14" s="407"/>
      <c r="D14" s="125"/>
      <c r="E14" s="410"/>
      <c r="F14" s="410"/>
      <c r="G14" s="410"/>
      <c r="H14" s="410"/>
      <c r="I14" s="410"/>
      <c r="J14" s="410"/>
      <c r="K14" s="410"/>
    </row>
    <row r="15" spans="1:11">
      <c r="A15" s="351" t="s">
        <v>199</v>
      </c>
      <c r="B15" s="37">
        <v>0.23</v>
      </c>
      <c r="C15" s="407">
        <f t="shared" ref="C15:C42" si="0">100%-D15</f>
        <v>1</v>
      </c>
      <c r="D15" s="37"/>
      <c r="E15" s="408">
        <v>100</v>
      </c>
      <c r="F15" s="409">
        <f t="shared" ref="F15:F42" si="1">E15*$F$8</f>
        <v>1200</v>
      </c>
      <c r="G15" s="409">
        <f t="shared" ref="G15:G42" si="2">+E15*$G$8*(1+$G$9)</f>
        <v>1224</v>
      </c>
      <c r="H15" s="409">
        <f t="shared" ref="H15:H20" si="3">+G15*(1+$H$9)</f>
        <v>1248.48</v>
      </c>
      <c r="I15" s="409">
        <f t="shared" ref="I15:I42" si="4">+H15*(1+$I$9)</f>
        <v>1273.4496000000001</v>
      </c>
      <c r="J15" s="409">
        <f t="shared" ref="J15:J42" si="5">+I15*(1+$J$9)</f>
        <v>1298.9185920000002</v>
      </c>
      <c r="K15" s="409">
        <f t="shared" ref="K15:K42" si="6">+J15*(1+$K$9)</f>
        <v>1324.8969638400004</v>
      </c>
    </row>
    <row r="16" spans="1:11">
      <c r="A16" s="351" t="s">
        <v>44</v>
      </c>
      <c r="B16" s="37">
        <v>0.23</v>
      </c>
      <c r="C16" s="407">
        <f t="shared" si="0"/>
        <v>0</v>
      </c>
      <c r="D16" s="37">
        <v>1</v>
      </c>
      <c r="E16" s="408">
        <v>67</v>
      </c>
      <c r="F16" s="409">
        <f t="shared" si="1"/>
        <v>804</v>
      </c>
      <c r="G16" s="409">
        <f t="shared" si="2"/>
        <v>820.08</v>
      </c>
      <c r="H16" s="409">
        <f t="shared" si="3"/>
        <v>836.48160000000007</v>
      </c>
      <c r="I16" s="409">
        <f t="shared" si="4"/>
        <v>853.21123200000011</v>
      </c>
      <c r="J16" s="409">
        <f t="shared" si="5"/>
        <v>870.27545664000013</v>
      </c>
      <c r="K16" s="409">
        <f t="shared" si="6"/>
        <v>887.68096577280016</v>
      </c>
    </row>
    <row r="17" spans="1:11">
      <c r="A17" s="351" t="s">
        <v>198</v>
      </c>
      <c r="B17" s="37">
        <v>0.23</v>
      </c>
      <c r="C17" s="407">
        <f t="shared" si="0"/>
        <v>1</v>
      </c>
      <c r="D17" s="37"/>
      <c r="E17" s="408"/>
      <c r="F17" s="409">
        <f t="shared" si="1"/>
        <v>0</v>
      </c>
      <c r="G17" s="409">
        <f t="shared" si="2"/>
        <v>0</v>
      </c>
      <c r="H17" s="409">
        <f t="shared" si="3"/>
        <v>0</v>
      </c>
      <c r="I17" s="409">
        <f>+H17*(1+$I$9)</f>
        <v>0</v>
      </c>
      <c r="J17" s="409">
        <f>+I17*(1+$J$9)</f>
        <v>0</v>
      </c>
      <c r="K17" s="409">
        <f>+J17*(1+$K$9)</f>
        <v>0</v>
      </c>
    </row>
    <row r="18" spans="1:11">
      <c r="A18" s="351" t="s">
        <v>46</v>
      </c>
      <c r="B18" s="37">
        <v>0.23</v>
      </c>
      <c r="C18" s="407">
        <f t="shared" si="0"/>
        <v>1</v>
      </c>
      <c r="D18" s="37"/>
      <c r="E18" s="408">
        <v>400</v>
      </c>
      <c r="F18" s="409">
        <f t="shared" si="1"/>
        <v>4800</v>
      </c>
      <c r="G18" s="409">
        <f t="shared" si="2"/>
        <v>4896</v>
      </c>
      <c r="H18" s="409">
        <f t="shared" si="3"/>
        <v>4993.92</v>
      </c>
      <c r="I18" s="409">
        <f>+H18*(1+$I$9)</f>
        <v>5093.7984000000006</v>
      </c>
      <c r="J18" s="409">
        <f>+I18*(1+$J$9)</f>
        <v>5195.6743680000009</v>
      </c>
      <c r="K18" s="409">
        <f>+J18*(1+$K$9)</f>
        <v>5299.5878553600014</v>
      </c>
    </row>
    <row r="19" spans="1:11">
      <c r="A19" s="351" t="s">
        <v>32</v>
      </c>
      <c r="B19" s="37">
        <v>0.23</v>
      </c>
      <c r="C19" s="407">
        <f t="shared" si="0"/>
        <v>1</v>
      </c>
      <c r="D19" s="37"/>
      <c r="E19" s="408"/>
      <c r="F19" s="409">
        <f t="shared" si="1"/>
        <v>0</v>
      </c>
      <c r="G19" s="409">
        <f t="shared" si="2"/>
        <v>0</v>
      </c>
      <c r="H19" s="409">
        <f t="shared" si="3"/>
        <v>0</v>
      </c>
      <c r="I19" s="409">
        <f>+H19*(1+$I$9)</f>
        <v>0</v>
      </c>
      <c r="J19" s="409">
        <f>+I19*(1+$J$9)</f>
        <v>0</v>
      </c>
      <c r="K19" s="409">
        <f>+J19*(1+$K$9)</f>
        <v>0</v>
      </c>
    </row>
    <row r="20" spans="1:11">
      <c r="A20" s="351" t="s">
        <v>43</v>
      </c>
      <c r="B20" s="37">
        <v>0.23</v>
      </c>
      <c r="C20" s="407">
        <f t="shared" si="0"/>
        <v>1</v>
      </c>
      <c r="D20" s="37"/>
      <c r="E20" s="408">
        <v>76</v>
      </c>
      <c r="F20" s="409">
        <f t="shared" si="1"/>
        <v>912</v>
      </c>
      <c r="G20" s="409">
        <f t="shared" si="2"/>
        <v>930.24</v>
      </c>
      <c r="H20" s="409">
        <f t="shared" si="3"/>
        <v>948.84480000000008</v>
      </c>
      <c r="I20" s="409">
        <f>+H20*(1+$I$9)</f>
        <v>967.82169600000009</v>
      </c>
      <c r="J20" s="409">
        <f>+I20*(1+$J$9)</f>
        <v>987.17812992000006</v>
      </c>
      <c r="K20" s="409">
        <f>+J20*(1+$K$9)</f>
        <v>1006.9216925184001</v>
      </c>
    </row>
    <row r="21" spans="1:11">
      <c r="A21" s="127" t="s">
        <v>340</v>
      </c>
      <c r="B21" s="125"/>
      <c r="C21" s="407"/>
      <c r="D21" s="125"/>
      <c r="E21" s="410"/>
      <c r="F21" s="410"/>
      <c r="G21" s="410"/>
      <c r="H21" s="410"/>
      <c r="I21" s="410"/>
      <c r="J21" s="410"/>
      <c r="K21" s="410"/>
    </row>
    <row r="22" spans="1:11">
      <c r="A22" s="351" t="s">
        <v>341</v>
      </c>
      <c r="B22" s="37">
        <v>0.23</v>
      </c>
      <c r="C22" s="407">
        <f t="shared" si="0"/>
        <v>0</v>
      </c>
      <c r="D22" s="37">
        <v>1</v>
      </c>
      <c r="E22" s="408">
        <v>8.3000000000000007</v>
      </c>
      <c r="F22" s="409">
        <f t="shared" si="1"/>
        <v>99.600000000000009</v>
      </c>
      <c r="G22" s="409">
        <f t="shared" si="2"/>
        <v>101.59200000000001</v>
      </c>
      <c r="H22" s="409">
        <f>+G22*(1+$H$9)</f>
        <v>103.62384000000002</v>
      </c>
      <c r="I22" s="409">
        <f t="shared" si="4"/>
        <v>105.69631680000002</v>
      </c>
      <c r="J22" s="409">
        <f t="shared" si="5"/>
        <v>107.81024313600003</v>
      </c>
      <c r="K22" s="409">
        <f t="shared" si="6"/>
        <v>109.96644799872003</v>
      </c>
    </row>
    <row r="23" spans="1:11">
      <c r="A23" s="351" t="s">
        <v>342</v>
      </c>
      <c r="B23" s="37">
        <v>0.23</v>
      </c>
      <c r="C23" s="407">
        <f t="shared" si="0"/>
        <v>1</v>
      </c>
      <c r="D23" s="37"/>
      <c r="E23" s="408">
        <v>7.5</v>
      </c>
      <c r="F23" s="409">
        <f t="shared" si="1"/>
        <v>90</v>
      </c>
      <c r="G23" s="409">
        <f t="shared" si="2"/>
        <v>91.8</v>
      </c>
      <c r="H23" s="409">
        <f>+G23*(1+$H$9)</f>
        <v>93.635999999999996</v>
      </c>
      <c r="I23" s="409">
        <f t="shared" si="4"/>
        <v>95.508719999999997</v>
      </c>
      <c r="J23" s="409">
        <f t="shared" si="5"/>
        <v>97.418894399999999</v>
      </c>
      <c r="K23" s="409">
        <f t="shared" si="6"/>
        <v>99.367272287999995</v>
      </c>
    </row>
    <row r="24" spans="1:11">
      <c r="A24" s="351" t="s">
        <v>197</v>
      </c>
      <c r="B24" s="37">
        <v>0.23</v>
      </c>
      <c r="C24" s="407">
        <f>100%-D24</f>
        <v>0.19999999999999996</v>
      </c>
      <c r="D24" s="37">
        <v>0.8</v>
      </c>
      <c r="E24" s="408">
        <v>34</v>
      </c>
      <c r="F24" s="409">
        <f t="shared" si="1"/>
        <v>408</v>
      </c>
      <c r="G24" s="409">
        <f t="shared" si="2"/>
        <v>416.16</v>
      </c>
      <c r="H24" s="409">
        <f>+G24*(1+$H$9)</f>
        <v>424.48320000000001</v>
      </c>
      <c r="I24" s="409">
        <f t="shared" si="4"/>
        <v>432.97286400000002</v>
      </c>
      <c r="J24" s="409">
        <f t="shared" si="5"/>
        <v>441.63232128000004</v>
      </c>
      <c r="K24" s="409">
        <f t="shared" si="6"/>
        <v>450.46496770560003</v>
      </c>
    </row>
    <row r="25" spans="1:11">
      <c r="A25" s="351" t="s">
        <v>36</v>
      </c>
      <c r="B25" s="37">
        <v>0.23</v>
      </c>
      <c r="C25" s="407">
        <f>100%-D25</f>
        <v>1</v>
      </c>
      <c r="D25" s="37"/>
      <c r="E25" s="408"/>
      <c r="F25" s="409">
        <f t="shared" si="1"/>
        <v>0</v>
      </c>
      <c r="G25" s="409">
        <f t="shared" si="2"/>
        <v>0</v>
      </c>
      <c r="H25" s="409">
        <f>+G25*(1+$H$9)</f>
        <v>0</v>
      </c>
      <c r="I25" s="409">
        <f t="shared" si="4"/>
        <v>0</v>
      </c>
      <c r="J25" s="409">
        <f t="shared" si="5"/>
        <v>0</v>
      </c>
      <c r="K25" s="409">
        <f t="shared" si="6"/>
        <v>0</v>
      </c>
    </row>
    <row r="26" spans="1:11">
      <c r="A26" s="127" t="s">
        <v>343</v>
      </c>
      <c r="B26" s="125"/>
      <c r="C26" s="407"/>
      <c r="D26" s="125"/>
      <c r="E26" s="410"/>
      <c r="F26" s="410"/>
      <c r="G26" s="410"/>
      <c r="H26" s="410"/>
      <c r="I26" s="410"/>
      <c r="J26" s="410"/>
      <c r="K26" s="410"/>
    </row>
    <row r="27" spans="1:11">
      <c r="A27" s="351" t="s">
        <v>35</v>
      </c>
      <c r="B27" s="37">
        <v>0.06</v>
      </c>
      <c r="C27" s="407">
        <f t="shared" si="0"/>
        <v>9.9999999999999978E-2</v>
      </c>
      <c r="D27" s="37">
        <v>0.9</v>
      </c>
      <c r="E27" s="408">
        <v>276.92</v>
      </c>
      <c r="F27" s="409">
        <f t="shared" si="1"/>
        <v>3323.04</v>
      </c>
      <c r="G27" s="409">
        <f t="shared" si="2"/>
        <v>3389.5007999999998</v>
      </c>
      <c r="H27" s="409">
        <f>+G27*(1+$H$9)</f>
        <v>3457.2908159999997</v>
      </c>
      <c r="I27" s="409">
        <f t="shared" si="4"/>
        <v>3526.4366323199997</v>
      </c>
      <c r="J27" s="409">
        <f t="shared" si="5"/>
        <v>3596.9653649663996</v>
      </c>
      <c r="K27" s="409">
        <f t="shared" si="6"/>
        <v>3668.9046722657276</v>
      </c>
    </row>
    <row r="28" spans="1:11">
      <c r="A28" s="351" t="s">
        <v>344</v>
      </c>
      <c r="B28" s="37">
        <v>0.23</v>
      </c>
      <c r="C28" s="407">
        <f t="shared" si="0"/>
        <v>0</v>
      </c>
      <c r="D28" s="37">
        <v>1</v>
      </c>
      <c r="E28" s="408">
        <v>1450.84</v>
      </c>
      <c r="F28" s="409">
        <f t="shared" si="1"/>
        <v>17410.079999999998</v>
      </c>
      <c r="G28" s="409">
        <f t="shared" si="2"/>
        <v>17758.281599999998</v>
      </c>
      <c r="H28" s="409">
        <f>+G28*(1+$H$9)</f>
        <v>18113.447231999999</v>
      </c>
      <c r="I28" s="409">
        <f t="shared" si="4"/>
        <v>18475.716176639999</v>
      </c>
      <c r="J28" s="409">
        <f t="shared" si="5"/>
        <v>18845.230500172798</v>
      </c>
      <c r="K28" s="409">
        <f t="shared" si="6"/>
        <v>19222.135110176256</v>
      </c>
    </row>
    <row r="29" spans="1:11">
      <c r="A29" s="351" t="s">
        <v>345</v>
      </c>
      <c r="B29" s="37">
        <v>0.06</v>
      </c>
      <c r="C29" s="407">
        <f t="shared" si="0"/>
        <v>9.9999999999999978E-2</v>
      </c>
      <c r="D29" s="37">
        <v>0.9</v>
      </c>
      <c r="E29" s="408">
        <v>101.56</v>
      </c>
      <c r="F29" s="409">
        <f t="shared" si="1"/>
        <v>1218.72</v>
      </c>
      <c r="G29" s="409">
        <f t="shared" si="2"/>
        <v>1243.0944</v>
      </c>
      <c r="H29" s="409">
        <f>+G29*(1+$H$9)</f>
        <v>1267.9562879999999</v>
      </c>
      <c r="I29" s="409">
        <f t="shared" si="4"/>
        <v>1293.31541376</v>
      </c>
      <c r="J29" s="409">
        <f t="shared" si="5"/>
        <v>1319.1817220352</v>
      </c>
      <c r="K29" s="409">
        <f t="shared" si="6"/>
        <v>1345.5653564759041</v>
      </c>
    </row>
    <row r="30" spans="1:11">
      <c r="A30" s="127" t="s">
        <v>346</v>
      </c>
      <c r="B30" s="125"/>
      <c r="C30" s="407"/>
      <c r="D30" s="125"/>
      <c r="E30" s="410"/>
      <c r="F30" s="410"/>
      <c r="G30" s="410"/>
      <c r="H30" s="410"/>
      <c r="I30" s="410"/>
      <c r="J30" s="410"/>
      <c r="K30" s="410"/>
    </row>
    <row r="31" spans="1:11">
      <c r="A31" s="351" t="s">
        <v>347</v>
      </c>
      <c r="B31" s="37">
        <v>0.23</v>
      </c>
      <c r="C31" s="407">
        <f t="shared" si="0"/>
        <v>1</v>
      </c>
      <c r="D31" s="37"/>
      <c r="E31" s="408"/>
      <c r="F31" s="409">
        <f t="shared" si="1"/>
        <v>0</v>
      </c>
      <c r="G31" s="409">
        <f t="shared" si="2"/>
        <v>0</v>
      </c>
      <c r="H31" s="409">
        <f>+G31*(1+$H$9)</f>
        <v>0</v>
      </c>
      <c r="I31" s="409">
        <f t="shared" si="4"/>
        <v>0</v>
      </c>
      <c r="J31" s="409">
        <f t="shared" si="5"/>
        <v>0</v>
      </c>
      <c r="K31" s="409">
        <f t="shared" si="6"/>
        <v>0</v>
      </c>
    </row>
    <row r="32" spans="1:11">
      <c r="A32" s="351" t="s">
        <v>348</v>
      </c>
      <c r="B32" s="37">
        <v>0.23</v>
      </c>
      <c r="C32" s="407">
        <f t="shared" si="0"/>
        <v>1</v>
      </c>
      <c r="D32" s="37"/>
      <c r="E32" s="408"/>
      <c r="F32" s="409">
        <f t="shared" si="1"/>
        <v>0</v>
      </c>
      <c r="G32" s="409">
        <f t="shared" si="2"/>
        <v>0</v>
      </c>
      <c r="H32" s="409">
        <f>+G32*(1+$H$9)</f>
        <v>0</v>
      </c>
      <c r="I32" s="409">
        <f t="shared" si="4"/>
        <v>0</v>
      </c>
      <c r="J32" s="409">
        <f t="shared" si="5"/>
        <v>0</v>
      </c>
      <c r="K32" s="409">
        <f t="shared" si="6"/>
        <v>0</v>
      </c>
    </row>
    <row r="33" spans="1:11">
      <c r="A33" s="351" t="s">
        <v>41</v>
      </c>
      <c r="B33" s="37">
        <v>0.23</v>
      </c>
      <c r="C33" s="407">
        <f t="shared" si="0"/>
        <v>1</v>
      </c>
      <c r="D33" s="37"/>
      <c r="E33" s="408"/>
      <c r="F33" s="409">
        <f t="shared" si="1"/>
        <v>0</v>
      </c>
      <c r="G33" s="409">
        <f t="shared" si="2"/>
        <v>0</v>
      </c>
      <c r="H33" s="409">
        <f>+G33*(1+$H$9)</f>
        <v>0</v>
      </c>
      <c r="I33" s="409">
        <f t="shared" si="4"/>
        <v>0</v>
      </c>
      <c r="J33" s="409">
        <f t="shared" si="5"/>
        <v>0</v>
      </c>
      <c r="K33" s="409">
        <f t="shared" si="6"/>
        <v>0</v>
      </c>
    </row>
    <row r="34" spans="1:11">
      <c r="A34" s="352" t="s">
        <v>349</v>
      </c>
      <c r="B34" s="125"/>
      <c r="C34" s="407"/>
      <c r="D34" s="125"/>
      <c r="E34" s="410"/>
      <c r="F34" s="410"/>
      <c r="G34" s="410"/>
      <c r="H34" s="410"/>
      <c r="I34" s="410"/>
      <c r="J34" s="410"/>
      <c r="K34" s="410"/>
    </row>
    <row r="35" spans="1:11">
      <c r="A35" s="351" t="s">
        <v>37</v>
      </c>
      <c r="B35" s="37">
        <v>0.23</v>
      </c>
      <c r="C35" s="407">
        <f t="shared" si="0"/>
        <v>1</v>
      </c>
      <c r="D35" s="37"/>
      <c r="E35" s="408">
        <v>6350</v>
      </c>
      <c r="F35" s="409">
        <f t="shared" si="1"/>
        <v>76200</v>
      </c>
      <c r="G35" s="409">
        <f t="shared" si="2"/>
        <v>77724</v>
      </c>
      <c r="H35" s="409">
        <f t="shared" ref="H35:H42" si="7">+G35*(1+$H$9)</f>
        <v>79278.48</v>
      </c>
      <c r="I35" s="409">
        <f t="shared" si="4"/>
        <v>80864.049599999998</v>
      </c>
      <c r="J35" s="409">
        <f t="shared" si="5"/>
        <v>82481.330591999998</v>
      </c>
      <c r="K35" s="409">
        <f t="shared" si="6"/>
        <v>84130.957203839993</v>
      </c>
    </row>
    <row r="36" spans="1:11">
      <c r="A36" s="351" t="s">
        <v>39</v>
      </c>
      <c r="B36" s="37">
        <v>0.23</v>
      </c>
      <c r="C36" s="407">
        <f t="shared" si="0"/>
        <v>9.9999999999999978E-2</v>
      </c>
      <c r="D36" s="37">
        <v>0.9</v>
      </c>
      <c r="E36" s="408">
        <v>86.77</v>
      </c>
      <c r="F36" s="409">
        <f t="shared" si="1"/>
        <v>1041.24</v>
      </c>
      <c r="G36" s="409">
        <f t="shared" si="2"/>
        <v>1062.0648000000001</v>
      </c>
      <c r="H36" s="409">
        <f t="shared" si="7"/>
        <v>1083.306096</v>
      </c>
      <c r="I36" s="409">
        <f t="shared" si="4"/>
        <v>1104.97221792</v>
      </c>
      <c r="J36" s="409">
        <f t="shared" si="5"/>
        <v>1127.0716622784</v>
      </c>
      <c r="K36" s="409">
        <f t="shared" si="6"/>
        <v>1149.613095523968</v>
      </c>
    </row>
    <row r="37" spans="1:11">
      <c r="A37" s="351" t="s">
        <v>40</v>
      </c>
      <c r="B37" s="37">
        <v>0</v>
      </c>
      <c r="C37" s="407">
        <f t="shared" si="0"/>
        <v>1</v>
      </c>
      <c r="D37" s="37"/>
      <c r="E37" s="408">
        <v>71.5</v>
      </c>
      <c r="F37" s="409">
        <f t="shared" si="1"/>
        <v>858</v>
      </c>
      <c r="G37" s="409">
        <f t="shared" si="2"/>
        <v>875.16</v>
      </c>
      <c r="H37" s="409">
        <f t="shared" si="7"/>
        <v>892.66319999999996</v>
      </c>
      <c r="I37" s="409">
        <f t="shared" si="4"/>
        <v>910.51646399999993</v>
      </c>
      <c r="J37" s="409">
        <f t="shared" si="5"/>
        <v>928.72679327999992</v>
      </c>
      <c r="K37" s="409">
        <f t="shared" si="6"/>
        <v>947.30132914559999</v>
      </c>
    </row>
    <row r="38" spans="1:11">
      <c r="A38" s="351" t="s">
        <v>31</v>
      </c>
      <c r="B38" s="37">
        <v>0.23</v>
      </c>
      <c r="C38" s="407">
        <f t="shared" si="0"/>
        <v>1</v>
      </c>
      <c r="D38" s="37"/>
      <c r="E38" s="408"/>
      <c r="F38" s="409">
        <f t="shared" si="1"/>
        <v>0</v>
      </c>
      <c r="G38" s="409">
        <f t="shared" si="2"/>
        <v>0</v>
      </c>
      <c r="H38" s="409">
        <f t="shared" si="7"/>
        <v>0</v>
      </c>
      <c r="I38" s="409">
        <f t="shared" si="4"/>
        <v>0</v>
      </c>
      <c r="J38" s="409">
        <f t="shared" si="5"/>
        <v>0</v>
      </c>
      <c r="K38" s="409">
        <f t="shared" si="6"/>
        <v>0</v>
      </c>
    </row>
    <row r="39" spans="1:11">
      <c r="A39" s="351" t="s">
        <v>42</v>
      </c>
      <c r="B39" s="37">
        <v>0.23</v>
      </c>
      <c r="C39" s="407">
        <f t="shared" si="0"/>
        <v>0</v>
      </c>
      <c r="D39" s="37">
        <v>1</v>
      </c>
      <c r="E39" s="408">
        <v>85</v>
      </c>
      <c r="F39" s="409">
        <f t="shared" si="1"/>
        <v>1020</v>
      </c>
      <c r="G39" s="409">
        <f t="shared" si="2"/>
        <v>1040.4000000000001</v>
      </c>
      <c r="H39" s="409">
        <f t="shared" si="7"/>
        <v>1061.2080000000001</v>
      </c>
      <c r="I39" s="409">
        <f t="shared" si="4"/>
        <v>1082.4321600000001</v>
      </c>
      <c r="J39" s="409">
        <f t="shared" si="5"/>
        <v>1104.0808032</v>
      </c>
      <c r="K39" s="409">
        <f t="shared" si="6"/>
        <v>1126.1624192639999</v>
      </c>
    </row>
    <row r="40" spans="1:11">
      <c r="A40" s="351" t="s">
        <v>38</v>
      </c>
      <c r="B40" s="37">
        <v>0.23</v>
      </c>
      <c r="C40" s="407">
        <f t="shared" si="0"/>
        <v>1</v>
      </c>
      <c r="D40" s="37"/>
      <c r="E40" s="408"/>
      <c r="F40" s="409">
        <f t="shared" si="1"/>
        <v>0</v>
      </c>
      <c r="G40" s="409">
        <f t="shared" si="2"/>
        <v>0</v>
      </c>
      <c r="H40" s="409">
        <f t="shared" si="7"/>
        <v>0</v>
      </c>
      <c r="I40" s="409">
        <f t="shared" si="4"/>
        <v>0</v>
      </c>
      <c r="J40" s="409">
        <f t="shared" si="5"/>
        <v>0</v>
      </c>
      <c r="K40" s="409">
        <f t="shared" si="6"/>
        <v>0</v>
      </c>
    </row>
    <row r="41" spans="1:11">
      <c r="A41" s="351" t="s">
        <v>45</v>
      </c>
      <c r="B41" s="37">
        <v>0.23</v>
      </c>
      <c r="C41" s="407">
        <f t="shared" si="0"/>
        <v>0</v>
      </c>
      <c r="D41" s="37">
        <v>1</v>
      </c>
      <c r="E41" s="408">
        <v>67</v>
      </c>
      <c r="F41" s="409">
        <f t="shared" si="1"/>
        <v>804</v>
      </c>
      <c r="G41" s="409">
        <f t="shared" si="2"/>
        <v>820.08</v>
      </c>
      <c r="H41" s="409">
        <f t="shared" si="7"/>
        <v>836.48160000000007</v>
      </c>
      <c r="I41" s="409">
        <f t="shared" si="4"/>
        <v>853.21123200000011</v>
      </c>
      <c r="J41" s="409">
        <f t="shared" si="5"/>
        <v>870.27545664000013</v>
      </c>
      <c r="K41" s="409">
        <f t="shared" si="6"/>
        <v>887.68096577280016</v>
      </c>
    </row>
    <row r="42" spans="1:11">
      <c r="A42" s="127" t="s">
        <v>350</v>
      </c>
      <c r="B42" s="37">
        <v>0.23</v>
      </c>
      <c r="C42" s="407">
        <f t="shared" si="0"/>
        <v>1</v>
      </c>
      <c r="D42" s="37"/>
      <c r="E42" s="408"/>
      <c r="F42" s="409">
        <f t="shared" si="1"/>
        <v>0</v>
      </c>
      <c r="G42" s="409">
        <f t="shared" si="2"/>
        <v>0</v>
      </c>
      <c r="H42" s="409">
        <f t="shared" si="7"/>
        <v>0</v>
      </c>
      <c r="I42" s="409">
        <f t="shared" si="4"/>
        <v>0</v>
      </c>
      <c r="J42" s="409">
        <f t="shared" si="5"/>
        <v>0</v>
      </c>
      <c r="K42" s="409">
        <f t="shared" si="6"/>
        <v>0</v>
      </c>
    </row>
    <row r="43" spans="1:11" ht="15" customHeight="1" thickBot="1">
      <c r="A43" s="471" t="s">
        <v>21</v>
      </c>
      <c r="B43" s="472"/>
      <c r="C43" s="472"/>
      <c r="D43" s="472"/>
      <c r="E43" s="473"/>
      <c r="F43" s="411">
        <f t="shared" ref="F43:K43" si="8">SUM(F13:F42)</f>
        <v>110188.68000000001</v>
      </c>
      <c r="G43" s="411">
        <f t="shared" si="8"/>
        <v>112392.45359999999</v>
      </c>
      <c r="H43" s="411">
        <f t="shared" si="8"/>
        <v>114640.30267199999</v>
      </c>
      <c r="I43" s="411">
        <f t="shared" si="8"/>
        <v>116933.10872544</v>
      </c>
      <c r="J43" s="411">
        <f t="shared" si="8"/>
        <v>119271.77089994879</v>
      </c>
      <c r="K43" s="411">
        <f t="shared" si="8"/>
        <v>121657.20631794777</v>
      </c>
    </row>
    <row r="44" spans="1:11" ht="13.5" thickTop="1">
      <c r="A44" s="83"/>
      <c r="B44" s="83"/>
      <c r="C44" s="83"/>
      <c r="D44" s="83"/>
      <c r="E44" s="83"/>
      <c r="F44" s="412"/>
      <c r="G44" s="412"/>
      <c r="H44" s="412"/>
      <c r="I44" s="412"/>
      <c r="J44" s="412"/>
      <c r="K44" s="412"/>
    </row>
    <row r="45" spans="1:11" ht="14.25" customHeight="1" thickBot="1">
      <c r="A45" s="468" t="s">
        <v>411</v>
      </c>
      <c r="B45" s="469"/>
      <c r="C45" s="469"/>
      <c r="D45" s="469"/>
      <c r="E45" s="404"/>
      <c r="F45" s="413">
        <f t="shared" ref="F45:K45" si="9">(F13*$C$13)+(F15*$C$15)+(F16*$C$16)+(F17*$C$17)+(F18*$C$18)+(F19*$C$19)+(F20*$C$20)+(F22*$C$22)+(F23*$C$23)+(F24*$C$24)+(F25*$C$25)+(F27*$C$27)+(F28*$C$28)+(F29*$C$29)+(F31*$C$31)+(F32*$C$32)+(F33*$C$33)+(F35*$C$35)+(F36*$C$36)+(F37*$C$37)+(F38*$C$38)+(F39*$C$39)+(F40*$C$40)+(F41*$C$41)+(F42*$C$42)</f>
        <v>84699.9</v>
      </c>
      <c r="G45" s="413">
        <f t="shared" si="9"/>
        <v>86393.898000000001</v>
      </c>
      <c r="H45" s="413">
        <f t="shared" si="9"/>
        <v>88121.775959999984</v>
      </c>
      <c r="I45" s="413">
        <f t="shared" si="9"/>
        <v>89884.211479200007</v>
      </c>
      <c r="J45" s="413">
        <f t="shared" si="9"/>
        <v>91681.89570878401</v>
      </c>
      <c r="K45" s="413">
        <f t="shared" si="9"/>
        <v>93515.533622959672</v>
      </c>
    </row>
    <row r="46" spans="1:11" ht="13.5" thickTop="1">
      <c r="A46" s="405"/>
      <c r="B46" s="405"/>
      <c r="C46" s="405"/>
      <c r="D46" s="405"/>
      <c r="E46" s="405"/>
      <c r="F46" s="412"/>
      <c r="G46" s="412"/>
      <c r="H46" s="412"/>
      <c r="I46" s="412"/>
      <c r="J46" s="412"/>
      <c r="K46" s="412"/>
    </row>
    <row r="47" spans="1:11" ht="13.5" thickBot="1">
      <c r="A47" s="468" t="s">
        <v>412</v>
      </c>
      <c r="B47" s="469"/>
      <c r="C47" s="469"/>
      <c r="D47" s="469"/>
      <c r="E47" s="404"/>
      <c r="F47" s="413">
        <f t="shared" ref="F47:K47" si="10">(F13*$D$13)+(F15*$D$15)+(F16*$D$16)+(F17*$D$17)+(F18*$D$18)+(F19*$D$19)+(F20*$D$20)+(F22*$D$22)+(F23*$D$23)+(F24*$D$24)+(F25*$D$25)+(F27*$D$27)+(F28*$D$28)+(F29*$D$29)+(F31*$D$31)+(F32*$D$32)+(F33*$D$33)+(F35*$D$35)+(F36*$D$36)+(F37*$D$37)+(F38*$D$38)+(F39*$D$39)+(F40*$D$40)+(F41*$D$41)+(F42*$D$42)</f>
        <v>25488.78</v>
      </c>
      <c r="G47" s="413">
        <f t="shared" si="10"/>
        <v>25998.555600000003</v>
      </c>
      <c r="H47" s="413">
        <f t="shared" si="10"/>
        <v>26518.526711999995</v>
      </c>
      <c r="I47" s="413">
        <f t="shared" si="10"/>
        <v>27048.897246239998</v>
      </c>
      <c r="J47" s="413">
        <f t="shared" si="10"/>
        <v>27589.875191164796</v>
      </c>
      <c r="K47" s="413">
        <f t="shared" si="10"/>
        <v>28141.672694988098</v>
      </c>
    </row>
    <row r="48" spans="1:11" ht="13.5" thickTop="1">
      <c r="A48" s="405"/>
      <c r="B48" s="405"/>
      <c r="C48" s="405"/>
      <c r="D48" s="405"/>
      <c r="E48" s="405"/>
      <c r="F48" s="412"/>
      <c r="G48" s="412"/>
      <c r="H48" s="412"/>
      <c r="I48" s="412"/>
      <c r="J48" s="412"/>
      <c r="K48" s="412"/>
    </row>
    <row r="49" spans="1:11" ht="13.5" thickBot="1">
      <c r="A49" s="468" t="s">
        <v>413</v>
      </c>
      <c r="B49" s="469"/>
      <c r="C49" s="469"/>
      <c r="D49" s="469"/>
      <c r="E49" s="404"/>
      <c r="F49" s="413">
        <f t="shared" ref="F49:K49" si="11">F45+F47</f>
        <v>110188.68</v>
      </c>
      <c r="G49" s="413">
        <f t="shared" si="11"/>
        <v>112392.45360000001</v>
      </c>
      <c r="H49" s="413">
        <f t="shared" si="11"/>
        <v>114640.30267199998</v>
      </c>
      <c r="I49" s="413">
        <f t="shared" si="11"/>
        <v>116933.10872544</v>
      </c>
      <c r="J49" s="413">
        <f t="shared" si="11"/>
        <v>119271.77089994881</v>
      </c>
      <c r="K49" s="413">
        <f t="shared" si="11"/>
        <v>121657.20631794777</v>
      </c>
    </row>
    <row r="50" spans="1:11" ht="13.5" thickTop="1">
      <c r="A50" s="405"/>
      <c r="B50" s="405"/>
      <c r="C50" s="405"/>
      <c r="D50" s="405"/>
      <c r="E50" s="405"/>
      <c r="F50" s="412"/>
      <c r="G50" s="412"/>
      <c r="H50" s="412"/>
      <c r="I50" s="412"/>
      <c r="J50" s="412"/>
      <c r="K50" s="412"/>
    </row>
    <row r="51" spans="1:11" ht="13.5" thickBot="1">
      <c r="A51" s="474" t="s">
        <v>64</v>
      </c>
      <c r="B51" s="474"/>
      <c r="C51" s="474"/>
      <c r="D51" s="474"/>
      <c r="E51" s="474"/>
      <c r="F51" s="414">
        <f t="shared" ref="F51:K51" si="12">(F13*$B$13)+(F15*$B$15)+(F16*$B$16)+(F17*$B$17)+(F18*$B$18)+(F19*$B$19)+(F20*$B$20)+(F22*$B$22)+(F23*$B$23)+(F24*$B$24)+(F25*$B$25)+(F27*$B$27)+(F29*$B$29)+(F36*$B$36)+(F41*$B$41)</f>
        <v>2609.0388000000003</v>
      </c>
      <c r="G51" s="414">
        <f t="shared" si="12"/>
        <v>2661.219576</v>
      </c>
      <c r="H51" s="414">
        <f t="shared" si="12"/>
        <v>2714.4439675200001</v>
      </c>
      <c r="I51" s="414">
        <f t="shared" si="12"/>
        <v>2768.7328468704004</v>
      </c>
      <c r="J51" s="414">
        <f t="shared" si="12"/>
        <v>2824.1075038078084</v>
      </c>
      <c r="K51" s="414">
        <f t="shared" si="12"/>
        <v>2880.5896538839652</v>
      </c>
    </row>
    <row r="52" spans="1:11" ht="13.5" thickTop="1">
      <c r="A52" s="405"/>
      <c r="B52" s="405"/>
      <c r="C52" s="405"/>
      <c r="D52" s="405"/>
      <c r="E52" s="405"/>
      <c r="F52" s="412"/>
      <c r="G52" s="412"/>
      <c r="H52" s="412"/>
      <c r="I52" s="412"/>
      <c r="J52" s="412"/>
      <c r="K52" s="412"/>
    </row>
    <row r="53" spans="1:11" ht="13.5" thickBot="1">
      <c r="A53" s="470" t="s">
        <v>62</v>
      </c>
      <c r="B53" s="470"/>
      <c r="C53" s="470"/>
      <c r="D53" s="470"/>
      <c r="E53" s="470"/>
      <c r="F53" s="415">
        <f t="shared" ref="F53:K53" si="13">F43+F51</f>
        <v>112797.7188</v>
      </c>
      <c r="G53" s="415">
        <f t="shared" si="13"/>
        <v>115053.673176</v>
      </c>
      <c r="H53" s="415">
        <f t="shared" si="13"/>
        <v>117354.74663951999</v>
      </c>
      <c r="I53" s="415">
        <f t="shared" si="13"/>
        <v>119701.84157231041</v>
      </c>
      <c r="J53" s="415">
        <f t="shared" si="13"/>
        <v>122095.87840375661</v>
      </c>
      <c r="K53" s="415">
        <f t="shared" si="13"/>
        <v>124537.79597183173</v>
      </c>
    </row>
    <row r="54" spans="1:11" ht="13.5" thickTop="1"/>
  </sheetData>
  <sheetProtection password="8318" sheet="1" objects="1" scenarios="1"/>
  <mergeCells count="7">
    <mergeCell ref="A49:D49"/>
    <mergeCell ref="A53:E53"/>
    <mergeCell ref="A4:K4"/>
    <mergeCell ref="A43:E43"/>
    <mergeCell ref="A51:E51"/>
    <mergeCell ref="A45:D45"/>
    <mergeCell ref="A47:D47"/>
  </mergeCells>
  <phoneticPr fontId="2" type="noConversion"/>
  <printOptions horizontalCentered="1"/>
  <pageMargins left="0.75" right="0.75" top="0.39370078740157483" bottom="0.39370078740157483" header="0.51181102362204722" footer="0.51181102362204722"/>
  <pageSetup paperSize="9" scale="80" orientation="portrait" r:id="rId1"/>
  <headerFooter alignWithMargins="0">
    <oddFooter>&amp;C&amp;"Arial,Normal"&amp;8IAPMEI&amp;R&amp;"Arial,Normal"&amp;8&amp;P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/>
  <dimension ref="A1:I90"/>
  <sheetViews>
    <sheetView showGridLines="0" showZeros="0" topLeftCell="A62" workbookViewId="0">
      <selection activeCell="G91" sqref="G91"/>
    </sheetView>
  </sheetViews>
  <sheetFormatPr defaultColWidth="8.7109375" defaultRowHeight="12.75"/>
  <cols>
    <col min="1" max="1" width="25.28515625" style="93" customWidth="1"/>
    <col min="2" max="2" width="5.28515625" style="93" customWidth="1"/>
    <col min="3" max="3" width="12.5703125" style="93" customWidth="1"/>
    <col min="4" max="13" width="11.42578125" style="93" customWidth="1"/>
    <col min="14" max="37" width="11.7109375" style="93" customWidth="1"/>
    <col min="38" max="16384" width="8.7109375" style="93"/>
  </cols>
  <sheetData>
    <row r="1" spans="1:9" ht="13.5">
      <c r="A1" s="83"/>
      <c r="B1" s="83"/>
      <c r="C1" s="73"/>
      <c r="D1" s="73"/>
      <c r="E1" s="73"/>
      <c r="F1" s="73"/>
      <c r="G1" s="73"/>
      <c r="H1" s="118" t="str">
        <f>+VN!G1</f>
        <v>Empresa:</v>
      </c>
      <c r="I1" s="75" t="str">
        <f>+Pressupostos!E1</f>
        <v>ALI,Conserva&amp;Limpa, Lda</v>
      </c>
    </row>
    <row r="2" spans="1:9">
      <c r="A2" s="129"/>
      <c r="B2" s="129"/>
      <c r="C2" s="73"/>
      <c r="D2" s="73"/>
      <c r="E2" s="73"/>
      <c r="F2" s="73"/>
      <c r="G2" s="73"/>
      <c r="H2" s="73"/>
      <c r="I2" s="78" t="str">
        <f>+Pressupostos!B9</f>
        <v>Euros</v>
      </c>
    </row>
    <row r="3" spans="1:9">
      <c r="A3" s="129"/>
      <c r="B3" s="129"/>
      <c r="C3" s="73"/>
      <c r="D3" s="73"/>
      <c r="E3" s="73"/>
      <c r="F3" s="73"/>
      <c r="G3" s="73"/>
      <c r="H3" s="73"/>
      <c r="I3" s="78"/>
    </row>
    <row r="4" spans="1:9" ht="15.75">
      <c r="A4" s="462" t="s">
        <v>277</v>
      </c>
      <c r="B4" s="462"/>
      <c r="C4" s="462"/>
      <c r="D4" s="462"/>
      <c r="E4" s="462"/>
      <c r="F4" s="462"/>
      <c r="G4" s="462"/>
      <c r="H4" s="462"/>
      <c r="I4" s="462"/>
    </row>
    <row r="5" spans="1:9">
      <c r="A5" s="79"/>
      <c r="B5" s="79"/>
      <c r="C5" s="79"/>
      <c r="D5" s="79"/>
      <c r="E5" s="79"/>
      <c r="F5" s="79"/>
      <c r="G5" s="79"/>
      <c r="H5" s="79"/>
      <c r="I5" s="79"/>
    </row>
    <row r="6" spans="1:9">
      <c r="A6" s="81"/>
      <c r="B6" s="120"/>
      <c r="C6" s="120"/>
      <c r="D6" s="80">
        <f>+VN!C8</f>
        <v>2011</v>
      </c>
      <c r="E6" s="80">
        <f>+VN!D8</f>
        <v>2012</v>
      </c>
      <c r="F6" s="80">
        <f>+VN!E8</f>
        <v>2013</v>
      </c>
      <c r="G6" s="80">
        <f>+VN!F8</f>
        <v>2014</v>
      </c>
      <c r="H6" s="80">
        <f>+VN!G8</f>
        <v>2015</v>
      </c>
      <c r="I6" s="80">
        <f>+VN!H8</f>
        <v>2016</v>
      </c>
    </row>
    <row r="7" spans="1:9">
      <c r="A7" s="121" t="s">
        <v>34</v>
      </c>
      <c r="B7" s="122"/>
      <c r="C7" s="123"/>
      <c r="D7" s="54">
        <v>14</v>
      </c>
      <c r="E7" s="169">
        <v>14</v>
      </c>
      <c r="F7" s="169">
        <v>14</v>
      </c>
      <c r="G7" s="169">
        <f>+F7</f>
        <v>14</v>
      </c>
      <c r="H7" s="169">
        <f>+G7</f>
        <v>14</v>
      </c>
      <c r="I7" s="169">
        <f>+H7</f>
        <v>14</v>
      </c>
    </row>
    <row r="8" spans="1:9">
      <c r="A8" s="121" t="s">
        <v>189</v>
      </c>
      <c r="B8" s="122"/>
      <c r="C8" s="123"/>
      <c r="D8" s="125">
        <v>0</v>
      </c>
      <c r="E8" s="50">
        <v>0.02</v>
      </c>
      <c r="F8" s="50">
        <v>0.02</v>
      </c>
      <c r="G8" s="50">
        <v>2.5000000000000001E-2</v>
      </c>
      <c r="H8" s="50">
        <v>2.5000000000000001E-2</v>
      </c>
      <c r="I8" s="50">
        <v>2.5000000000000001E-2</v>
      </c>
    </row>
    <row r="9" spans="1:9">
      <c r="A9" s="130"/>
      <c r="B9" s="130"/>
      <c r="C9" s="131"/>
      <c r="D9" s="83"/>
      <c r="E9" s="83"/>
      <c r="F9" s="83"/>
      <c r="G9" s="83"/>
      <c r="H9" s="83"/>
      <c r="I9" s="83"/>
    </row>
    <row r="10" spans="1:9">
      <c r="A10" s="130"/>
      <c r="B10" s="130"/>
      <c r="C10" s="131"/>
      <c r="D10" s="83"/>
      <c r="E10" s="83"/>
      <c r="F10" s="83"/>
      <c r="G10" s="83"/>
      <c r="H10" s="83"/>
      <c r="I10" s="83"/>
    </row>
    <row r="11" spans="1:9">
      <c r="A11" s="478" t="s">
        <v>225</v>
      </c>
      <c r="B11" s="479"/>
      <c r="C11" s="480"/>
      <c r="D11" s="80">
        <f t="shared" ref="D11:I11" si="0">+D6</f>
        <v>2011</v>
      </c>
      <c r="E11" s="80">
        <f t="shared" si="0"/>
        <v>2012</v>
      </c>
      <c r="F11" s="80">
        <f t="shared" si="0"/>
        <v>2013</v>
      </c>
      <c r="G11" s="80">
        <f t="shared" si="0"/>
        <v>2014</v>
      </c>
      <c r="H11" s="80">
        <f t="shared" si="0"/>
        <v>2015</v>
      </c>
      <c r="I11" s="80">
        <f t="shared" si="0"/>
        <v>2016</v>
      </c>
    </row>
    <row r="12" spans="1:9">
      <c r="A12" s="132" t="s">
        <v>226</v>
      </c>
      <c r="B12" s="122"/>
      <c r="C12" s="123"/>
      <c r="D12" s="59">
        <v>2</v>
      </c>
      <c r="E12" s="59">
        <v>2</v>
      </c>
      <c r="F12" s="59">
        <v>2</v>
      </c>
      <c r="G12" s="59">
        <f>F12*(1+G8)</f>
        <v>2.0499999999999998</v>
      </c>
      <c r="H12" s="59">
        <f>G12*(1+H8)</f>
        <v>2.1012499999999998</v>
      </c>
      <c r="I12" s="59">
        <f>H12*(1+I8)</f>
        <v>2.1537812499999998</v>
      </c>
    </row>
    <row r="13" spans="1:9">
      <c r="A13" s="62" t="s">
        <v>227</v>
      </c>
      <c r="B13" s="133"/>
      <c r="C13" s="134"/>
      <c r="D13" s="59">
        <v>2</v>
      </c>
      <c r="E13" s="59">
        <v>2</v>
      </c>
      <c r="F13" s="59">
        <v>2</v>
      </c>
      <c r="G13" s="59">
        <v>2</v>
      </c>
      <c r="H13" s="59">
        <v>2</v>
      </c>
      <c r="I13" s="59">
        <v>2</v>
      </c>
    </row>
    <row r="14" spans="1:9">
      <c r="A14" s="62" t="s">
        <v>228</v>
      </c>
      <c r="B14" s="133"/>
      <c r="C14" s="134"/>
      <c r="D14" s="59">
        <v>2</v>
      </c>
      <c r="E14" s="59">
        <v>4</v>
      </c>
      <c r="F14" s="59">
        <v>5</v>
      </c>
      <c r="G14" s="59">
        <v>5</v>
      </c>
      <c r="H14" s="59">
        <v>5</v>
      </c>
      <c r="I14" s="59">
        <v>5</v>
      </c>
    </row>
    <row r="15" spans="1:9">
      <c r="A15" s="62" t="s">
        <v>229</v>
      </c>
      <c r="B15" s="133"/>
      <c r="C15" s="134"/>
      <c r="D15" s="59">
        <v>1</v>
      </c>
      <c r="E15" s="59">
        <v>2</v>
      </c>
      <c r="F15" s="59">
        <v>2</v>
      </c>
      <c r="G15" s="59">
        <v>3</v>
      </c>
      <c r="H15" s="59">
        <v>3</v>
      </c>
      <c r="I15" s="59">
        <v>3</v>
      </c>
    </row>
    <row r="16" spans="1:9">
      <c r="A16" s="62" t="s">
        <v>230</v>
      </c>
      <c r="B16" s="133"/>
      <c r="C16" s="134"/>
      <c r="D16" s="59">
        <v>1</v>
      </c>
      <c r="E16" s="59">
        <v>1</v>
      </c>
      <c r="F16" s="59">
        <v>1</v>
      </c>
      <c r="G16" s="59">
        <v>1</v>
      </c>
      <c r="H16" s="59">
        <v>1</v>
      </c>
      <c r="I16" s="59">
        <v>1</v>
      </c>
    </row>
    <row r="17" spans="1:9">
      <c r="A17" s="62" t="s">
        <v>231</v>
      </c>
      <c r="B17" s="133"/>
      <c r="C17" s="134"/>
      <c r="D17" s="59"/>
      <c r="E17" s="59"/>
      <c r="F17" s="59"/>
      <c r="G17" s="59"/>
      <c r="H17" s="59"/>
      <c r="I17" s="59"/>
    </row>
    <row r="18" spans="1:9">
      <c r="A18" s="62" t="s">
        <v>232</v>
      </c>
      <c r="B18" s="133"/>
      <c r="C18" s="134"/>
      <c r="D18" s="59">
        <v>2</v>
      </c>
      <c r="E18" s="59">
        <v>2</v>
      </c>
      <c r="F18" s="59">
        <v>2</v>
      </c>
      <c r="G18" s="59">
        <v>2</v>
      </c>
      <c r="H18" s="59">
        <v>2</v>
      </c>
      <c r="I18" s="59">
        <v>2</v>
      </c>
    </row>
    <row r="19" spans="1:9">
      <c r="A19" s="62" t="s">
        <v>233</v>
      </c>
      <c r="B19" s="133"/>
      <c r="C19" s="134"/>
      <c r="D19" s="59"/>
      <c r="E19" s="59"/>
      <c r="F19" s="59"/>
      <c r="G19" s="59"/>
      <c r="H19" s="59"/>
      <c r="I19" s="59"/>
    </row>
    <row r="20" spans="1:9">
      <c r="A20" s="62" t="s">
        <v>234</v>
      </c>
      <c r="B20" s="133"/>
      <c r="C20" s="134"/>
      <c r="D20" s="59">
        <v>1</v>
      </c>
      <c r="E20" s="59">
        <v>1</v>
      </c>
      <c r="F20" s="59">
        <v>1</v>
      </c>
      <c r="G20" s="59">
        <v>1</v>
      </c>
      <c r="H20" s="59">
        <v>1</v>
      </c>
      <c r="I20" s="59">
        <v>1</v>
      </c>
    </row>
    <row r="21" spans="1:9">
      <c r="A21" s="63" t="s">
        <v>418</v>
      </c>
      <c r="B21" s="135"/>
      <c r="C21" s="136"/>
      <c r="D21" s="57">
        <v>1</v>
      </c>
      <c r="E21" s="57">
        <v>1</v>
      </c>
      <c r="F21" s="57">
        <v>1</v>
      </c>
      <c r="G21" s="57">
        <v>2</v>
      </c>
      <c r="H21" s="57">
        <v>2</v>
      </c>
      <c r="I21" s="57">
        <v>2</v>
      </c>
    </row>
    <row r="22" spans="1:9">
      <c r="A22" s="63" t="s">
        <v>420</v>
      </c>
      <c r="B22" s="135"/>
      <c r="C22" s="136"/>
      <c r="D22" s="57">
        <v>1</v>
      </c>
      <c r="E22" s="57">
        <v>0</v>
      </c>
      <c r="F22" s="57">
        <v>0</v>
      </c>
      <c r="G22" s="57">
        <v>0</v>
      </c>
      <c r="H22" s="57">
        <v>0</v>
      </c>
      <c r="I22" s="57">
        <v>0</v>
      </c>
    </row>
    <row r="23" spans="1:9" ht="13.5" thickBot="1">
      <c r="A23" s="471" t="s">
        <v>48</v>
      </c>
      <c r="B23" s="472"/>
      <c r="C23" s="473"/>
      <c r="D23" s="137">
        <f t="shared" ref="D23:I23" si="1">+SUM(D12:D22)</f>
        <v>13</v>
      </c>
      <c r="E23" s="137">
        <f t="shared" si="1"/>
        <v>15</v>
      </c>
      <c r="F23" s="137">
        <f t="shared" si="1"/>
        <v>16</v>
      </c>
      <c r="G23" s="137">
        <f t="shared" si="1"/>
        <v>18.05</v>
      </c>
      <c r="H23" s="137">
        <f t="shared" si="1"/>
        <v>18.10125</v>
      </c>
      <c r="I23" s="137">
        <f t="shared" si="1"/>
        <v>18.153781250000002</v>
      </c>
    </row>
    <row r="24" spans="1:9" ht="13.5" thickTop="1">
      <c r="A24" s="130"/>
      <c r="B24" s="130"/>
      <c r="C24" s="131"/>
      <c r="D24" s="83"/>
      <c r="E24" s="83"/>
      <c r="F24" s="83"/>
      <c r="G24" s="83"/>
      <c r="H24" s="83"/>
      <c r="I24" s="83"/>
    </row>
    <row r="25" spans="1:9">
      <c r="A25" s="130"/>
      <c r="B25" s="130"/>
      <c r="C25" s="131"/>
      <c r="D25" s="83"/>
      <c r="E25" s="83"/>
      <c r="F25" s="83"/>
      <c r="G25" s="83"/>
      <c r="H25" s="83"/>
      <c r="I25" s="83"/>
    </row>
    <row r="26" spans="1:9">
      <c r="A26" s="478" t="s">
        <v>235</v>
      </c>
      <c r="B26" s="479"/>
      <c r="C26" s="480"/>
      <c r="D26" s="80">
        <f t="shared" ref="D26:I26" si="2">+D11</f>
        <v>2011</v>
      </c>
      <c r="E26" s="80">
        <f t="shared" si="2"/>
        <v>2012</v>
      </c>
      <c r="F26" s="80">
        <f t="shared" si="2"/>
        <v>2013</v>
      </c>
      <c r="G26" s="80">
        <f t="shared" si="2"/>
        <v>2014</v>
      </c>
      <c r="H26" s="80">
        <f t="shared" si="2"/>
        <v>2015</v>
      </c>
      <c r="I26" s="80">
        <f t="shared" si="2"/>
        <v>2016</v>
      </c>
    </row>
    <row r="27" spans="1:9">
      <c r="A27" s="132" t="str">
        <f>+A12</f>
        <v>Administração / Direcção</v>
      </c>
      <c r="B27" s="122"/>
      <c r="C27" s="123"/>
      <c r="D27" s="60">
        <v>1656</v>
      </c>
      <c r="E27" s="60">
        <f>+ROUND(D27*(1+$E$8),2)</f>
        <v>1689.12</v>
      </c>
      <c r="F27" s="60">
        <f>+ROUND(E27*(1+F8),2)</f>
        <v>1722.9</v>
      </c>
      <c r="G27" s="60">
        <f>+ROUND(F27*(1+G8),2)</f>
        <v>1765.97</v>
      </c>
      <c r="H27" s="60">
        <f>+ROUND(G27*(1+H8),2)</f>
        <v>1810.12</v>
      </c>
      <c r="I27" s="60">
        <f>+ROUND(H27*(1+I8),2)</f>
        <v>1855.37</v>
      </c>
    </row>
    <row r="28" spans="1:9">
      <c r="A28" s="132" t="str">
        <f t="shared" ref="A28:A37" si="3">+A13</f>
        <v>Administrativa Financeira</v>
      </c>
      <c r="B28" s="122"/>
      <c r="C28" s="123"/>
      <c r="D28" s="60">
        <v>982.67</v>
      </c>
      <c r="E28" s="60">
        <f>+ROUND(D28*(1+E8),2)</f>
        <v>1002.32</v>
      </c>
      <c r="F28" s="60">
        <f>+ROUND(E28*(1+F8),2)</f>
        <v>1022.37</v>
      </c>
      <c r="G28" s="60">
        <f>+ROUND(F28*(1+G8),2)</f>
        <v>1047.93</v>
      </c>
      <c r="H28" s="60">
        <f>+ROUND(G28*(1+H8),2)</f>
        <v>1074.1300000000001</v>
      </c>
      <c r="I28" s="60">
        <f>+ROUND(H28*(1+I8),2)</f>
        <v>1100.98</v>
      </c>
    </row>
    <row r="29" spans="1:9">
      <c r="A29" s="132" t="str">
        <f t="shared" si="3"/>
        <v>Comercial / Marketing</v>
      </c>
      <c r="B29" s="122"/>
      <c r="C29" s="123"/>
      <c r="D29" s="60">
        <v>803.47</v>
      </c>
      <c r="E29" s="60">
        <f>+ROUND(D29*(1+E8),2)</f>
        <v>819.54</v>
      </c>
      <c r="F29" s="60">
        <f>+ROUND(E29*(1+F8),2)</f>
        <v>835.93</v>
      </c>
      <c r="G29" s="60">
        <f>+ROUND(F29*(1+G8),2)</f>
        <v>856.83</v>
      </c>
      <c r="H29" s="60">
        <f>+ROUND(G29*(1+H8),2)</f>
        <v>878.25</v>
      </c>
      <c r="I29" s="60">
        <f>+ROUND(H29*(1+I8),2)</f>
        <v>900.21</v>
      </c>
    </row>
    <row r="30" spans="1:9">
      <c r="A30" s="132" t="str">
        <f t="shared" si="3"/>
        <v>Produção / Operacional</v>
      </c>
      <c r="B30" s="122"/>
      <c r="C30" s="123"/>
      <c r="D30" s="60">
        <v>515.15</v>
      </c>
      <c r="E30" s="60">
        <f>+ROUND(D30*(1+E8),2)</f>
        <v>525.45000000000005</v>
      </c>
      <c r="F30" s="60">
        <f>+ROUND(E30*(1+F8),2)</f>
        <v>535.96</v>
      </c>
      <c r="G30" s="60">
        <f>+ROUND(F30*(1+G8),2)</f>
        <v>549.36</v>
      </c>
      <c r="H30" s="60">
        <f>+ROUND(G30*(1+H8),2)</f>
        <v>563.09</v>
      </c>
      <c r="I30" s="60">
        <f>+ROUND(H30*(1+I8),2)</f>
        <v>577.16999999999996</v>
      </c>
    </row>
    <row r="31" spans="1:9">
      <c r="A31" s="132" t="str">
        <f t="shared" si="3"/>
        <v>Qualidade</v>
      </c>
      <c r="B31" s="122"/>
      <c r="C31" s="123"/>
      <c r="D31" s="60">
        <v>750.98</v>
      </c>
      <c r="E31" s="60">
        <f>+ROUND(D31*(1+E8),2)</f>
        <v>766</v>
      </c>
      <c r="F31" s="60">
        <f>+ROUND(E31*(1+F8),2)</f>
        <v>781.32</v>
      </c>
      <c r="G31" s="60">
        <f>+ROUND(F31*(1+G8),2)</f>
        <v>800.85</v>
      </c>
      <c r="H31" s="60">
        <f>+ROUND(G31*(1+H8),2)</f>
        <v>820.87</v>
      </c>
      <c r="I31" s="60">
        <f>+ROUND(H31*(1+I8),2)</f>
        <v>841.39</v>
      </c>
    </row>
    <row r="32" spans="1:9">
      <c r="A32" s="132" t="str">
        <f t="shared" si="3"/>
        <v>Manutenção</v>
      </c>
      <c r="B32" s="122"/>
      <c r="C32" s="123"/>
      <c r="D32" s="60"/>
      <c r="E32" s="60">
        <f>+ROUND(D32*(1+E8),2)</f>
        <v>0</v>
      </c>
      <c r="F32" s="60">
        <f>+ROUND(E32*(1+F8),2)</f>
        <v>0</v>
      </c>
      <c r="G32" s="60">
        <f>+ROUND(F32*(1+G8),2)</f>
        <v>0</v>
      </c>
      <c r="H32" s="60">
        <f>+ROUND(G32*(1+H8),2)</f>
        <v>0</v>
      </c>
      <c r="I32" s="60">
        <f>+ROUND(H32*(1+I8),2)</f>
        <v>0</v>
      </c>
    </row>
    <row r="33" spans="1:9">
      <c r="A33" s="132" t="str">
        <f t="shared" si="3"/>
        <v>Aprovisionamento</v>
      </c>
      <c r="B33" s="122"/>
      <c r="C33" s="123"/>
      <c r="D33" s="60">
        <v>950.54</v>
      </c>
      <c r="E33" s="60">
        <f>+ROUND(D33*(1+E8),2)</f>
        <v>969.55</v>
      </c>
      <c r="F33" s="60">
        <f>+ROUND(E33*(1+F8),2)</f>
        <v>988.94</v>
      </c>
      <c r="G33" s="60">
        <f>+ROUND(F33*(1+G8),2)</f>
        <v>1013.66</v>
      </c>
      <c r="H33" s="60">
        <f>+ROUND(G33*(1+H8),2)</f>
        <v>1039</v>
      </c>
      <c r="I33" s="60">
        <f>+ROUND(H33*(1+I8),2)</f>
        <v>1064.98</v>
      </c>
    </row>
    <row r="34" spans="1:9">
      <c r="A34" s="132" t="str">
        <f t="shared" si="3"/>
        <v>Investigação &amp; Desenvolvimento</v>
      </c>
      <c r="B34" s="122"/>
      <c r="C34" s="123"/>
      <c r="D34" s="60"/>
      <c r="E34" s="60">
        <f>+ROUND(D34*(1+E8),2)</f>
        <v>0</v>
      </c>
      <c r="F34" s="60">
        <f>+ROUND(E34*(1+F8),2)</f>
        <v>0</v>
      </c>
      <c r="G34" s="60">
        <f>+ROUND(F34*(1+G8),2)</f>
        <v>0</v>
      </c>
      <c r="H34" s="60">
        <f>+ROUND(G34*(1+H8),2)</f>
        <v>0</v>
      </c>
      <c r="I34" s="60">
        <f>+ROUND(H34*(1+I8),2)</f>
        <v>0</v>
      </c>
    </row>
    <row r="35" spans="1:9">
      <c r="A35" s="132" t="str">
        <f t="shared" si="3"/>
        <v>Outros</v>
      </c>
      <c r="B35" s="122"/>
      <c r="C35" s="123"/>
      <c r="D35" s="60">
        <v>485</v>
      </c>
      <c r="E35" s="60">
        <f>+ROUND(D35*(1+E8),2)</f>
        <v>494.7</v>
      </c>
      <c r="F35" s="60">
        <f>+ROUND(E35*(1+F8),2)</f>
        <v>504.59</v>
      </c>
      <c r="G35" s="60">
        <f>+ROUND(F35*(1+G8),2)</f>
        <v>517.20000000000005</v>
      </c>
      <c r="H35" s="60">
        <f>+ROUND(G35*(1+H8),2)</f>
        <v>530.13</v>
      </c>
      <c r="I35" s="60">
        <f>+ROUND(H35*(1+I8),2)</f>
        <v>543.38</v>
      </c>
    </row>
    <row r="36" spans="1:9">
      <c r="A36" s="132" t="str">
        <f t="shared" si="3"/>
        <v>Distribuição</v>
      </c>
      <c r="B36" s="139"/>
      <c r="C36" s="140"/>
      <c r="D36" s="61">
        <v>1000</v>
      </c>
      <c r="E36" s="60">
        <f>+ROUND(D36*(1+E8),2)</f>
        <v>1020</v>
      </c>
      <c r="F36" s="60">
        <f>+ROUND(E36*(1+F8),2)</f>
        <v>1040.4000000000001</v>
      </c>
      <c r="G36" s="60">
        <f>+ROUND(F36*(1+G8),2)</f>
        <v>1066.4100000000001</v>
      </c>
      <c r="H36" s="60">
        <f>+ROUND(G36*(1+H8),2)</f>
        <v>1093.07</v>
      </c>
      <c r="I36" s="60">
        <f>+ROUND(H36*(1+I8),2)</f>
        <v>1120.4000000000001</v>
      </c>
    </row>
    <row r="37" spans="1:9">
      <c r="A37" s="132" t="str">
        <f t="shared" si="3"/>
        <v>Informática</v>
      </c>
      <c r="B37" s="139"/>
      <c r="C37" s="140"/>
      <c r="D37" s="60">
        <v>725.75</v>
      </c>
      <c r="E37" s="60">
        <f>+ROUND(D37*(1+E8),2)</f>
        <v>740.27</v>
      </c>
      <c r="F37" s="60">
        <f>+ROUND(E37*(1+F8),2)</f>
        <v>755.08</v>
      </c>
      <c r="G37" s="60">
        <f>+ROUND(F37*(1+G8),2)</f>
        <v>773.96</v>
      </c>
      <c r="H37" s="60">
        <f>+ROUND(G37*(1+H8),2)</f>
        <v>793.31</v>
      </c>
      <c r="I37" s="60">
        <f>+ROUND(H37*(1+I8),2)</f>
        <v>813.14</v>
      </c>
    </row>
    <row r="38" spans="1:9">
      <c r="A38" s="141"/>
      <c r="B38" s="142"/>
      <c r="C38" s="143"/>
      <c r="D38" s="144"/>
      <c r="E38" s="144"/>
      <c r="F38" s="144"/>
      <c r="G38" s="144"/>
      <c r="H38" s="144"/>
      <c r="I38" s="144"/>
    </row>
    <row r="39" spans="1:9">
      <c r="A39" s="141"/>
      <c r="B39" s="142"/>
      <c r="C39" s="143"/>
      <c r="D39" s="144"/>
      <c r="E39" s="144"/>
      <c r="F39" s="144"/>
      <c r="G39" s="144"/>
      <c r="H39" s="144"/>
      <c r="I39" s="144"/>
    </row>
    <row r="40" spans="1:9">
      <c r="A40" s="478" t="s">
        <v>236</v>
      </c>
      <c r="B40" s="479"/>
      <c r="C40" s="480"/>
      <c r="D40" s="80">
        <f t="shared" ref="D40:I40" si="4">+D26</f>
        <v>2011</v>
      </c>
      <c r="E40" s="80">
        <f t="shared" si="4"/>
        <v>2012</v>
      </c>
      <c r="F40" s="80">
        <f t="shared" si="4"/>
        <v>2013</v>
      </c>
      <c r="G40" s="80">
        <f t="shared" si="4"/>
        <v>2014</v>
      </c>
      <c r="H40" s="80">
        <f t="shared" si="4"/>
        <v>2015</v>
      </c>
      <c r="I40" s="80">
        <f t="shared" si="4"/>
        <v>2016</v>
      </c>
    </row>
    <row r="41" spans="1:9">
      <c r="A41" s="132" t="str">
        <f>+A27</f>
        <v>Administração / Direcção</v>
      </c>
      <c r="B41" s="122"/>
      <c r="C41" s="123"/>
      <c r="D41" s="145">
        <f t="shared" ref="D41:I41" si="5">+D12*D27*D7</f>
        <v>46368</v>
      </c>
      <c r="E41" s="145">
        <f t="shared" si="5"/>
        <v>47295.360000000001</v>
      </c>
      <c r="F41" s="145">
        <f t="shared" si="5"/>
        <v>48241.200000000004</v>
      </c>
      <c r="G41" s="145">
        <f t="shared" si="5"/>
        <v>50683.339</v>
      </c>
      <c r="H41" s="145">
        <f t="shared" si="5"/>
        <v>53249.205099999992</v>
      </c>
      <c r="I41" s="145">
        <f t="shared" si="5"/>
        <v>55944.855649374986</v>
      </c>
    </row>
    <row r="42" spans="1:9">
      <c r="A42" s="132" t="str">
        <f t="shared" ref="A42:A51" si="6">+A28</f>
        <v>Administrativa Financeira</v>
      </c>
      <c r="B42" s="122"/>
      <c r="C42" s="123"/>
      <c r="D42" s="145">
        <f t="shared" ref="D42:I42" si="7">+D13*D28*D7</f>
        <v>27514.76</v>
      </c>
      <c r="E42" s="145">
        <f t="shared" si="7"/>
        <v>28064.960000000003</v>
      </c>
      <c r="F42" s="145">
        <f t="shared" si="7"/>
        <v>28626.36</v>
      </c>
      <c r="G42" s="145">
        <f t="shared" si="7"/>
        <v>29342.04</v>
      </c>
      <c r="H42" s="145">
        <f t="shared" si="7"/>
        <v>30075.640000000003</v>
      </c>
      <c r="I42" s="145">
        <f t="shared" si="7"/>
        <v>30827.440000000002</v>
      </c>
    </row>
    <row r="43" spans="1:9">
      <c r="A43" s="132" t="str">
        <f t="shared" si="6"/>
        <v>Comercial / Marketing</v>
      </c>
      <c r="B43" s="122"/>
      <c r="C43" s="123"/>
      <c r="D43" s="145">
        <f t="shared" ref="D43:I43" si="8">+D14*D29*D7</f>
        <v>22497.16</v>
      </c>
      <c r="E43" s="145">
        <f t="shared" si="8"/>
        <v>45894.239999999998</v>
      </c>
      <c r="F43" s="145">
        <f t="shared" si="8"/>
        <v>58515.099999999991</v>
      </c>
      <c r="G43" s="145">
        <f t="shared" si="8"/>
        <v>59978.100000000006</v>
      </c>
      <c r="H43" s="145">
        <f t="shared" si="8"/>
        <v>61477.5</v>
      </c>
      <c r="I43" s="145">
        <f t="shared" si="8"/>
        <v>63014.700000000004</v>
      </c>
    </row>
    <row r="44" spans="1:9">
      <c r="A44" s="132" t="str">
        <f t="shared" si="6"/>
        <v>Produção / Operacional</v>
      </c>
      <c r="B44" s="122"/>
      <c r="C44" s="123"/>
      <c r="D44" s="145">
        <f t="shared" ref="D44:I44" si="9">+D15*D30*D7</f>
        <v>7212.0999999999995</v>
      </c>
      <c r="E44" s="145">
        <f t="shared" si="9"/>
        <v>14712.600000000002</v>
      </c>
      <c r="F44" s="145">
        <f t="shared" si="9"/>
        <v>15006.880000000001</v>
      </c>
      <c r="G44" s="145">
        <f t="shared" si="9"/>
        <v>23073.119999999999</v>
      </c>
      <c r="H44" s="145">
        <f t="shared" si="9"/>
        <v>23649.78</v>
      </c>
      <c r="I44" s="145">
        <f t="shared" si="9"/>
        <v>24241.139999999996</v>
      </c>
    </row>
    <row r="45" spans="1:9">
      <c r="A45" s="132" t="str">
        <f t="shared" si="6"/>
        <v>Qualidade</v>
      </c>
      <c r="B45" s="122"/>
      <c r="C45" s="123"/>
      <c r="D45" s="145">
        <f t="shared" ref="D45:I45" si="10">+D16*D31*D7</f>
        <v>10513.720000000001</v>
      </c>
      <c r="E45" s="145">
        <f t="shared" si="10"/>
        <v>10724</v>
      </c>
      <c r="F45" s="145">
        <f t="shared" si="10"/>
        <v>10938.480000000001</v>
      </c>
      <c r="G45" s="145">
        <f t="shared" si="10"/>
        <v>11211.9</v>
      </c>
      <c r="H45" s="145">
        <f t="shared" si="10"/>
        <v>11492.18</v>
      </c>
      <c r="I45" s="145">
        <f t="shared" si="10"/>
        <v>11779.46</v>
      </c>
    </row>
    <row r="46" spans="1:9">
      <c r="A46" s="132" t="str">
        <f t="shared" si="6"/>
        <v>Manutenção</v>
      </c>
      <c r="B46" s="122"/>
      <c r="C46" s="123"/>
      <c r="D46" s="145">
        <f t="shared" ref="D46:I46" si="11">+D17*D32*D7</f>
        <v>0</v>
      </c>
      <c r="E46" s="145">
        <f t="shared" si="11"/>
        <v>0</v>
      </c>
      <c r="F46" s="145">
        <f t="shared" si="11"/>
        <v>0</v>
      </c>
      <c r="G46" s="145">
        <f t="shared" si="11"/>
        <v>0</v>
      </c>
      <c r="H46" s="145">
        <f t="shared" si="11"/>
        <v>0</v>
      </c>
      <c r="I46" s="145">
        <f t="shared" si="11"/>
        <v>0</v>
      </c>
    </row>
    <row r="47" spans="1:9">
      <c r="A47" s="132" t="str">
        <f t="shared" si="6"/>
        <v>Aprovisionamento</v>
      </c>
      <c r="B47" s="122"/>
      <c r="C47" s="123"/>
      <c r="D47" s="145">
        <f t="shared" ref="D47:I47" si="12">+D18*D33*D7</f>
        <v>26615.119999999999</v>
      </c>
      <c r="E47" s="145">
        <f t="shared" si="12"/>
        <v>27147.399999999998</v>
      </c>
      <c r="F47" s="145">
        <f t="shared" si="12"/>
        <v>27690.32</v>
      </c>
      <c r="G47" s="145">
        <f t="shared" si="12"/>
        <v>28382.48</v>
      </c>
      <c r="H47" s="145">
        <f t="shared" si="12"/>
        <v>29092</v>
      </c>
      <c r="I47" s="145">
        <f t="shared" si="12"/>
        <v>29819.440000000002</v>
      </c>
    </row>
    <row r="48" spans="1:9">
      <c r="A48" s="132" t="str">
        <f t="shared" si="6"/>
        <v>Investigação &amp; Desenvolvimento</v>
      </c>
      <c r="B48" s="122"/>
      <c r="C48" s="123"/>
      <c r="D48" s="145">
        <f t="shared" ref="D48:I48" si="13">+D19*D34*D7</f>
        <v>0</v>
      </c>
      <c r="E48" s="145">
        <f t="shared" si="13"/>
        <v>0</v>
      </c>
      <c r="F48" s="145">
        <f t="shared" si="13"/>
        <v>0</v>
      </c>
      <c r="G48" s="145">
        <f t="shared" si="13"/>
        <v>0</v>
      </c>
      <c r="H48" s="145">
        <f t="shared" si="13"/>
        <v>0</v>
      </c>
      <c r="I48" s="145">
        <f t="shared" si="13"/>
        <v>0</v>
      </c>
    </row>
    <row r="49" spans="1:9">
      <c r="A49" s="132" t="str">
        <f t="shared" si="6"/>
        <v>Outros</v>
      </c>
      <c r="B49" s="122"/>
      <c r="C49" s="123"/>
      <c r="D49" s="145">
        <f t="shared" ref="D49:I49" si="14">+D20*D35*D7</f>
        <v>6790</v>
      </c>
      <c r="E49" s="145">
        <f t="shared" si="14"/>
        <v>6925.8</v>
      </c>
      <c r="F49" s="145">
        <f t="shared" si="14"/>
        <v>7064.2599999999993</v>
      </c>
      <c r="G49" s="145">
        <f t="shared" si="14"/>
        <v>7240.8000000000011</v>
      </c>
      <c r="H49" s="145">
        <f t="shared" si="14"/>
        <v>7421.82</v>
      </c>
      <c r="I49" s="145">
        <f t="shared" si="14"/>
        <v>7607.32</v>
      </c>
    </row>
    <row r="50" spans="1:9">
      <c r="A50" s="132" t="str">
        <f t="shared" si="6"/>
        <v>Distribuição</v>
      </c>
      <c r="B50" s="139"/>
      <c r="C50" s="140"/>
      <c r="D50" s="145">
        <f t="shared" ref="D50:I50" si="15">+D21*D36*D7</f>
        <v>14000</v>
      </c>
      <c r="E50" s="145">
        <f t="shared" si="15"/>
        <v>14280</v>
      </c>
      <c r="F50" s="145">
        <f t="shared" si="15"/>
        <v>14565.600000000002</v>
      </c>
      <c r="G50" s="145">
        <f t="shared" si="15"/>
        <v>29859.480000000003</v>
      </c>
      <c r="H50" s="145">
        <f t="shared" si="15"/>
        <v>30605.96</v>
      </c>
      <c r="I50" s="145">
        <f t="shared" si="15"/>
        <v>31371.200000000004</v>
      </c>
    </row>
    <row r="51" spans="1:9">
      <c r="A51" s="132" t="str">
        <f t="shared" si="6"/>
        <v>Informática</v>
      </c>
      <c r="B51" s="139"/>
      <c r="C51" s="140"/>
      <c r="D51" s="145">
        <f t="shared" ref="D51:I51" si="16">+D22*D37*D7</f>
        <v>10160.5</v>
      </c>
      <c r="E51" s="145">
        <f t="shared" si="16"/>
        <v>0</v>
      </c>
      <c r="F51" s="145">
        <f t="shared" si="16"/>
        <v>0</v>
      </c>
      <c r="G51" s="145">
        <f t="shared" si="16"/>
        <v>0</v>
      </c>
      <c r="H51" s="145">
        <f t="shared" si="16"/>
        <v>0</v>
      </c>
      <c r="I51" s="145">
        <f t="shared" si="16"/>
        <v>0</v>
      </c>
    </row>
    <row r="52" spans="1:9" ht="13.5" thickBot="1">
      <c r="A52" s="471" t="s">
        <v>48</v>
      </c>
      <c r="B52" s="472"/>
      <c r="C52" s="473"/>
      <c r="D52" s="146">
        <f t="shared" ref="D52:I52" si="17">+SUM(D41:D51)</f>
        <v>171671.36000000002</v>
      </c>
      <c r="E52" s="146">
        <f t="shared" si="17"/>
        <v>195044.36</v>
      </c>
      <c r="F52" s="146">
        <f t="shared" si="17"/>
        <v>210648.2</v>
      </c>
      <c r="G52" s="146">
        <f t="shared" si="17"/>
        <v>239771.25899999999</v>
      </c>
      <c r="H52" s="146">
        <f t="shared" si="17"/>
        <v>247064.08509999997</v>
      </c>
      <c r="I52" s="146">
        <f t="shared" si="17"/>
        <v>254605.55564937499</v>
      </c>
    </row>
    <row r="53" spans="1:9" ht="13.5" thickTop="1">
      <c r="A53" s="141"/>
      <c r="B53" s="142"/>
      <c r="C53" s="143"/>
      <c r="D53" s="144"/>
      <c r="E53" s="144"/>
      <c r="F53" s="144"/>
      <c r="G53" s="144"/>
      <c r="H53" s="144"/>
      <c r="I53" s="144"/>
    </row>
    <row r="54" spans="1:9">
      <c r="A54" s="83"/>
      <c r="B54" s="83"/>
      <c r="C54" s="147"/>
      <c r="D54" s="148"/>
      <c r="E54" s="148"/>
      <c r="F54" s="148"/>
      <c r="G54" s="148"/>
      <c r="H54" s="148"/>
      <c r="I54" s="148"/>
    </row>
    <row r="55" spans="1:9">
      <c r="A55" s="475" t="s">
        <v>357</v>
      </c>
      <c r="B55" s="476"/>
      <c r="C55" s="477"/>
      <c r="D55" s="80">
        <f t="shared" ref="D55:I55" si="18">+D6</f>
        <v>2011</v>
      </c>
      <c r="E55" s="80">
        <f t="shared" si="18"/>
        <v>2012</v>
      </c>
      <c r="F55" s="80">
        <f t="shared" si="18"/>
        <v>2013</v>
      </c>
      <c r="G55" s="80">
        <f t="shared" si="18"/>
        <v>2014</v>
      </c>
      <c r="H55" s="80">
        <f t="shared" si="18"/>
        <v>2015</v>
      </c>
      <c r="I55" s="80">
        <f t="shared" si="18"/>
        <v>2016</v>
      </c>
    </row>
    <row r="56" spans="1:9">
      <c r="A56" s="149" t="s">
        <v>81</v>
      </c>
      <c r="B56" s="150"/>
      <c r="C56" s="104"/>
      <c r="D56" s="104"/>
      <c r="E56" s="104"/>
      <c r="F56" s="104"/>
      <c r="G56" s="104"/>
      <c r="H56" s="104"/>
      <c r="I56" s="104"/>
    </row>
    <row r="57" spans="1:9">
      <c r="A57" s="84" t="s">
        <v>352</v>
      </c>
      <c r="B57" s="151"/>
      <c r="C57" s="152">
        <f>+Pressupostos!B23</f>
        <v>0.20300000000000001</v>
      </c>
      <c r="D57" s="153">
        <f t="shared" ref="D57:I57" si="19">$C$57*(D41+D62)</f>
        <v>9412.7040000000015</v>
      </c>
      <c r="E57" s="153">
        <f t="shared" si="19"/>
        <v>9600.9580800000003</v>
      </c>
      <c r="F57" s="153">
        <f t="shared" si="19"/>
        <v>9792.963600000001</v>
      </c>
      <c r="G57" s="153">
        <f t="shared" si="19"/>
        <v>10288.717817000001</v>
      </c>
      <c r="H57" s="153">
        <f t="shared" si="19"/>
        <v>10809.588635299999</v>
      </c>
      <c r="I57" s="153">
        <f t="shared" si="19"/>
        <v>11356.805696823123</v>
      </c>
    </row>
    <row r="58" spans="1:9">
      <c r="A58" s="84" t="s">
        <v>33</v>
      </c>
      <c r="B58" s="151"/>
      <c r="C58" s="152">
        <f>+Pressupostos!B24</f>
        <v>0.23749999999999999</v>
      </c>
      <c r="D58" s="153">
        <f t="shared" ref="D58:I58" si="20">+$C$58*(SUM(D42:D51)+D63)</f>
        <v>29759.547999999995</v>
      </c>
      <c r="E58" s="153">
        <f t="shared" si="20"/>
        <v>35090.387499999997</v>
      </c>
      <c r="F58" s="153">
        <f t="shared" si="20"/>
        <v>38571.662499999999</v>
      </c>
      <c r="G58" s="153">
        <f t="shared" si="20"/>
        <v>44908.381000000001</v>
      </c>
      <c r="H58" s="153">
        <f t="shared" si="20"/>
        <v>46031.034</v>
      </c>
      <c r="I58" s="153">
        <f t="shared" si="20"/>
        <v>47181.916250000009</v>
      </c>
    </row>
    <row r="59" spans="1:9">
      <c r="A59" s="154" t="s">
        <v>23</v>
      </c>
      <c r="B59" s="155"/>
      <c r="C59" s="58">
        <v>7.4999999999999997E-3</v>
      </c>
      <c r="D59" s="156">
        <f t="shared" ref="D59:I59" si="21">+$C$59*D52</f>
        <v>1287.5352</v>
      </c>
      <c r="E59" s="156">
        <f t="shared" si="21"/>
        <v>1462.8326999999999</v>
      </c>
      <c r="F59" s="156">
        <f t="shared" si="21"/>
        <v>1579.8615</v>
      </c>
      <c r="G59" s="156">
        <f t="shared" si="21"/>
        <v>1798.2844424999998</v>
      </c>
      <c r="H59" s="156">
        <f t="shared" si="21"/>
        <v>1852.9806382499996</v>
      </c>
      <c r="I59" s="156">
        <f t="shared" si="21"/>
        <v>1909.5416673703123</v>
      </c>
    </row>
    <row r="60" spans="1:9">
      <c r="A60" s="154" t="s">
        <v>201</v>
      </c>
      <c r="B60" s="155"/>
      <c r="C60" s="9">
        <v>93.94</v>
      </c>
      <c r="D60" s="156">
        <f>+$C$60*11*D23</f>
        <v>13433.419999999998</v>
      </c>
      <c r="E60" s="156">
        <f>+C60*(1+E8)*11*E23</f>
        <v>15810.101999999999</v>
      </c>
      <c r="F60" s="156">
        <f>C60*(1+E8)*(1+F8)*11*F23</f>
        <v>17201.390975999999</v>
      </c>
      <c r="G60" s="156">
        <f>+C60*(1+E8)*(1+F8)*(1+G8)*11*G23</f>
        <v>19890.452174669997</v>
      </c>
      <c r="H60" s="156">
        <f>C60*(1+E8)*(1+F8)*(1+G8)*(1+H8)*11*H23</f>
        <v>20445.601031158665</v>
      </c>
      <c r="I60" s="156">
        <f>C60*(1+E8)*(1+F8)*(1+G8)*(1+H8)*(1+I8)*11*I23</f>
        <v>21017.559166385723</v>
      </c>
    </row>
    <row r="61" spans="1:9">
      <c r="A61" s="154" t="s">
        <v>365</v>
      </c>
      <c r="B61" s="155"/>
      <c r="C61" s="152"/>
      <c r="D61" s="153"/>
      <c r="E61" s="153"/>
      <c r="F61" s="153"/>
      <c r="G61" s="153"/>
      <c r="H61" s="153"/>
      <c r="I61" s="153"/>
    </row>
    <row r="62" spans="1:9">
      <c r="A62" s="84" t="s">
        <v>352</v>
      </c>
      <c r="B62" s="151"/>
      <c r="C62" s="58"/>
      <c r="D62" s="313"/>
      <c r="E62" s="313"/>
      <c r="F62" s="313"/>
      <c r="G62" s="313"/>
      <c r="H62" s="313"/>
      <c r="I62" s="313"/>
    </row>
    <row r="63" spans="1:9">
      <c r="A63" s="84" t="s">
        <v>33</v>
      </c>
      <c r="B63" s="151"/>
      <c r="C63" s="58"/>
      <c r="D63" s="313"/>
      <c r="E63" s="313"/>
      <c r="F63" s="313"/>
      <c r="G63" s="313"/>
      <c r="H63" s="313"/>
      <c r="I63" s="313"/>
    </row>
    <row r="64" spans="1:9">
      <c r="A64" s="157" t="s">
        <v>47</v>
      </c>
      <c r="B64" s="157"/>
      <c r="C64" s="158"/>
      <c r="D64" s="53">
        <f>243+250</f>
        <v>493</v>
      </c>
      <c r="E64" s="51">
        <f>D64*(1+$E$8)</f>
        <v>502.86</v>
      </c>
      <c r="F64" s="51">
        <f>E64*(1+$E$8)</f>
        <v>512.91719999999998</v>
      </c>
      <c r="G64" s="51">
        <f>F64*(1+$E$8)</f>
        <v>523.17554399999995</v>
      </c>
      <c r="H64" s="51">
        <f>G64*(1+$E$8)</f>
        <v>533.63905488</v>
      </c>
      <c r="I64" s="51">
        <f>H64*(1+$E$8)</f>
        <v>544.31183597760003</v>
      </c>
    </row>
    <row r="65" spans="1:9">
      <c r="A65" s="159" t="s">
        <v>83</v>
      </c>
      <c r="B65" s="140"/>
      <c r="C65" s="160"/>
      <c r="D65" s="53">
        <f>35*11</f>
        <v>385</v>
      </c>
      <c r="E65" s="53">
        <f t="shared" ref="E65:I65" si="22">38.85*12</f>
        <v>466.20000000000005</v>
      </c>
      <c r="F65" s="53">
        <f t="shared" si="22"/>
        <v>466.20000000000005</v>
      </c>
      <c r="G65" s="53">
        <f t="shared" si="22"/>
        <v>466.20000000000005</v>
      </c>
      <c r="H65" s="53">
        <f t="shared" si="22"/>
        <v>466.20000000000005</v>
      </c>
      <c r="I65" s="53">
        <f t="shared" si="22"/>
        <v>466.20000000000005</v>
      </c>
    </row>
    <row r="66" spans="1:9" ht="14.25" customHeight="1" thickBot="1">
      <c r="A66" s="481" t="s">
        <v>358</v>
      </c>
      <c r="B66" s="482"/>
      <c r="C66" s="483"/>
      <c r="D66" s="56">
        <f t="shared" ref="D66:I66" si="23">+SUM(D57:D65)</f>
        <v>54771.20719999999</v>
      </c>
      <c r="E66" s="56">
        <f t="shared" si="23"/>
        <v>62933.340279999989</v>
      </c>
      <c r="F66" s="56">
        <f t="shared" si="23"/>
        <v>68124.995775999996</v>
      </c>
      <c r="G66" s="56">
        <f t="shared" si="23"/>
        <v>77875.210978169998</v>
      </c>
      <c r="H66" s="56">
        <f t="shared" si="23"/>
        <v>80139.043359588657</v>
      </c>
      <c r="I66" s="56">
        <f t="shared" si="23"/>
        <v>82476.334616556764</v>
      </c>
    </row>
    <row r="67" spans="1:9" ht="13.5" thickTop="1">
      <c r="A67" s="142"/>
      <c r="B67" s="142"/>
      <c r="C67" s="161"/>
      <c r="D67" s="83"/>
      <c r="E67" s="83"/>
      <c r="F67" s="83"/>
      <c r="G67" s="83"/>
      <c r="H67" s="83"/>
      <c r="I67" s="83"/>
    </row>
    <row r="68" spans="1:9" ht="13.5" thickBot="1">
      <c r="A68" s="481" t="s">
        <v>359</v>
      </c>
      <c r="B68" s="482"/>
      <c r="C68" s="483"/>
      <c r="D68" s="56">
        <f t="shared" ref="D68:I68" si="24">D52+D66</f>
        <v>226442.56719999999</v>
      </c>
      <c r="E68" s="56">
        <f t="shared" si="24"/>
        <v>257977.70027999999</v>
      </c>
      <c r="F68" s="56">
        <f t="shared" si="24"/>
        <v>278773.19577600004</v>
      </c>
      <c r="G68" s="56">
        <f t="shared" si="24"/>
        <v>317646.46997817</v>
      </c>
      <c r="H68" s="56">
        <f t="shared" si="24"/>
        <v>327203.12845958862</v>
      </c>
      <c r="I68" s="56">
        <f t="shared" si="24"/>
        <v>337081.89026593172</v>
      </c>
    </row>
    <row r="69" spans="1:9" ht="13.5" thickTop="1">
      <c r="A69" s="142"/>
      <c r="B69" s="142"/>
      <c r="C69" s="161"/>
      <c r="D69" s="83"/>
      <c r="E69" s="83"/>
      <c r="F69" s="83"/>
      <c r="G69" s="83"/>
      <c r="H69" s="83"/>
      <c r="I69" s="83"/>
    </row>
    <row r="70" spans="1:9">
      <c r="A70" s="142"/>
      <c r="B70" s="142"/>
      <c r="C70" s="161"/>
      <c r="D70" s="83"/>
      <c r="E70" s="83"/>
      <c r="F70" s="83"/>
      <c r="G70" s="83"/>
      <c r="H70" s="83"/>
      <c r="I70" s="83"/>
    </row>
    <row r="71" spans="1:9">
      <c r="A71" s="475" t="s">
        <v>82</v>
      </c>
      <c r="B71" s="476"/>
      <c r="C71" s="477"/>
      <c r="D71" s="80">
        <f t="shared" ref="D71:I71" si="25">+D6</f>
        <v>2011</v>
      </c>
      <c r="E71" s="80">
        <f t="shared" si="25"/>
        <v>2012</v>
      </c>
      <c r="F71" s="80">
        <f t="shared" si="25"/>
        <v>2013</v>
      </c>
      <c r="G71" s="80">
        <f t="shared" si="25"/>
        <v>2014</v>
      </c>
      <c r="H71" s="80">
        <f t="shared" si="25"/>
        <v>2015</v>
      </c>
      <c r="I71" s="80">
        <f t="shared" si="25"/>
        <v>2016</v>
      </c>
    </row>
    <row r="72" spans="1:9">
      <c r="A72" s="162" t="s">
        <v>351</v>
      </c>
      <c r="B72" s="123"/>
      <c r="C72" s="160"/>
      <c r="D72" s="126"/>
      <c r="E72" s="126"/>
      <c r="F72" s="126"/>
      <c r="G72" s="126"/>
      <c r="H72" s="126"/>
      <c r="I72" s="126"/>
    </row>
    <row r="73" spans="1:9">
      <c r="A73" s="84" t="s">
        <v>352</v>
      </c>
      <c r="B73" s="163"/>
      <c r="C73" s="160"/>
      <c r="D73" s="153">
        <f t="shared" ref="D73:I73" si="26">D41+D62</f>
        <v>46368</v>
      </c>
      <c r="E73" s="153">
        <f t="shared" si="26"/>
        <v>47295.360000000001</v>
      </c>
      <c r="F73" s="153">
        <f t="shared" si="26"/>
        <v>48241.200000000004</v>
      </c>
      <c r="G73" s="153">
        <f t="shared" si="26"/>
        <v>50683.339</v>
      </c>
      <c r="H73" s="153">
        <f t="shared" si="26"/>
        <v>53249.205099999992</v>
      </c>
      <c r="I73" s="153">
        <f t="shared" si="26"/>
        <v>55944.855649374986</v>
      </c>
    </row>
    <row r="74" spans="1:9">
      <c r="A74" s="84" t="s">
        <v>33</v>
      </c>
      <c r="B74" s="163"/>
      <c r="C74" s="160"/>
      <c r="D74" s="153">
        <f t="shared" ref="D74:I74" si="27">+SUM(D42:D51)+D63</f>
        <v>125303.35999999999</v>
      </c>
      <c r="E74" s="153">
        <f t="shared" si="27"/>
        <v>147749</v>
      </c>
      <c r="F74" s="153">
        <f t="shared" si="27"/>
        <v>162407</v>
      </c>
      <c r="G74" s="153">
        <f t="shared" si="27"/>
        <v>189087.92</v>
      </c>
      <c r="H74" s="153">
        <f t="shared" si="27"/>
        <v>193814.88</v>
      </c>
      <c r="I74" s="153">
        <f t="shared" si="27"/>
        <v>198660.70000000004</v>
      </c>
    </row>
    <row r="75" spans="1:9">
      <c r="A75" s="162" t="s">
        <v>353</v>
      </c>
      <c r="B75" s="123"/>
      <c r="C75" s="160"/>
      <c r="D75" s="153">
        <f t="shared" ref="D75:I75" si="28">+D57+D58</f>
        <v>39172.251999999993</v>
      </c>
      <c r="E75" s="153">
        <f t="shared" si="28"/>
        <v>44691.345579999994</v>
      </c>
      <c r="F75" s="153">
        <f t="shared" si="28"/>
        <v>48364.626100000001</v>
      </c>
      <c r="G75" s="153">
        <f t="shared" si="28"/>
        <v>55197.098817000006</v>
      </c>
      <c r="H75" s="153">
        <f t="shared" si="28"/>
        <v>56840.622635299995</v>
      </c>
      <c r="I75" s="153">
        <f t="shared" si="28"/>
        <v>58538.721946823134</v>
      </c>
    </row>
    <row r="76" spans="1:9">
      <c r="A76" s="154" t="s">
        <v>354</v>
      </c>
      <c r="B76" s="123"/>
      <c r="C76" s="160"/>
      <c r="D76" s="153">
        <f t="shared" ref="D76:I77" si="29">+D59</f>
        <v>1287.5352</v>
      </c>
      <c r="E76" s="153">
        <f t="shared" si="29"/>
        <v>1462.8326999999999</v>
      </c>
      <c r="F76" s="153">
        <f t="shared" si="29"/>
        <v>1579.8615</v>
      </c>
      <c r="G76" s="153">
        <f t="shared" si="29"/>
        <v>1798.2844424999998</v>
      </c>
      <c r="H76" s="153">
        <f t="shared" si="29"/>
        <v>1852.9806382499996</v>
      </c>
      <c r="I76" s="153">
        <f t="shared" si="29"/>
        <v>1909.5416673703123</v>
      </c>
    </row>
    <row r="77" spans="1:9">
      <c r="A77" s="162" t="s">
        <v>355</v>
      </c>
      <c r="B77" s="123"/>
      <c r="C77" s="160"/>
      <c r="D77" s="153">
        <f t="shared" si="29"/>
        <v>13433.419999999998</v>
      </c>
      <c r="E77" s="153">
        <f t="shared" si="29"/>
        <v>15810.101999999999</v>
      </c>
      <c r="F77" s="153">
        <f t="shared" si="29"/>
        <v>17201.390975999999</v>
      </c>
      <c r="G77" s="153">
        <f t="shared" si="29"/>
        <v>19890.452174669997</v>
      </c>
      <c r="H77" s="153">
        <f t="shared" si="29"/>
        <v>20445.601031158665</v>
      </c>
      <c r="I77" s="153">
        <f t="shared" si="29"/>
        <v>21017.559166385723</v>
      </c>
    </row>
    <row r="78" spans="1:9">
      <c r="A78" s="159" t="s">
        <v>356</v>
      </c>
      <c r="B78" s="140"/>
      <c r="C78" s="164"/>
      <c r="D78" s="381">
        <f t="shared" ref="D78:I78" si="30">+D64+D65</f>
        <v>878</v>
      </c>
      <c r="E78" s="381">
        <f t="shared" si="30"/>
        <v>969.06000000000006</v>
      </c>
      <c r="F78" s="381">
        <f t="shared" si="30"/>
        <v>979.11720000000003</v>
      </c>
      <c r="G78" s="381">
        <f t="shared" si="30"/>
        <v>989.37554399999999</v>
      </c>
      <c r="H78" s="381">
        <f t="shared" si="30"/>
        <v>999.83905488000005</v>
      </c>
      <c r="I78" s="381">
        <f t="shared" si="30"/>
        <v>1010.5118359776001</v>
      </c>
    </row>
    <row r="79" spans="1:9" ht="13.5" thickBot="1">
      <c r="A79" s="481" t="s">
        <v>359</v>
      </c>
      <c r="B79" s="482"/>
      <c r="C79" s="483"/>
      <c r="D79" s="56">
        <f t="shared" ref="D79:I79" si="31">SUM(D73:D78)</f>
        <v>226442.56719999999</v>
      </c>
      <c r="E79" s="56">
        <f t="shared" si="31"/>
        <v>257977.70027999999</v>
      </c>
      <c r="F79" s="56">
        <f t="shared" si="31"/>
        <v>278773.19577599998</v>
      </c>
      <c r="G79" s="56">
        <f t="shared" si="31"/>
        <v>317646.46997817</v>
      </c>
      <c r="H79" s="56">
        <f t="shared" si="31"/>
        <v>327203.12845958868</v>
      </c>
      <c r="I79" s="56">
        <f t="shared" si="31"/>
        <v>337081.89026593178</v>
      </c>
    </row>
    <row r="80" spans="1:9" ht="13.5" thickTop="1">
      <c r="A80" s="165"/>
      <c r="B80" s="165"/>
      <c r="C80" s="165"/>
      <c r="D80" s="148"/>
      <c r="E80" s="148"/>
      <c r="F80" s="148"/>
      <c r="G80" s="148"/>
      <c r="H80" s="148"/>
      <c r="I80" s="148"/>
    </row>
    <row r="81" spans="1:9">
      <c r="A81" s="142"/>
      <c r="B81" s="142"/>
      <c r="C81" s="83"/>
      <c r="D81" s="83"/>
      <c r="E81" s="83"/>
      <c r="F81" s="83"/>
      <c r="G81" s="83"/>
      <c r="H81" s="83"/>
      <c r="I81" s="83"/>
    </row>
    <row r="82" spans="1:9">
      <c r="A82" s="475" t="s">
        <v>158</v>
      </c>
      <c r="B82" s="476"/>
      <c r="C82" s="477"/>
      <c r="D82" s="80">
        <f t="shared" ref="D82:I82" si="32">+D71</f>
        <v>2011</v>
      </c>
      <c r="E82" s="80">
        <f t="shared" si="32"/>
        <v>2012</v>
      </c>
      <c r="F82" s="80">
        <f t="shared" si="32"/>
        <v>2013</v>
      </c>
      <c r="G82" s="80">
        <f t="shared" si="32"/>
        <v>2014</v>
      </c>
      <c r="H82" s="80">
        <f t="shared" si="32"/>
        <v>2015</v>
      </c>
      <c r="I82" s="80">
        <f t="shared" si="32"/>
        <v>2016</v>
      </c>
    </row>
    <row r="83" spans="1:9">
      <c r="A83" s="162" t="s">
        <v>156</v>
      </c>
      <c r="B83" s="123"/>
      <c r="C83" s="152"/>
      <c r="D83" s="153"/>
      <c r="E83" s="153"/>
      <c r="F83" s="153"/>
      <c r="G83" s="153"/>
      <c r="H83" s="153"/>
      <c r="I83" s="153"/>
    </row>
    <row r="84" spans="1:9">
      <c r="A84" s="84" t="s">
        <v>200</v>
      </c>
      <c r="B84" s="151"/>
      <c r="C84" s="152">
        <f>+Pressupostos!B25</f>
        <v>9.2999999999999999E-2</v>
      </c>
      <c r="D84" s="153">
        <f t="shared" ref="D84:I84" si="33">+$C$84*D73</f>
        <v>4312.2240000000002</v>
      </c>
      <c r="E84" s="153">
        <f t="shared" si="33"/>
        <v>4398.4684800000005</v>
      </c>
      <c r="F84" s="153">
        <f t="shared" si="33"/>
        <v>4486.4316000000008</v>
      </c>
      <c r="G84" s="153">
        <f t="shared" si="33"/>
        <v>4713.5505270000003</v>
      </c>
      <c r="H84" s="153">
        <f t="shared" si="33"/>
        <v>4952.1760742999995</v>
      </c>
      <c r="I84" s="153">
        <f t="shared" si="33"/>
        <v>5202.8715753918732</v>
      </c>
    </row>
    <row r="85" spans="1:9">
      <c r="A85" s="84" t="s">
        <v>155</v>
      </c>
      <c r="B85" s="151"/>
      <c r="C85" s="152">
        <f>+Pressupostos!B26</f>
        <v>0.11</v>
      </c>
      <c r="D85" s="153">
        <f t="shared" ref="D85:I85" si="34">+$C$85*D74</f>
        <v>13783.369599999998</v>
      </c>
      <c r="E85" s="153">
        <f t="shared" si="34"/>
        <v>16252.39</v>
      </c>
      <c r="F85" s="153">
        <f t="shared" si="34"/>
        <v>17864.77</v>
      </c>
      <c r="G85" s="153">
        <f t="shared" si="34"/>
        <v>20799.671200000001</v>
      </c>
      <c r="H85" s="153">
        <f t="shared" si="34"/>
        <v>21319.6368</v>
      </c>
      <c r="I85" s="153">
        <f t="shared" si="34"/>
        <v>21852.677000000003</v>
      </c>
    </row>
    <row r="86" spans="1:9">
      <c r="A86" s="162" t="s">
        <v>157</v>
      </c>
      <c r="B86" s="123"/>
      <c r="C86" s="152">
        <f>+Pressupostos!B27</f>
        <v>0.06</v>
      </c>
      <c r="D86" s="153">
        <f t="shared" ref="D86:I86" si="35">+$C$86*(D73+D74)</f>
        <v>10300.281599999998</v>
      </c>
      <c r="E86" s="153">
        <f t="shared" si="35"/>
        <v>11702.661599999999</v>
      </c>
      <c r="F86" s="153">
        <f t="shared" si="35"/>
        <v>12638.892</v>
      </c>
      <c r="G86" s="153">
        <f t="shared" si="35"/>
        <v>14386.275540000001</v>
      </c>
      <c r="H86" s="153">
        <f t="shared" si="35"/>
        <v>14823.845105999999</v>
      </c>
      <c r="I86" s="153">
        <f t="shared" si="35"/>
        <v>15276.3333389625</v>
      </c>
    </row>
    <row r="87" spans="1:9" ht="13.5" thickBot="1">
      <c r="A87" s="481" t="s">
        <v>159</v>
      </c>
      <c r="B87" s="482"/>
      <c r="C87" s="483"/>
      <c r="D87" s="56">
        <f t="shared" ref="D87:I87" si="36">SUM(D84:D86)</f>
        <v>28395.875199999999</v>
      </c>
      <c r="E87" s="56">
        <f t="shared" si="36"/>
        <v>32353.520079999998</v>
      </c>
      <c r="F87" s="56">
        <f t="shared" si="36"/>
        <v>34990.0936</v>
      </c>
      <c r="G87" s="56">
        <f t="shared" si="36"/>
        <v>39899.497266999999</v>
      </c>
      <c r="H87" s="56">
        <f t="shared" si="36"/>
        <v>41095.657980299999</v>
      </c>
      <c r="I87" s="56">
        <f t="shared" si="36"/>
        <v>42331.881914354381</v>
      </c>
    </row>
    <row r="88" spans="1:9" ht="13.5" thickTop="1">
      <c r="A88" s="101"/>
      <c r="B88" s="101"/>
      <c r="C88" s="166"/>
      <c r="D88" s="167"/>
      <c r="E88" s="167"/>
      <c r="F88" s="167"/>
      <c r="G88" s="167"/>
      <c r="H88" s="167"/>
      <c r="I88" s="167"/>
    </row>
    <row r="89" spans="1:9">
      <c r="A89" s="101"/>
      <c r="B89" s="101"/>
      <c r="C89" s="166"/>
      <c r="D89" s="101"/>
      <c r="E89" s="101"/>
      <c r="F89" s="101"/>
      <c r="G89" s="101"/>
      <c r="H89" s="101"/>
      <c r="I89" s="101"/>
    </row>
    <row r="90" spans="1:9">
      <c r="A90" s="168"/>
      <c r="B90" s="168"/>
      <c r="C90" s="166"/>
      <c r="D90" s="167"/>
      <c r="E90" s="167"/>
      <c r="F90" s="167"/>
      <c r="G90" s="167"/>
      <c r="H90" s="167"/>
      <c r="I90" s="167"/>
    </row>
  </sheetData>
  <sheetProtection password="8318" sheet="1"/>
  <mergeCells count="13">
    <mergeCell ref="A55:C55"/>
    <mergeCell ref="A40:C40"/>
    <mergeCell ref="A52:C52"/>
    <mergeCell ref="A4:I4"/>
    <mergeCell ref="A87:C87"/>
    <mergeCell ref="A82:C82"/>
    <mergeCell ref="A79:C79"/>
    <mergeCell ref="A71:C71"/>
    <mergeCell ref="A66:C66"/>
    <mergeCell ref="A68:C68"/>
    <mergeCell ref="A11:C11"/>
    <mergeCell ref="A23:C23"/>
    <mergeCell ref="A26:C26"/>
  </mergeCells>
  <phoneticPr fontId="2" type="noConversion"/>
  <printOptions horizontalCentered="1"/>
  <pageMargins left="0.75" right="0.75" top="0.39370078740157483" bottom="0.39370078740157483" header="0.51181102362204722" footer="0.39370078740157483"/>
  <pageSetup paperSize="9" scale="90" orientation="portrait" r:id="rId1"/>
  <headerFooter alignWithMargins="0">
    <oddFooter>&amp;C&amp;"Arial,Normal"&amp;8IAPMEI&amp;R&amp;"Arial,Normal"&amp;8&amp;P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0" enableFormatConditionsCalculation="0">
    <pageSetUpPr fitToPage="1"/>
  </sheetPr>
  <dimension ref="A1:H37"/>
  <sheetViews>
    <sheetView showGridLines="0" showZeros="0" topLeftCell="A9" workbookViewId="0">
      <selection activeCell="A29" sqref="A29:H32"/>
    </sheetView>
  </sheetViews>
  <sheetFormatPr defaultColWidth="8.7109375" defaultRowHeight="12.75"/>
  <cols>
    <col min="1" max="1" width="30.85546875" style="93" customWidth="1"/>
    <col min="2" max="2" width="7.5703125" style="93" customWidth="1"/>
    <col min="3" max="13" width="11.42578125" style="93" customWidth="1"/>
    <col min="14" max="16384" width="8.7109375" style="93"/>
  </cols>
  <sheetData>
    <row r="1" spans="1:8" ht="13.5">
      <c r="A1" s="83"/>
      <c r="B1" s="83"/>
      <c r="C1" s="170"/>
      <c r="D1" s="170"/>
      <c r="E1" s="170"/>
      <c r="F1" s="170"/>
      <c r="G1" s="171" t="s">
        <v>65</v>
      </c>
      <c r="H1" s="172" t="str">
        <f>+Pressupostos!E1</f>
        <v>ALI,Conserva&amp;Limpa, Lda</v>
      </c>
    </row>
    <row r="2" spans="1:8">
      <c r="A2" s="83"/>
      <c r="B2" s="83"/>
      <c r="C2" s="83"/>
      <c r="D2" s="83"/>
      <c r="E2" s="83"/>
      <c r="F2" s="83"/>
      <c r="G2" s="83"/>
      <c r="H2" s="78" t="str">
        <f>+Pressupostos!B9</f>
        <v>Euros</v>
      </c>
    </row>
    <row r="3" spans="1:8">
      <c r="A3" s="83"/>
      <c r="B3" s="83"/>
      <c r="C3" s="83"/>
      <c r="D3" s="83"/>
      <c r="E3" s="83"/>
      <c r="F3" s="83"/>
      <c r="G3" s="83"/>
      <c r="H3" s="78"/>
    </row>
    <row r="4" spans="1:8" ht="13.5" customHeight="1">
      <c r="A4" s="462" t="s">
        <v>177</v>
      </c>
      <c r="B4" s="462"/>
      <c r="C4" s="462"/>
      <c r="D4" s="462"/>
      <c r="E4" s="462"/>
      <c r="F4" s="462"/>
      <c r="G4" s="462"/>
      <c r="H4" s="462"/>
    </row>
    <row r="5" spans="1:8" ht="12.75" customHeight="1">
      <c r="A5" s="83"/>
      <c r="B5" s="173"/>
      <c r="C5" s="173"/>
      <c r="D5" s="83"/>
      <c r="E5" s="83"/>
      <c r="F5" s="83"/>
      <c r="G5" s="83"/>
      <c r="H5" s="83"/>
    </row>
    <row r="6" spans="1:8">
      <c r="A6" s="83"/>
      <c r="B6" s="161"/>
      <c r="C6" s="173"/>
      <c r="D6" s="83"/>
      <c r="E6" s="83"/>
      <c r="F6" s="83"/>
      <c r="G6" s="83"/>
      <c r="H6" s="83"/>
    </row>
    <row r="7" spans="1:8">
      <c r="A7" s="162"/>
      <c r="B7" s="155"/>
      <c r="C7" s="80">
        <f>+VN!C8</f>
        <v>2011</v>
      </c>
      <c r="D7" s="80">
        <f>+VN!D8</f>
        <v>2012</v>
      </c>
      <c r="E7" s="80">
        <f>+VN!E8</f>
        <v>2013</v>
      </c>
      <c r="F7" s="80">
        <f>+VN!F8</f>
        <v>2014</v>
      </c>
      <c r="G7" s="80">
        <f>+VN!G8</f>
        <v>2015</v>
      </c>
      <c r="H7" s="80">
        <f>+VN!H8</f>
        <v>2016</v>
      </c>
    </row>
    <row r="8" spans="1:8">
      <c r="A8" s="174" t="s">
        <v>84</v>
      </c>
      <c r="B8" s="175"/>
      <c r="C8" s="176"/>
      <c r="D8" s="126"/>
      <c r="E8" s="126"/>
      <c r="F8" s="126"/>
      <c r="G8" s="126"/>
      <c r="H8" s="126"/>
    </row>
    <row r="9" spans="1:8">
      <c r="A9" s="84" t="s">
        <v>87</v>
      </c>
      <c r="B9" s="175"/>
      <c r="C9" s="7">
        <f>(CMVMC!C20+FSE!F53+'Gastos com Pessoal'!D68)/(360/(Pressupostos!B13+Pressupostos!B15-Pressupostos!B14))</f>
        <v>28972.531339999998</v>
      </c>
      <c r="D9" s="138">
        <f>+C9</f>
        <v>28972.531339999998</v>
      </c>
      <c r="E9" s="138">
        <f>+D9</f>
        <v>28972.531339999998</v>
      </c>
      <c r="F9" s="138">
        <f>+E9</f>
        <v>28972.531339999998</v>
      </c>
      <c r="G9" s="138">
        <f>+F9</f>
        <v>28972.531339999998</v>
      </c>
      <c r="H9" s="138">
        <f>+G9</f>
        <v>28972.531339999998</v>
      </c>
    </row>
    <row r="10" spans="1:8">
      <c r="A10" s="84" t="s">
        <v>51</v>
      </c>
      <c r="B10" s="175"/>
      <c r="C10" s="138">
        <f>VN!C84*Pressupostos!$C$13/12</f>
        <v>154436.13819999999</v>
      </c>
      <c r="D10" s="138">
        <f>VN!D84*Pressupostos!$C$13/12</f>
        <v>204777.86279060002</v>
      </c>
      <c r="E10" s="138">
        <f>VN!E84*Pressupostos!$C$13/12</f>
        <v>261537.94037102934</v>
      </c>
      <c r="F10" s="138">
        <f>VN!F84*Pressupostos!$C$13/12</f>
        <v>322700.49078191427</v>
      </c>
      <c r="G10" s="138">
        <f>VN!G84*Pressupostos!$C$13/12</f>
        <v>384246.6822139732</v>
      </c>
      <c r="H10" s="138">
        <f>VN!H84*Pressupostos!$C$13/12</f>
        <v>415569.63152621494</v>
      </c>
    </row>
    <row r="11" spans="1:8">
      <c r="A11" s="84" t="s">
        <v>326</v>
      </c>
      <c r="B11" s="175"/>
      <c r="C11" s="138">
        <f>CMVMC!C16*Pressupostos!$C$15/12</f>
        <v>13997.659833333331</v>
      </c>
      <c r="D11" s="138">
        <f>CMVMC!D16*Pressupostos!$C$15/12</f>
        <v>18670.840410750003</v>
      </c>
      <c r="E11" s="138">
        <f>CMVMC!E16*Pressupostos!$C$15/12</f>
        <v>23963.308028613708</v>
      </c>
      <c r="F11" s="138">
        <f>CMVMC!F16*Pressupostos!$C$15/12</f>
        <v>29915.397522540923</v>
      </c>
      <c r="G11" s="138">
        <f>CMVMC!G16*Pressupostos!$C$15/12</f>
        <v>35666.292841050155</v>
      </c>
      <c r="H11" s="138">
        <f>CMVMC!H16*Pressupostos!$C$15/12</f>
        <v>38573.849056379084</v>
      </c>
    </row>
    <row r="12" spans="1:8">
      <c r="A12" s="84" t="s">
        <v>52</v>
      </c>
      <c r="B12" s="175"/>
      <c r="C12" s="138">
        <f t="shared" ref="C12:H12" si="0">IF(C29&lt;0,-C29,0)</f>
        <v>0</v>
      </c>
      <c r="D12" s="138">
        <f t="shared" si="0"/>
        <v>0</v>
      </c>
      <c r="E12" s="138">
        <f t="shared" si="0"/>
        <v>0</v>
      </c>
      <c r="F12" s="138">
        <f t="shared" si="0"/>
        <v>0</v>
      </c>
      <c r="G12" s="138">
        <f t="shared" si="0"/>
        <v>0</v>
      </c>
      <c r="H12" s="138">
        <f t="shared" si="0"/>
        <v>0</v>
      </c>
    </row>
    <row r="13" spans="1:8">
      <c r="A13" s="486"/>
      <c r="B13" s="487"/>
      <c r="C13" s="60"/>
      <c r="D13" s="60"/>
      <c r="E13" s="60"/>
      <c r="F13" s="60"/>
      <c r="G13" s="60"/>
      <c r="H13" s="60"/>
    </row>
    <row r="14" spans="1:8">
      <c r="A14" s="486"/>
      <c r="B14" s="487"/>
      <c r="C14" s="60"/>
      <c r="D14" s="60"/>
      <c r="E14" s="60"/>
      <c r="F14" s="60"/>
      <c r="G14" s="60"/>
      <c r="H14" s="60"/>
    </row>
    <row r="15" spans="1:8">
      <c r="A15" s="484" t="s">
        <v>48</v>
      </c>
      <c r="B15" s="485"/>
      <c r="C15" s="177">
        <f t="shared" ref="C15:H15" si="1">SUM(C9:C14)</f>
        <v>197406.32937333331</v>
      </c>
      <c r="D15" s="177">
        <f t="shared" si="1"/>
        <v>252421.23454135002</v>
      </c>
      <c r="E15" s="177">
        <f t="shared" si="1"/>
        <v>314473.77973964304</v>
      </c>
      <c r="F15" s="177">
        <f t="shared" si="1"/>
        <v>381588.41964445519</v>
      </c>
      <c r="G15" s="177">
        <f t="shared" si="1"/>
        <v>448885.50639502332</v>
      </c>
      <c r="H15" s="177">
        <f t="shared" si="1"/>
        <v>483116.01192259404</v>
      </c>
    </row>
    <row r="16" spans="1:8">
      <c r="A16" s="178" t="s">
        <v>85</v>
      </c>
      <c r="B16" s="175"/>
      <c r="C16" s="179"/>
      <c r="D16" s="180"/>
      <c r="E16" s="180"/>
      <c r="F16" s="180"/>
      <c r="G16" s="180"/>
      <c r="H16" s="180"/>
    </row>
    <row r="17" spans="1:8">
      <c r="A17" s="84" t="s">
        <v>18</v>
      </c>
      <c r="B17" s="175"/>
      <c r="C17" s="138">
        <f>(CMVMC!C20+FSE!F53)*Pressupostos!$C$14/12</f>
        <v>117224.54624</v>
      </c>
      <c r="D17" s="138">
        <f>(CMVMC!D20+FSE!G53)*Pressupostos!$C$14/12</f>
        <v>147509.96330637002</v>
      </c>
      <c r="E17" s="138">
        <f>(CMVMC!E20+FSE!H53)*Pressupostos!$C$14/12</f>
        <v>181745.32572186319</v>
      </c>
      <c r="F17" s="138">
        <f>(CMVMC!F20+FSE!I53)*Pressupostos!$C$14/12</f>
        <v>219972.56533778165</v>
      </c>
      <c r="G17" s="138">
        <f>(CMVMC!G20+FSE!J53)*Pressupostos!$C$14/12</f>
        <v>257118.19727264062</v>
      </c>
      <c r="H17" s="138">
        <f>(CMVMC!H20+FSE!K53)*Pressupostos!$C$14/12</f>
        <v>276200.89751816512</v>
      </c>
    </row>
    <row r="18" spans="1:8">
      <c r="A18" s="84" t="s">
        <v>52</v>
      </c>
      <c r="B18" s="175"/>
      <c r="C18" s="138">
        <f t="shared" ref="C18:H18" si="2">IF(C29&gt;0,C29,0)</f>
        <v>6113.8045016666674</v>
      </c>
      <c r="D18" s="138">
        <f t="shared" si="2"/>
        <v>10551.370310396665</v>
      </c>
      <c r="E18" s="138">
        <f t="shared" si="2"/>
        <v>12444.859120110035</v>
      </c>
      <c r="F18" s="138">
        <f t="shared" si="2"/>
        <v>14741.215345816316</v>
      </c>
      <c r="G18" s="138">
        <f t="shared" si="2"/>
        <v>16379.053684030096</v>
      </c>
      <c r="H18" s="138">
        <f t="shared" si="2"/>
        <v>17336.859807721918</v>
      </c>
    </row>
    <row r="19" spans="1:8">
      <c r="A19" s="486"/>
      <c r="B19" s="487"/>
      <c r="C19" s="61"/>
      <c r="D19" s="61"/>
      <c r="E19" s="61"/>
      <c r="F19" s="61"/>
      <c r="G19" s="61"/>
      <c r="H19" s="61"/>
    </row>
    <row r="20" spans="1:8" ht="13.5" thickBot="1">
      <c r="A20" s="471" t="s">
        <v>48</v>
      </c>
      <c r="B20" s="472"/>
      <c r="C20" s="181">
        <f t="shared" ref="C20:H20" si="3">+SUM(C17:C19)</f>
        <v>123338.35074166667</v>
      </c>
      <c r="D20" s="181">
        <f t="shared" si="3"/>
        <v>158061.33361676667</v>
      </c>
      <c r="E20" s="181">
        <f t="shared" si="3"/>
        <v>194190.18484197324</v>
      </c>
      <c r="F20" s="181">
        <f t="shared" si="3"/>
        <v>234713.78068359796</v>
      </c>
      <c r="G20" s="181">
        <f t="shared" si="3"/>
        <v>273497.25095667073</v>
      </c>
      <c r="H20" s="181">
        <f t="shared" si="3"/>
        <v>293537.75732588704</v>
      </c>
    </row>
    <row r="21" spans="1:8" ht="13.5" thickTop="1">
      <c r="A21" s="182"/>
      <c r="B21" s="142"/>
      <c r="C21" s="183"/>
      <c r="D21" s="184"/>
      <c r="E21" s="184"/>
      <c r="F21" s="184"/>
      <c r="G21" s="184"/>
      <c r="H21" s="184"/>
    </row>
    <row r="22" spans="1:8" ht="13.5" thickBot="1">
      <c r="A22" s="185" t="s">
        <v>202</v>
      </c>
      <c r="B22" s="186"/>
      <c r="C22" s="181">
        <f t="shared" ref="C22:H22" si="4">+C15-C20</f>
        <v>74067.978631666643</v>
      </c>
      <c r="D22" s="181">
        <f t="shared" si="4"/>
        <v>94359.900924583344</v>
      </c>
      <c r="E22" s="181">
        <f t="shared" si="4"/>
        <v>120283.5948976698</v>
      </c>
      <c r="F22" s="181">
        <f t="shared" si="4"/>
        <v>146874.63896085724</v>
      </c>
      <c r="G22" s="181">
        <f t="shared" si="4"/>
        <v>175388.25543835259</v>
      </c>
      <c r="H22" s="181">
        <f t="shared" si="4"/>
        <v>189578.254596707</v>
      </c>
    </row>
    <row r="23" spans="1:8" ht="13.5" thickTop="1">
      <c r="A23" s="187"/>
      <c r="B23" s="188"/>
      <c r="C23" s="183"/>
      <c r="D23" s="184"/>
      <c r="E23" s="184"/>
      <c r="F23" s="184"/>
      <c r="G23" s="184"/>
      <c r="H23" s="184"/>
    </row>
    <row r="24" spans="1:8" ht="13.5" thickBot="1">
      <c r="A24" s="185" t="s">
        <v>86</v>
      </c>
      <c r="B24" s="186"/>
      <c r="C24" s="181">
        <f>+C22</f>
        <v>74067.978631666643</v>
      </c>
      <c r="D24" s="181">
        <f>+D22-C22</f>
        <v>20291.922292916701</v>
      </c>
      <c r="E24" s="181">
        <f>+E22-D22</f>
        <v>25923.693973086454</v>
      </c>
      <c r="F24" s="181">
        <f>+F22-E22</f>
        <v>26591.044063187437</v>
      </c>
      <c r="G24" s="181">
        <f>+G22-F22</f>
        <v>28513.61647749535</v>
      </c>
      <c r="H24" s="181">
        <f>+H22-G22</f>
        <v>14189.999158354418</v>
      </c>
    </row>
    <row r="25" spans="1:8" ht="13.5" thickTop="1">
      <c r="A25" s="182"/>
      <c r="B25" s="142"/>
      <c r="C25" s="147"/>
      <c r="D25" s="83"/>
      <c r="E25" s="83"/>
      <c r="F25" s="83"/>
      <c r="G25" s="83"/>
      <c r="H25" s="83"/>
    </row>
    <row r="26" spans="1:8">
      <c r="A26" s="189" t="s">
        <v>203</v>
      </c>
      <c r="B26" s="142"/>
      <c r="C26" s="147"/>
      <c r="D26" s="83"/>
      <c r="E26" s="83"/>
      <c r="F26" s="83"/>
      <c r="G26" s="83"/>
      <c r="H26" s="83"/>
    </row>
    <row r="27" spans="1:8">
      <c r="A27" s="83"/>
      <c r="B27" s="83"/>
      <c r="C27" s="173"/>
      <c r="D27" s="173"/>
      <c r="E27" s="190"/>
      <c r="F27" s="173"/>
      <c r="G27" s="173"/>
      <c r="H27" s="173"/>
    </row>
    <row r="28" spans="1:8">
      <c r="C28" s="191"/>
      <c r="D28" s="191"/>
      <c r="E28" s="192"/>
      <c r="F28" s="191"/>
      <c r="G28" s="191"/>
      <c r="H28" s="191"/>
    </row>
    <row r="29" spans="1:8">
      <c r="A29" s="340" t="s">
        <v>263</v>
      </c>
      <c r="B29" s="342"/>
      <c r="C29" s="343">
        <f t="shared" ref="C29:H29" si="5">+SUM(C30:C32)</f>
        <v>6113.8045016666674</v>
      </c>
      <c r="D29" s="343">
        <f t="shared" si="5"/>
        <v>10551.370310396665</v>
      </c>
      <c r="E29" s="343">
        <f t="shared" si="5"/>
        <v>12444.859120110035</v>
      </c>
      <c r="F29" s="343">
        <f t="shared" si="5"/>
        <v>14741.215345816316</v>
      </c>
      <c r="G29" s="343">
        <f t="shared" si="5"/>
        <v>16379.053684030096</v>
      </c>
      <c r="H29" s="343">
        <f t="shared" si="5"/>
        <v>17336.859807721918</v>
      </c>
    </row>
    <row r="30" spans="1:8">
      <c r="A30" s="341" t="s">
        <v>264</v>
      </c>
      <c r="B30" s="342"/>
      <c r="C30" s="346">
        <f>('Gastos com Pessoal'!D84+'Gastos com Pessoal'!D85+'Gastos com Pessoal'!D57+'Gastos com Pessoal'!D58)/FSE!F8</f>
        <v>4772.320466666667</v>
      </c>
      <c r="D30" s="346">
        <f>('Gastos com Pessoal'!E84+'Gastos com Pessoal'!E85+'Gastos com Pessoal'!E57+'Gastos com Pessoal'!E58)/FSE!G8</f>
        <v>5445.1836716666667</v>
      </c>
      <c r="E30" s="346">
        <f>('Gastos com Pessoal'!F84+'Gastos com Pessoal'!F85+'Gastos com Pessoal'!F57+'Gastos com Pessoal'!F58)/FSE!H8</f>
        <v>5892.9856416666662</v>
      </c>
      <c r="F30" s="346">
        <f>('Gastos com Pessoal'!G84+'Gastos com Pessoal'!G85+'Gastos com Pessoal'!G57+'Gastos com Pessoal'!G58)/FSE!I8</f>
        <v>6725.8600453333338</v>
      </c>
      <c r="G30" s="346">
        <f>('Gastos com Pessoal'!H84+'Gastos com Pessoal'!H85+'Gastos com Pessoal'!H57+'Gastos com Pessoal'!H58)/FSE!J8</f>
        <v>6926.0362924666661</v>
      </c>
      <c r="H30" s="346">
        <f>('Gastos com Pessoal'!I84+'Gastos com Pessoal'!I85+'Gastos com Pessoal'!I57+'Gastos com Pessoal'!I58)/FSE!K8</f>
        <v>7132.8558768512512</v>
      </c>
    </row>
    <row r="31" spans="1:8">
      <c r="A31" s="341" t="s">
        <v>265</v>
      </c>
      <c r="B31" s="342"/>
      <c r="C31" s="346">
        <f>'Gastos com Pessoal'!D86/FSE!F8</f>
        <v>858.35679999999991</v>
      </c>
      <c r="D31" s="346">
        <f>'Gastos com Pessoal'!E86/FSE!G8</f>
        <v>975.22179999999992</v>
      </c>
      <c r="E31" s="346">
        <f>'Gastos com Pessoal'!F86/FSE!H8</f>
        <v>1053.241</v>
      </c>
      <c r="F31" s="346">
        <f>'Gastos com Pessoal'!G86/FSE!I8</f>
        <v>1198.856295</v>
      </c>
      <c r="G31" s="346">
        <f>'Gastos com Pessoal'!H86/FSE!J8</f>
        <v>1235.3204254999998</v>
      </c>
      <c r="H31" s="346">
        <f>'Gastos com Pessoal'!I86/FSE!K8</f>
        <v>1273.027778246875</v>
      </c>
    </row>
    <row r="32" spans="1:8">
      <c r="A32" s="341" t="s">
        <v>64</v>
      </c>
      <c r="B32" s="342"/>
      <c r="C32" s="346">
        <f>(VN!C82-CMVMC!C18-FSE!F51-Investimento!C31)/4</f>
        <v>483.12723500000084</v>
      </c>
      <c r="D32" s="346">
        <f>(VN!D82-CMVMC!D18-FSE!G51-Investimento!D31)/4</f>
        <v>4130.9648387299994</v>
      </c>
      <c r="E32" s="346">
        <f>(VN!E82-CMVMC!E18-FSE!H51-Investimento!E31)/4</f>
        <v>5498.6324784433682</v>
      </c>
      <c r="F32" s="346">
        <f>(VN!F82-CMVMC!F18-FSE!I51-Investimento!F31)/4</f>
        <v>6816.4990054829814</v>
      </c>
      <c r="G32" s="346">
        <f>(VN!G82-CMVMC!G18-FSE!J51-Investimento!G31)/4</f>
        <v>8217.6969660634295</v>
      </c>
      <c r="H32" s="346">
        <f>(VN!H82-CMVMC!H18-FSE!K51-Investimento!H31)/4</f>
        <v>8930.9761526237908</v>
      </c>
    </row>
    <row r="33" spans="5:5">
      <c r="E33" s="192"/>
    </row>
    <row r="34" spans="5:5">
      <c r="E34" s="192"/>
    </row>
    <row r="35" spans="5:5">
      <c r="E35" s="192"/>
    </row>
    <row r="36" spans="5:5">
      <c r="E36" s="192"/>
    </row>
    <row r="37" spans="5:5">
      <c r="E37" s="192"/>
    </row>
  </sheetData>
  <sheetProtection password="8318" sheet="1"/>
  <mergeCells count="6">
    <mergeCell ref="A4:H4"/>
    <mergeCell ref="A15:B15"/>
    <mergeCell ref="A20:B20"/>
    <mergeCell ref="A19:B19"/>
    <mergeCell ref="A13:B13"/>
    <mergeCell ref="A14:B14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93" orientation="portrait" r:id="rId1"/>
  <headerFooter alignWithMargins="0">
    <oddFooter>&amp;C&amp;"Arial,Normal"&amp;8IAPMEI&amp;R&amp;"Arial,Normal"&amp;8&amp;P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olha3"/>
  <dimension ref="A1:H180"/>
  <sheetViews>
    <sheetView showGridLines="0" showZeros="0" topLeftCell="A4" workbookViewId="0">
      <selection activeCell="H27" sqref="H27"/>
    </sheetView>
  </sheetViews>
  <sheetFormatPr defaultColWidth="8.7109375" defaultRowHeight="12.75"/>
  <cols>
    <col min="1" max="1" width="35.7109375" style="194" customWidth="1"/>
    <col min="2" max="2" width="8.7109375" style="194" customWidth="1"/>
    <col min="3" max="8" width="9.7109375" style="194" customWidth="1"/>
    <col min="9" max="9" width="3.42578125" style="194" customWidth="1"/>
    <col min="10" max="10" width="2.7109375" style="194" customWidth="1"/>
    <col min="11" max="16384" width="8.7109375" style="194"/>
  </cols>
  <sheetData>
    <row r="1" spans="1:8" s="93" customFormat="1" ht="13.5">
      <c r="A1" s="83"/>
      <c r="B1" s="83"/>
      <c r="C1" s="73"/>
      <c r="D1" s="73"/>
      <c r="E1" s="73"/>
      <c r="F1" s="73"/>
      <c r="G1" s="118" t="s">
        <v>65</v>
      </c>
      <c r="H1" s="119" t="str">
        <f>+Pressupostos!E1</f>
        <v>ALI,Conserva&amp;Limpa, Lda</v>
      </c>
    </row>
    <row r="2" spans="1:8" s="93" customFormat="1">
      <c r="A2" s="77"/>
      <c r="B2" s="73"/>
      <c r="C2" s="73"/>
      <c r="D2" s="73"/>
      <c r="E2" s="73"/>
      <c r="F2" s="73"/>
      <c r="G2" s="83"/>
      <c r="H2" s="78" t="str">
        <f>+Pressupostos!B9</f>
        <v>Euros</v>
      </c>
    </row>
    <row r="3" spans="1:8" s="93" customFormat="1">
      <c r="A3" s="77"/>
      <c r="B3" s="73"/>
      <c r="C3" s="73"/>
      <c r="D3" s="73"/>
      <c r="E3" s="73"/>
      <c r="F3" s="73"/>
      <c r="G3" s="83"/>
      <c r="H3" s="78"/>
    </row>
    <row r="4" spans="1:8" s="93" customFormat="1" ht="15.75">
      <c r="A4" s="462" t="s">
        <v>57</v>
      </c>
      <c r="B4" s="462"/>
      <c r="C4" s="462"/>
      <c r="D4" s="462"/>
      <c r="E4" s="462"/>
      <c r="F4" s="462"/>
      <c r="G4" s="462"/>
      <c r="H4" s="462"/>
    </row>
    <row r="5" spans="1:8">
      <c r="A5" s="193"/>
      <c r="B5" s="193"/>
      <c r="C5" s="193"/>
      <c r="D5" s="193"/>
      <c r="E5" s="193"/>
      <c r="F5" s="193"/>
      <c r="G5" s="193"/>
      <c r="H5" s="193"/>
    </row>
    <row r="6" spans="1:8">
      <c r="A6" s="195"/>
      <c r="B6" s="195"/>
      <c r="C6" s="196"/>
      <c r="D6" s="196"/>
      <c r="E6" s="196"/>
      <c r="F6" s="196"/>
      <c r="G6" s="196"/>
      <c r="H6" s="196"/>
    </row>
    <row r="7" spans="1:8">
      <c r="A7" s="494" t="s">
        <v>237</v>
      </c>
      <c r="B7" s="494"/>
      <c r="C7" s="197">
        <f>+VN!C8</f>
        <v>2011</v>
      </c>
      <c r="D7" s="197">
        <f>+VN!D8</f>
        <v>2012</v>
      </c>
      <c r="E7" s="197">
        <f>+VN!E8</f>
        <v>2013</v>
      </c>
      <c r="F7" s="197">
        <f>+VN!F8</f>
        <v>2014</v>
      </c>
      <c r="G7" s="197">
        <f>+VN!G8</f>
        <v>2015</v>
      </c>
      <c r="H7" s="197">
        <f>+VN!H8</f>
        <v>2016</v>
      </c>
    </row>
    <row r="8" spans="1:8">
      <c r="A8" s="198" t="s">
        <v>269</v>
      </c>
      <c r="B8" s="212"/>
      <c r="C8" s="197"/>
      <c r="D8" s="197"/>
      <c r="E8" s="197"/>
      <c r="F8" s="197"/>
      <c r="G8" s="197"/>
      <c r="H8" s="197"/>
    </row>
    <row r="9" spans="1:8">
      <c r="A9" s="350" t="s">
        <v>270</v>
      </c>
      <c r="B9" s="212"/>
      <c r="C9" s="64"/>
      <c r="D9" s="64"/>
      <c r="E9" s="64"/>
      <c r="F9" s="64"/>
      <c r="G9" s="64"/>
      <c r="H9" s="64"/>
    </row>
    <row r="10" spans="1:8">
      <c r="A10" s="350" t="s">
        <v>271</v>
      </c>
      <c r="B10" s="212"/>
      <c r="C10" s="64"/>
      <c r="D10" s="64"/>
      <c r="E10" s="64"/>
      <c r="F10" s="64"/>
      <c r="G10" s="64"/>
      <c r="H10" s="64"/>
    </row>
    <row r="11" spans="1:8">
      <c r="A11" s="350" t="s">
        <v>272</v>
      </c>
      <c r="B11" s="212"/>
      <c r="C11" s="64"/>
      <c r="D11" s="64"/>
      <c r="E11" s="64"/>
      <c r="F11" s="64"/>
      <c r="G11" s="64"/>
      <c r="H11" s="64"/>
    </row>
    <row r="12" spans="1:8">
      <c r="A12" s="490" t="s">
        <v>273</v>
      </c>
      <c r="B12" s="491"/>
      <c r="C12" s="356">
        <f t="shared" ref="C12:H12" si="0">+SUM(C9:C11)</f>
        <v>0</v>
      </c>
      <c r="D12" s="356">
        <f t="shared" si="0"/>
        <v>0</v>
      </c>
      <c r="E12" s="356">
        <f t="shared" si="0"/>
        <v>0</v>
      </c>
      <c r="F12" s="356">
        <f t="shared" si="0"/>
        <v>0</v>
      </c>
      <c r="G12" s="356">
        <f t="shared" si="0"/>
        <v>0</v>
      </c>
      <c r="H12" s="356">
        <f t="shared" si="0"/>
        <v>0</v>
      </c>
    </row>
    <row r="13" spans="1:8">
      <c r="A13" s="198" t="s">
        <v>274</v>
      </c>
      <c r="B13" s="199"/>
      <c r="C13" s="201"/>
      <c r="D13" s="201"/>
      <c r="E13" s="201"/>
      <c r="F13" s="201"/>
      <c r="G13" s="201"/>
      <c r="H13" s="201"/>
    </row>
    <row r="14" spans="1:8">
      <c r="A14" s="350" t="s">
        <v>406</v>
      </c>
      <c r="B14" s="199"/>
      <c r="C14" s="64"/>
      <c r="D14" s="64"/>
      <c r="E14" s="64"/>
      <c r="F14" s="64"/>
      <c r="G14" s="64"/>
      <c r="H14" s="64"/>
    </row>
    <row r="15" spans="1:8">
      <c r="A15" s="350" t="s">
        <v>364</v>
      </c>
      <c r="B15" s="199"/>
      <c r="C15" s="64"/>
      <c r="D15" s="64"/>
      <c r="E15" s="64"/>
      <c r="F15" s="64"/>
      <c r="G15" s="64"/>
      <c r="H15" s="64"/>
    </row>
    <row r="16" spans="1:8">
      <c r="A16" s="350" t="s">
        <v>367</v>
      </c>
      <c r="B16" s="199"/>
      <c r="C16" s="64">
        <v>41518</v>
      </c>
      <c r="D16" s="64">
        <v>1277</v>
      </c>
      <c r="E16" s="64"/>
      <c r="F16" s="64"/>
      <c r="G16" s="64"/>
      <c r="H16" s="64"/>
    </row>
    <row r="17" spans="1:8">
      <c r="A17" s="350" t="s">
        <v>368</v>
      </c>
      <c r="B17" s="199"/>
      <c r="C17" s="64">
        <v>16178.86</v>
      </c>
      <c r="D17" s="64"/>
      <c r="E17" s="64"/>
      <c r="F17" s="64">
        <v>21951</v>
      </c>
      <c r="G17" s="64"/>
      <c r="H17" s="64"/>
    </row>
    <row r="18" spans="1:8">
      <c r="A18" s="350" t="s">
        <v>369</v>
      </c>
      <c r="B18" s="199"/>
      <c r="C18" s="64">
        <v>3127.63</v>
      </c>
      <c r="D18" s="64"/>
      <c r="E18" s="64"/>
      <c r="F18" s="64"/>
      <c r="G18" s="64"/>
      <c r="H18" s="64"/>
    </row>
    <row r="19" spans="1:8">
      <c r="A19" s="350" t="s">
        <v>275</v>
      </c>
      <c r="B19" s="199"/>
      <c r="C19" s="64"/>
      <c r="D19" s="64"/>
      <c r="E19" s="64"/>
      <c r="F19" s="64"/>
      <c r="G19" s="64"/>
      <c r="H19" s="64"/>
    </row>
    <row r="20" spans="1:8">
      <c r="A20" s="350" t="s">
        <v>370</v>
      </c>
      <c r="B20" s="199"/>
      <c r="C20" s="64"/>
      <c r="D20" s="64"/>
      <c r="E20" s="64"/>
      <c r="F20" s="64"/>
      <c r="G20" s="64"/>
      <c r="H20" s="64"/>
    </row>
    <row r="21" spans="1:8">
      <c r="A21" s="488" t="s">
        <v>331</v>
      </c>
      <c r="B21" s="489"/>
      <c r="C21" s="202">
        <f t="shared" ref="C21:H21" si="1">+SUM(C14:C20)</f>
        <v>60824.49</v>
      </c>
      <c r="D21" s="202">
        <f t="shared" si="1"/>
        <v>1277</v>
      </c>
      <c r="E21" s="202">
        <f t="shared" si="1"/>
        <v>0</v>
      </c>
      <c r="F21" s="202">
        <f t="shared" si="1"/>
        <v>21951</v>
      </c>
      <c r="G21" s="202">
        <f t="shared" si="1"/>
        <v>0</v>
      </c>
      <c r="H21" s="202">
        <f t="shared" si="1"/>
        <v>0</v>
      </c>
    </row>
    <row r="22" spans="1:8">
      <c r="A22" s="198" t="s">
        <v>323</v>
      </c>
      <c r="B22" s="199"/>
      <c r="C22" s="210"/>
      <c r="D22" s="210"/>
      <c r="E22" s="210"/>
      <c r="F22" s="210"/>
      <c r="G22" s="210"/>
      <c r="H22" s="210"/>
    </row>
    <row r="23" spans="1:8">
      <c r="A23" s="350" t="s">
        <v>332</v>
      </c>
      <c r="B23" s="199"/>
      <c r="C23" s="64"/>
      <c r="D23" s="64"/>
      <c r="E23" s="64"/>
      <c r="F23" s="64"/>
      <c r="G23" s="64"/>
      <c r="H23" s="64"/>
    </row>
    <row r="24" spans="1:8">
      <c r="A24" s="350" t="s">
        <v>333</v>
      </c>
      <c r="B24" s="199"/>
      <c r="C24" s="64"/>
      <c r="D24" s="64"/>
      <c r="E24" s="64"/>
      <c r="F24" s="64"/>
      <c r="G24" s="64"/>
      <c r="H24" s="64"/>
    </row>
    <row r="25" spans="1:8">
      <c r="A25" s="350" t="s">
        <v>334</v>
      </c>
      <c r="B25" s="199"/>
      <c r="C25" s="64">
        <v>5452.47</v>
      </c>
      <c r="D25" s="64"/>
      <c r="E25" s="64"/>
      <c r="F25" s="64"/>
      <c r="G25" s="64"/>
      <c r="H25" s="64"/>
    </row>
    <row r="26" spans="1:8">
      <c r="A26" s="350" t="s">
        <v>335</v>
      </c>
      <c r="B26" s="199"/>
      <c r="C26" s="64">
        <v>1900</v>
      </c>
      <c r="D26" s="64"/>
      <c r="E26" s="64"/>
      <c r="F26" s="64"/>
      <c r="G26" s="64"/>
      <c r="H26" s="64"/>
    </row>
    <row r="27" spans="1:8">
      <c r="A27" s="350" t="s">
        <v>336</v>
      </c>
      <c r="B27" s="199"/>
      <c r="C27" s="64"/>
      <c r="D27" s="64"/>
      <c r="E27" s="64"/>
      <c r="F27" s="64"/>
      <c r="G27" s="64"/>
      <c r="H27" s="64"/>
    </row>
    <row r="28" spans="1:8">
      <c r="A28" s="488" t="s">
        <v>330</v>
      </c>
      <c r="B28" s="489"/>
      <c r="C28" s="202">
        <f t="shared" ref="C28:H28" si="2">+SUM(C23:C27)</f>
        <v>7352.47</v>
      </c>
      <c r="D28" s="202">
        <f t="shared" si="2"/>
        <v>0</v>
      </c>
      <c r="E28" s="202">
        <f t="shared" si="2"/>
        <v>0</v>
      </c>
      <c r="F28" s="202">
        <f t="shared" si="2"/>
        <v>0</v>
      </c>
      <c r="G28" s="202">
        <f t="shared" si="2"/>
        <v>0</v>
      </c>
      <c r="H28" s="202">
        <f t="shared" si="2"/>
        <v>0</v>
      </c>
    </row>
    <row r="29" spans="1:8" ht="13.5" thickBot="1">
      <c r="A29" s="498" t="s">
        <v>242</v>
      </c>
      <c r="B29" s="498"/>
      <c r="C29" s="203">
        <f t="shared" ref="C29:H29" si="3">+C12+C21+C28</f>
        <v>68176.959999999992</v>
      </c>
      <c r="D29" s="203">
        <f t="shared" si="3"/>
        <v>1277</v>
      </c>
      <c r="E29" s="203">
        <f t="shared" si="3"/>
        <v>0</v>
      </c>
      <c r="F29" s="203">
        <f t="shared" si="3"/>
        <v>21951</v>
      </c>
      <c r="G29" s="203">
        <f t="shared" si="3"/>
        <v>0</v>
      </c>
      <c r="H29" s="203">
        <f t="shared" si="3"/>
        <v>0</v>
      </c>
    </row>
    <row r="30" spans="1:8" ht="13.5" thickTop="1">
      <c r="A30" s="204"/>
      <c r="B30" s="204"/>
      <c r="C30" s="205"/>
      <c r="D30" s="205"/>
      <c r="E30" s="205"/>
      <c r="F30" s="205"/>
      <c r="G30" s="205"/>
      <c r="H30" s="205"/>
    </row>
    <row r="31" spans="1:8" ht="13.5" thickBot="1">
      <c r="A31" s="206" t="s">
        <v>64</v>
      </c>
      <c r="B31" s="332">
        <f>+Pressupostos!B21</f>
        <v>0.23</v>
      </c>
      <c r="C31" s="203">
        <f t="shared" ref="C31:H31" si="4">+$B$31*(C16+C18+C20)</f>
        <v>10268.4949</v>
      </c>
      <c r="D31" s="203">
        <f t="shared" si="4"/>
        <v>293.71000000000004</v>
      </c>
      <c r="E31" s="203">
        <f t="shared" si="4"/>
        <v>0</v>
      </c>
      <c r="F31" s="203">
        <f t="shared" si="4"/>
        <v>0</v>
      </c>
      <c r="G31" s="203">
        <f t="shared" si="4"/>
        <v>0</v>
      </c>
      <c r="H31" s="203">
        <f t="shared" si="4"/>
        <v>0</v>
      </c>
    </row>
    <row r="32" spans="1:8" ht="13.5" thickTop="1">
      <c r="A32" s="207"/>
      <c r="B32" s="208"/>
      <c r="C32" s="209"/>
      <c r="D32" s="209"/>
      <c r="E32" s="209"/>
      <c r="F32" s="209"/>
      <c r="G32" s="209"/>
      <c r="H32" s="209"/>
    </row>
    <row r="33" spans="1:8">
      <c r="A33" s="494" t="s">
        <v>377</v>
      </c>
      <c r="B33" s="494"/>
      <c r="C33" s="197">
        <f t="shared" ref="C33:H33" si="5">+C7</f>
        <v>2011</v>
      </c>
      <c r="D33" s="197">
        <f t="shared" si="5"/>
        <v>2012</v>
      </c>
      <c r="E33" s="197">
        <f t="shared" si="5"/>
        <v>2013</v>
      </c>
      <c r="F33" s="197">
        <f t="shared" si="5"/>
        <v>2014</v>
      </c>
      <c r="G33" s="197">
        <f t="shared" si="5"/>
        <v>2015</v>
      </c>
      <c r="H33" s="197">
        <f t="shared" si="5"/>
        <v>2016</v>
      </c>
    </row>
    <row r="34" spans="1:8">
      <c r="A34" s="198" t="s">
        <v>269</v>
      </c>
      <c r="B34" s="212"/>
      <c r="C34" s="357"/>
      <c r="D34" s="357"/>
      <c r="E34" s="357"/>
      <c r="F34" s="357"/>
      <c r="G34" s="357"/>
      <c r="H34" s="357"/>
    </row>
    <row r="35" spans="1:8">
      <c r="A35" s="350" t="s">
        <v>270</v>
      </c>
      <c r="B35" s="212"/>
      <c r="C35" s="354">
        <f>+C9</f>
        <v>0</v>
      </c>
      <c r="D35" s="354">
        <f>+C35+D9</f>
        <v>0</v>
      </c>
      <c r="E35" s="354">
        <f>+D35+E9</f>
        <v>0</v>
      </c>
      <c r="F35" s="354">
        <f>+E35+F9</f>
        <v>0</v>
      </c>
      <c r="G35" s="354">
        <f>+F35+G9</f>
        <v>0</v>
      </c>
      <c r="H35" s="354">
        <f>+G35+H9</f>
        <v>0</v>
      </c>
    </row>
    <row r="36" spans="1:8">
      <c r="A36" s="350" t="s">
        <v>271</v>
      </c>
      <c r="B36" s="212"/>
      <c r="C36" s="354">
        <f>+C10</f>
        <v>0</v>
      </c>
      <c r="D36" s="354">
        <f t="shared" ref="D36:H37" si="6">+C36+D10</f>
        <v>0</v>
      </c>
      <c r="E36" s="354">
        <f t="shared" si="6"/>
        <v>0</v>
      </c>
      <c r="F36" s="354">
        <f t="shared" si="6"/>
        <v>0</v>
      </c>
      <c r="G36" s="354">
        <f t="shared" si="6"/>
        <v>0</v>
      </c>
      <c r="H36" s="354">
        <f t="shared" si="6"/>
        <v>0</v>
      </c>
    </row>
    <row r="37" spans="1:8">
      <c r="A37" s="350" t="s">
        <v>272</v>
      </c>
      <c r="B37" s="212"/>
      <c r="C37" s="354">
        <f>+C11</f>
        <v>0</v>
      </c>
      <c r="D37" s="354">
        <f t="shared" si="6"/>
        <v>0</v>
      </c>
      <c r="E37" s="354">
        <f t="shared" si="6"/>
        <v>0</v>
      </c>
      <c r="F37" s="354">
        <f t="shared" si="6"/>
        <v>0</v>
      </c>
      <c r="G37" s="354">
        <f t="shared" si="6"/>
        <v>0</v>
      </c>
      <c r="H37" s="354">
        <f t="shared" si="6"/>
        <v>0</v>
      </c>
    </row>
    <row r="38" spans="1:8">
      <c r="A38" s="490" t="s">
        <v>273</v>
      </c>
      <c r="B38" s="491"/>
      <c r="C38" s="353">
        <f t="shared" ref="C38:H38" si="7">+SUM(C35:C37)</f>
        <v>0</v>
      </c>
      <c r="D38" s="353">
        <f t="shared" si="7"/>
        <v>0</v>
      </c>
      <c r="E38" s="353">
        <f t="shared" si="7"/>
        <v>0</v>
      </c>
      <c r="F38" s="353">
        <f t="shared" si="7"/>
        <v>0</v>
      </c>
      <c r="G38" s="353">
        <f t="shared" si="7"/>
        <v>0</v>
      </c>
      <c r="H38" s="353">
        <f t="shared" si="7"/>
        <v>0</v>
      </c>
    </row>
    <row r="39" spans="1:8">
      <c r="A39" s="198" t="s">
        <v>274</v>
      </c>
      <c r="B39" s="199"/>
      <c r="C39" s="353"/>
      <c r="D39" s="353"/>
      <c r="E39" s="353"/>
      <c r="F39" s="353"/>
      <c r="G39" s="353"/>
      <c r="H39" s="353"/>
    </row>
    <row r="40" spans="1:8">
      <c r="A40" s="200" t="s">
        <v>361</v>
      </c>
      <c r="B40" s="199"/>
      <c r="C40" s="353">
        <f>+C14</f>
        <v>0</v>
      </c>
      <c r="D40" s="353">
        <f t="shared" ref="D40:H44" si="8">+C40+D14</f>
        <v>0</v>
      </c>
      <c r="E40" s="353">
        <f t="shared" si="8"/>
        <v>0</v>
      </c>
      <c r="F40" s="353">
        <f t="shared" si="8"/>
        <v>0</v>
      </c>
      <c r="G40" s="353">
        <f t="shared" si="8"/>
        <v>0</v>
      </c>
      <c r="H40" s="353">
        <f t="shared" si="8"/>
        <v>0</v>
      </c>
    </row>
    <row r="41" spans="1:8">
      <c r="A41" s="200" t="s">
        <v>238</v>
      </c>
      <c r="B41" s="199"/>
      <c r="C41" s="354">
        <f t="shared" ref="C41:C46" si="9">+C15</f>
        <v>0</v>
      </c>
      <c r="D41" s="354">
        <f t="shared" si="8"/>
        <v>0</v>
      </c>
      <c r="E41" s="354">
        <f t="shared" si="8"/>
        <v>0</v>
      </c>
      <c r="F41" s="354">
        <f t="shared" si="8"/>
        <v>0</v>
      </c>
      <c r="G41" s="354">
        <f t="shared" si="8"/>
        <v>0</v>
      </c>
      <c r="H41" s="354">
        <f t="shared" si="8"/>
        <v>0</v>
      </c>
    </row>
    <row r="42" spans="1:8">
      <c r="A42" s="200" t="s">
        <v>239</v>
      </c>
      <c r="B42" s="199"/>
      <c r="C42" s="354">
        <f t="shared" si="9"/>
        <v>41518</v>
      </c>
      <c r="D42" s="354">
        <f t="shared" si="8"/>
        <v>42795</v>
      </c>
      <c r="E42" s="354">
        <f t="shared" si="8"/>
        <v>42795</v>
      </c>
      <c r="F42" s="354">
        <f t="shared" si="8"/>
        <v>42795</v>
      </c>
      <c r="G42" s="354">
        <f t="shared" si="8"/>
        <v>42795</v>
      </c>
      <c r="H42" s="354">
        <f t="shared" si="8"/>
        <v>42795</v>
      </c>
    </row>
    <row r="43" spans="1:8">
      <c r="A43" s="200" t="s">
        <v>240</v>
      </c>
      <c r="B43" s="199"/>
      <c r="C43" s="354">
        <f t="shared" si="9"/>
        <v>16178.86</v>
      </c>
      <c r="D43" s="354">
        <f t="shared" si="8"/>
        <v>16178.86</v>
      </c>
      <c r="E43" s="354">
        <f t="shared" si="8"/>
        <v>16178.86</v>
      </c>
      <c r="F43" s="354">
        <f t="shared" si="8"/>
        <v>38129.86</v>
      </c>
      <c r="G43" s="354">
        <f t="shared" si="8"/>
        <v>38129.86</v>
      </c>
      <c r="H43" s="354">
        <f t="shared" si="8"/>
        <v>38129.86</v>
      </c>
    </row>
    <row r="44" spans="1:8">
      <c r="A44" s="200" t="s">
        <v>241</v>
      </c>
      <c r="B44" s="199"/>
      <c r="C44" s="354">
        <f t="shared" si="9"/>
        <v>3127.63</v>
      </c>
      <c r="D44" s="354">
        <f t="shared" si="8"/>
        <v>3127.63</v>
      </c>
      <c r="E44" s="354">
        <f t="shared" si="8"/>
        <v>3127.63</v>
      </c>
      <c r="F44" s="354">
        <f t="shared" si="8"/>
        <v>3127.63</v>
      </c>
      <c r="G44" s="354">
        <f t="shared" si="8"/>
        <v>3127.63</v>
      </c>
      <c r="H44" s="354">
        <f t="shared" si="8"/>
        <v>3127.63</v>
      </c>
    </row>
    <row r="45" spans="1:8">
      <c r="A45" s="200" t="s">
        <v>407</v>
      </c>
      <c r="B45" s="199"/>
      <c r="C45" s="354">
        <f t="shared" si="9"/>
        <v>0</v>
      </c>
      <c r="D45" s="354">
        <f t="shared" ref="D45:H46" si="10">+C45+D19</f>
        <v>0</v>
      </c>
      <c r="E45" s="354">
        <f t="shared" si="10"/>
        <v>0</v>
      </c>
      <c r="F45" s="354">
        <f t="shared" si="10"/>
        <v>0</v>
      </c>
      <c r="G45" s="354">
        <f t="shared" si="10"/>
        <v>0</v>
      </c>
      <c r="H45" s="354">
        <f t="shared" si="10"/>
        <v>0</v>
      </c>
    </row>
    <row r="46" spans="1:8">
      <c r="A46" s="200" t="s">
        <v>276</v>
      </c>
      <c r="B46" s="199"/>
      <c r="C46" s="354">
        <f t="shared" si="9"/>
        <v>0</v>
      </c>
      <c r="D46" s="354">
        <f t="shared" si="10"/>
        <v>0</v>
      </c>
      <c r="E46" s="354">
        <f t="shared" si="10"/>
        <v>0</v>
      </c>
      <c r="F46" s="354">
        <f t="shared" si="10"/>
        <v>0</v>
      </c>
      <c r="G46" s="354">
        <f t="shared" si="10"/>
        <v>0</v>
      </c>
      <c r="H46" s="354">
        <f t="shared" si="10"/>
        <v>0</v>
      </c>
    </row>
    <row r="47" spans="1:8">
      <c r="A47" s="488" t="s">
        <v>331</v>
      </c>
      <c r="B47" s="489"/>
      <c r="C47" s="355">
        <f t="shared" ref="C47:H47" si="11">+SUM(C40:C46)</f>
        <v>60824.49</v>
      </c>
      <c r="D47" s="355">
        <f t="shared" si="11"/>
        <v>62101.49</v>
      </c>
      <c r="E47" s="355">
        <f t="shared" si="11"/>
        <v>62101.49</v>
      </c>
      <c r="F47" s="355">
        <f t="shared" si="11"/>
        <v>84052.49</v>
      </c>
      <c r="G47" s="355">
        <f t="shared" si="11"/>
        <v>84052.49</v>
      </c>
      <c r="H47" s="355">
        <f t="shared" si="11"/>
        <v>84052.49</v>
      </c>
    </row>
    <row r="48" spans="1:8">
      <c r="A48" s="198" t="s">
        <v>323</v>
      </c>
      <c r="B48" s="199"/>
      <c r="C48" s="358"/>
      <c r="D48" s="358"/>
      <c r="E48" s="358"/>
      <c r="F48" s="358"/>
      <c r="G48" s="358"/>
      <c r="H48" s="358"/>
    </row>
    <row r="49" spans="1:8">
      <c r="A49" s="350" t="s">
        <v>332</v>
      </c>
      <c r="B49" s="199"/>
      <c r="C49" s="210">
        <f>+C23</f>
        <v>0</v>
      </c>
      <c r="D49" s="210">
        <f t="shared" ref="D49:H51" si="12">+C49+D23</f>
        <v>0</v>
      </c>
      <c r="E49" s="210">
        <f t="shared" si="12"/>
        <v>0</v>
      </c>
      <c r="F49" s="210">
        <f t="shared" si="12"/>
        <v>0</v>
      </c>
      <c r="G49" s="210">
        <f t="shared" si="12"/>
        <v>0</v>
      </c>
      <c r="H49" s="210">
        <f t="shared" si="12"/>
        <v>0</v>
      </c>
    </row>
    <row r="50" spans="1:8">
      <c r="A50" s="350" t="s">
        <v>333</v>
      </c>
      <c r="B50" s="199"/>
      <c r="C50" s="210">
        <f>+C24</f>
        <v>0</v>
      </c>
      <c r="D50" s="210">
        <f t="shared" si="12"/>
        <v>0</v>
      </c>
      <c r="E50" s="210">
        <f t="shared" si="12"/>
        <v>0</v>
      </c>
      <c r="F50" s="210">
        <f t="shared" si="12"/>
        <v>0</v>
      </c>
      <c r="G50" s="210">
        <f t="shared" si="12"/>
        <v>0</v>
      </c>
      <c r="H50" s="210">
        <f t="shared" si="12"/>
        <v>0</v>
      </c>
    </row>
    <row r="51" spans="1:8">
      <c r="A51" s="350" t="s">
        <v>334</v>
      </c>
      <c r="B51" s="199"/>
      <c r="C51" s="210">
        <f>+C25</f>
        <v>5452.47</v>
      </c>
      <c r="D51" s="210">
        <f t="shared" si="12"/>
        <v>5452.47</v>
      </c>
      <c r="E51" s="210">
        <f t="shared" si="12"/>
        <v>5452.47</v>
      </c>
      <c r="F51" s="210">
        <f t="shared" si="12"/>
        <v>5452.47</v>
      </c>
      <c r="G51" s="210">
        <f t="shared" si="12"/>
        <v>5452.47</v>
      </c>
      <c r="H51" s="210">
        <f t="shared" si="12"/>
        <v>5452.47</v>
      </c>
    </row>
    <row r="52" spans="1:8">
      <c r="A52" s="350" t="s">
        <v>335</v>
      </c>
      <c r="B52" s="199"/>
      <c r="C52" s="210">
        <f>+C26</f>
        <v>1900</v>
      </c>
      <c r="D52" s="210">
        <f t="shared" ref="D52:H53" si="13">+C52+D26</f>
        <v>1900</v>
      </c>
      <c r="E52" s="210">
        <f t="shared" si="13"/>
        <v>1900</v>
      </c>
      <c r="F52" s="210">
        <f t="shared" si="13"/>
        <v>1900</v>
      </c>
      <c r="G52" s="210">
        <f t="shared" si="13"/>
        <v>1900</v>
      </c>
      <c r="H52" s="210">
        <f t="shared" si="13"/>
        <v>1900</v>
      </c>
    </row>
    <row r="53" spans="1:8">
      <c r="A53" s="350" t="s">
        <v>336</v>
      </c>
      <c r="B53" s="199"/>
      <c r="C53" s="210">
        <f>+C27</f>
        <v>0</v>
      </c>
      <c r="D53" s="210">
        <f t="shared" si="13"/>
        <v>0</v>
      </c>
      <c r="E53" s="210">
        <f t="shared" si="13"/>
        <v>0</v>
      </c>
      <c r="F53" s="210">
        <f t="shared" si="13"/>
        <v>0</v>
      </c>
      <c r="G53" s="210">
        <f t="shared" si="13"/>
        <v>0</v>
      </c>
      <c r="H53" s="210">
        <f t="shared" si="13"/>
        <v>0</v>
      </c>
    </row>
    <row r="54" spans="1:8">
      <c r="A54" s="488" t="s">
        <v>330</v>
      </c>
      <c r="B54" s="489"/>
      <c r="C54" s="355">
        <f t="shared" ref="C54:H54" si="14">+SUM(C49:C53)</f>
        <v>7352.47</v>
      </c>
      <c r="D54" s="355">
        <f t="shared" si="14"/>
        <v>7352.47</v>
      </c>
      <c r="E54" s="355">
        <f t="shared" si="14"/>
        <v>7352.47</v>
      </c>
      <c r="F54" s="355">
        <f t="shared" si="14"/>
        <v>7352.47</v>
      </c>
      <c r="G54" s="355">
        <f t="shared" si="14"/>
        <v>7352.47</v>
      </c>
      <c r="H54" s="355">
        <f t="shared" si="14"/>
        <v>7352.47</v>
      </c>
    </row>
    <row r="55" spans="1:8" ht="13.5" thickBot="1">
      <c r="A55" s="498" t="s">
        <v>360</v>
      </c>
      <c r="B55" s="498"/>
      <c r="C55" s="203">
        <f t="shared" ref="C55:H55" si="15">+C38+C47+C54</f>
        <v>68176.959999999992</v>
      </c>
      <c r="D55" s="203">
        <f t="shared" si="15"/>
        <v>69453.959999999992</v>
      </c>
      <c r="E55" s="203">
        <f t="shared" si="15"/>
        <v>69453.959999999992</v>
      </c>
      <c r="F55" s="203">
        <f t="shared" si="15"/>
        <v>91404.96</v>
      </c>
      <c r="G55" s="203">
        <f t="shared" si="15"/>
        <v>91404.96</v>
      </c>
      <c r="H55" s="203">
        <f t="shared" si="15"/>
        <v>91404.96</v>
      </c>
    </row>
    <row r="56" spans="1:8" ht="13.5" thickTop="1">
      <c r="A56" s="208"/>
      <c r="B56" s="208"/>
      <c r="C56" s="209"/>
      <c r="D56" s="209"/>
      <c r="E56" s="209"/>
      <c r="F56" s="209"/>
      <c r="G56" s="209"/>
      <c r="H56" s="209"/>
    </row>
    <row r="57" spans="1:8">
      <c r="A57" s="208"/>
      <c r="B57" s="208"/>
      <c r="C57" s="209"/>
      <c r="D57" s="209"/>
      <c r="E57" s="209"/>
      <c r="F57" s="209"/>
      <c r="G57" s="209"/>
      <c r="H57" s="209"/>
    </row>
    <row r="58" spans="1:8">
      <c r="A58" s="495" t="s">
        <v>366</v>
      </c>
      <c r="B58" s="496"/>
      <c r="C58" s="497"/>
      <c r="D58" s="209"/>
      <c r="E58" s="209"/>
      <c r="F58" s="209"/>
      <c r="G58" s="209"/>
      <c r="H58" s="209"/>
    </row>
    <row r="59" spans="1:8">
      <c r="A59" s="359" t="s">
        <v>269</v>
      </c>
      <c r="B59" s="360"/>
      <c r="C59" s="361"/>
      <c r="D59" s="209"/>
      <c r="E59" s="209"/>
      <c r="F59" s="209"/>
      <c r="G59" s="209"/>
      <c r="H59" s="209"/>
    </row>
    <row r="60" spans="1:8">
      <c r="A60" s="350" t="s">
        <v>271</v>
      </c>
      <c r="B60" s="199"/>
      <c r="C60" s="362"/>
      <c r="D60" s="209"/>
      <c r="E60" s="209"/>
      <c r="F60" s="209"/>
      <c r="G60" s="209"/>
      <c r="H60" s="209"/>
    </row>
    <row r="61" spans="1:8">
      <c r="A61" s="350" t="s">
        <v>272</v>
      </c>
      <c r="B61" s="199"/>
      <c r="C61" s="362"/>
      <c r="D61" s="209"/>
      <c r="E61" s="209"/>
      <c r="F61" s="209"/>
      <c r="G61" s="209"/>
      <c r="H61" s="209"/>
    </row>
    <row r="62" spans="1:8">
      <c r="A62" s="198" t="s">
        <v>274</v>
      </c>
      <c r="B62" s="199"/>
      <c r="C62" s="363"/>
      <c r="D62" s="209"/>
      <c r="E62" s="209"/>
      <c r="F62" s="209"/>
      <c r="G62" s="209"/>
      <c r="H62" s="209"/>
    </row>
    <row r="63" spans="1:8">
      <c r="A63" s="350" t="s">
        <v>364</v>
      </c>
      <c r="B63" s="199"/>
      <c r="C63" s="362"/>
      <c r="D63" s="209"/>
      <c r="E63" s="209"/>
      <c r="F63" s="209"/>
      <c r="G63" s="209"/>
      <c r="H63" s="209"/>
    </row>
    <row r="64" spans="1:8">
      <c r="A64" s="350" t="s">
        <v>367</v>
      </c>
      <c r="B64" s="199"/>
      <c r="C64" s="362">
        <v>0.25</v>
      </c>
      <c r="D64" s="209"/>
      <c r="E64" s="209"/>
      <c r="F64" s="209"/>
      <c r="G64" s="209"/>
      <c r="H64" s="209"/>
    </row>
    <row r="65" spans="1:8">
      <c r="A65" s="350" t="s">
        <v>368</v>
      </c>
      <c r="B65" s="199"/>
      <c r="C65" s="362">
        <v>0.2</v>
      </c>
      <c r="D65" s="209"/>
      <c r="E65" s="209"/>
      <c r="F65" s="209"/>
      <c r="G65" s="209"/>
      <c r="H65" s="209"/>
    </row>
    <row r="66" spans="1:8">
      <c r="A66" s="350" t="s">
        <v>369</v>
      </c>
      <c r="B66" s="199"/>
      <c r="C66" s="362">
        <v>0.25</v>
      </c>
      <c r="D66" s="209"/>
      <c r="E66" s="209"/>
      <c r="F66" s="209"/>
      <c r="G66" s="209"/>
      <c r="H66" s="209"/>
    </row>
    <row r="67" spans="1:8">
      <c r="A67" s="350" t="s">
        <v>275</v>
      </c>
      <c r="B67" s="199"/>
      <c r="C67" s="362"/>
      <c r="D67" s="209"/>
      <c r="E67" s="209"/>
      <c r="F67" s="209"/>
      <c r="G67" s="209"/>
      <c r="H67" s="209"/>
    </row>
    <row r="68" spans="1:8">
      <c r="A68" s="350" t="s">
        <v>370</v>
      </c>
      <c r="B68" s="199"/>
      <c r="C68" s="362"/>
      <c r="D68" s="209"/>
      <c r="E68" s="209"/>
      <c r="F68" s="209"/>
      <c r="G68" s="209"/>
      <c r="H68" s="209"/>
    </row>
    <row r="69" spans="1:8">
      <c r="A69" s="198" t="s">
        <v>323</v>
      </c>
      <c r="B69" s="199"/>
      <c r="C69" s="363"/>
      <c r="D69" s="209"/>
      <c r="E69" s="209"/>
      <c r="F69" s="209"/>
      <c r="G69" s="209"/>
      <c r="H69" s="209"/>
    </row>
    <row r="70" spans="1:8">
      <c r="A70" s="350" t="s">
        <v>333</v>
      </c>
      <c r="B70" s="199"/>
      <c r="C70" s="364"/>
      <c r="D70" s="365" t="s">
        <v>376</v>
      </c>
      <c r="E70" s="209"/>
      <c r="F70" s="209"/>
      <c r="G70" s="209"/>
      <c r="H70" s="209"/>
    </row>
    <row r="71" spans="1:8">
      <c r="A71" s="350" t="s">
        <v>334</v>
      </c>
      <c r="B71" s="199"/>
      <c r="C71" s="364">
        <f>100%/3</f>
        <v>0.33333333333333331</v>
      </c>
      <c r="D71" s="209"/>
      <c r="E71" s="209"/>
      <c r="F71" s="209"/>
      <c r="G71" s="209"/>
      <c r="H71" s="209"/>
    </row>
    <row r="72" spans="1:8">
      <c r="A72" s="350" t="s">
        <v>335</v>
      </c>
      <c r="B72" s="199"/>
      <c r="C72" s="364">
        <f>100%/3</f>
        <v>0.33333333333333331</v>
      </c>
      <c r="D72" s="209"/>
      <c r="E72" s="209"/>
      <c r="F72" s="209"/>
      <c r="G72" s="209"/>
      <c r="H72" s="209"/>
    </row>
    <row r="73" spans="1:8">
      <c r="A73" s="350" t="s">
        <v>336</v>
      </c>
      <c r="B73" s="199"/>
      <c r="C73" s="364"/>
      <c r="D73" s="209"/>
      <c r="E73" s="209"/>
      <c r="F73" s="209"/>
      <c r="G73" s="209"/>
      <c r="H73" s="209"/>
    </row>
    <row r="74" spans="1:8">
      <c r="A74" s="208"/>
      <c r="B74" s="208"/>
      <c r="C74" s="209"/>
      <c r="D74" s="209"/>
      <c r="E74" s="209"/>
      <c r="F74" s="209"/>
      <c r="G74" s="209"/>
      <c r="H74" s="209"/>
    </row>
    <row r="75" spans="1:8">
      <c r="A75" s="211" t="s">
        <v>363</v>
      </c>
      <c r="B75" s="212"/>
      <c r="C75" s="197">
        <f>+C7</f>
        <v>2011</v>
      </c>
      <c r="D75" s="197">
        <f>+C75+1</f>
        <v>2012</v>
      </c>
      <c r="E75" s="197">
        <f>+D75+1</f>
        <v>2013</v>
      </c>
      <c r="F75" s="197">
        <f>+E75+1</f>
        <v>2014</v>
      </c>
      <c r="G75" s="197">
        <f>+F75+1</f>
        <v>2015</v>
      </c>
      <c r="H75" s="197">
        <f>+G75+1</f>
        <v>2016</v>
      </c>
    </row>
    <row r="76" spans="1:8" hidden="1">
      <c r="A76" s="376" t="s">
        <v>269</v>
      </c>
      <c r="B76" s="199"/>
      <c r="C76" s="366"/>
      <c r="D76" s="366"/>
      <c r="E76" s="366"/>
      <c r="F76" s="366"/>
      <c r="G76" s="366"/>
      <c r="H76" s="366"/>
    </row>
    <row r="77" spans="1:8" hidden="1">
      <c r="A77" s="367" t="s">
        <v>271</v>
      </c>
      <c r="B77" s="368">
        <f>+C60</f>
        <v>0</v>
      </c>
      <c r="C77" s="369">
        <f t="shared" ref="C77:H77" si="16">SUM(C78:C83)</f>
        <v>0</v>
      </c>
      <c r="D77" s="369">
        <f t="shared" si="16"/>
        <v>0</v>
      </c>
      <c r="E77" s="369">
        <f t="shared" si="16"/>
        <v>0</v>
      </c>
      <c r="F77" s="369">
        <f t="shared" si="16"/>
        <v>0</v>
      </c>
      <c r="G77" s="369">
        <f t="shared" si="16"/>
        <v>0</v>
      </c>
      <c r="H77" s="369">
        <f t="shared" si="16"/>
        <v>0</v>
      </c>
    </row>
    <row r="78" spans="1:8" hidden="1">
      <c r="A78" s="370">
        <f>C75</f>
        <v>2011</v>
      </c>
      <c r="B78" s="368"/>
      <c r="C78" s="369">
        <f>+IF(C$10&lt;0,0,C$10*$B$77)</f>
        <v>0</v>
      </c>
      <c r="D78" s="369">
        <f>+IF(C78=0,0,+IF(ROUNDUP(SUM($C78:C78),0)&lt;$C$10,$C$10*$B$77,0))</f>
        <v>0</v>
      </c>
      <c r="E78" s="369">
        <f>+IF(D78=0,0,+IF(ROUNDUP(SUM($C78:D78),0)&lt;$C$10,$C$10*$B$77,0))</f>
        <v>0</v>
      </c>
      <c r="F78" s="369">
        <f>+IF(E78=0,0,+IF(ROUNDUP(SUM($C78:E78),0)&lt;$C$10,$C$10*$B$77,0))</f>
        <v>0</v>
      </c>
      <c r="G78" s="369">
        <f>+IF(F78=0,0,+IF(ROUNDUP(SUM($C78:F78),0)&lt;$C$10,$C$10*$B$77,0))</f>
        <v>0</v>
      </c>
      <c r="H78" s="369">
        <f>+IF(G78=0,0,+IF(ROUNDUP(SUM($C78:G78),0)&lt;$C$10,$C$10*$B$77,0))</f>
        <v>0</v>
      </c>
    </row>
    <row r="79" spans="1:8" hidden="1">
      <c r="A79" s="370">
        <f>A78+1</f>
        <v>2012</v>
      </c>
      <c r="B79" s="368"/>
      <c r="C79" s="369"/>
      <c r="D79" s="369">
        <f>+IF(D$10&lt;0,0,D$10*$B$77)</f>
        <v>0</v>
      </c>
      <c r="E79" s="369">
        <f>+IF(D79=0,0,+IF(ROUNDUP(SUM($D79:D79),0)&lt;$D$10,$D$10*$B$77,0))</f>
        <v>0</v>
      </c>
      <c r="F79" s="369">
        <f>+IF(E79=0,0,+IF(ROUNDUP(SUM($D79:E79),0)&lt;$D$10,$D$10*$B$77,0))</f>
        <v>0</v>
      </c>
      <c r="G79" s="369">
        <f>+IF(F79=0,0,+IF(ROUNDUP(SUM($D79:F79),0)&lt;$D$10,$D$10*$B$77,0))</f>
        <v>0</v>
      </c>
      <c r="H79" s="369">
        <f>+IF(G79=0,0,+IF(ROUNDUP(SUM($D79:G79),0)&lt;$D$10,$D$10*$B$77,0))</f>
        <v>0</v>
      </c>
    </row>
    <row r="80" spans="1:8" hidden="1">
      <c r="A80" s="370">
        <f>A79+1</f>
        <v>2013</v>
      </c>
      <c r="B80" s="368"/>
      <c r="C80" s="369"/>
      <c r="D80" s="369"/>
      <c r="E80" s="369">
        <f>+IF(E$10&lt;0,0,E$10*$B$77)</f>
        <v>0</v>
      </c>
      <c r="F80" s="369">
        <f>+IF(E80=0,0,+IF(ROUNDUP(SUM($E80:E80),0)&lt;$E$10,$E$10*$B$77,0))</f>
        <v>0</v>
      </c>
      <c r="G80" s="369">
        <f>+IF(F80=0,0,+IF(ROUNDUP(SUM($E80:F80),0)&lt;$E$10,$E$10*$B$77,0))</f>
        <v>0</v>
      </c>
      <c r="H80" s="369">
        <f>+IF(G80=0,0,+IF(ROUNDUP(SUM($E80:G80),0)&lt;$E$10,$E$10*$B$77,0))</f>
        <v>0</v>
      </c>
    </row>
    <row r="81" spans="1:8" hidden="1">
      <c r="A81" s="370">
        <f>A80+1</f>
        <v>2014</v>
      </c>
      <c r="B81" s="368"/>
      <c r="C81" s="369"/>
      <c r="D81" s="369"/>
      <c r="E81" s="369"/>
      <c r="F81" s="369">
        <f>+IF(F$10&lt;0,0,F$10*$B$77)</f>
        <v>0</v>
      </c>
      <c r="G81" s="369">
        <f>+IF(F81=0,0,+IF(ROUNDUP(SUM($F81:F81),0)&lt;$F$10,$F$10*$B$77,0))</f>
        <v>0</v>
      </c>
      <c r="H81" s="369">
        <f>+IF(G81=0,0,+IF(ROUNDUP(SUM($F81:G81),0)&lt;$F$10,$F$10*$B$77,0))</f>
        <v>0</v>
      </c>
    </row>
    <row r="82" spans="1:8" hidden="1">
      <c r="A82" s="370">
        <f>A81+1</f>
        <v>2015</v>
      </c>
      <c r="B82" s="368"/>
      <c r="C82" s="369"/>
      <c r="D82" s="369"/>
      <c r="E82" s="369"/>
      <c r="F82" s="369"/>
      <c r="G82" s="369">
        <f>+IF(G$10&lt;0,0,G$10*$B$77)</f>
        <v>0</v>
      </c>
      <c r="H82" s="369">
        <f>+IF(G82=0,0,+IF(ROUNDUP(SUM($G82:G82),0)&lt;$G$10,$G$10*$B$77,0))</f>
        <v>0</v>
      </c>
    </row>
    <row r="83" spans="1:8" hidden="1">
      <c r="A83" s="370">
        <f>A82+1</f>
        <v>2016</v>
      </c>
      <c r="B83" s="368"/>
      <c r="C83" s="369"/>
      <c r="D83" s="369"/>
      <c r="E83" s="369"/>
      <c r="F83" s="369"/>
      <c r="G83" s="369"/>
      <c r="H83" s="369">
        <f>+IF(H$10&lt;0,0,H$10*$B$77)</f>
        <v>0</v>
      </c>
    </row>
    <row r="84" spans="1:8" hidden="1">
      <c r="A84" s="367" t="s">
        <v>272</v>
      </c>
      <c r="B84" s="368">
        <f>+C61</f>
        <v>0</v>
      </c>
      <c r="C84" s="369">
        <f t="shared" ref="C84:H84" si="17">SUM(C85:C90)</f>
        <v>0</v>
      </c>
      <c r="D84" s="369">
        <f t="shared" si="17"/>
        <v>0</v>
      </c>
      <c r="E84" s="369">
        <f t="shared" si="17"/>
        <v>0</v>
      </c>
      <c r="F84" s="369">
        <f t="shared" si="17"/>
        <v>0</v>
      </c>
      <c r="G84" s="369">
        <f t="shared" si="17"/>
        <v>0</v>
      </c>
      <c r="H84" s="369">
        <f t="shared" si="17"/>
        <v>0</v>
      </c>
    </row>
    <row r="85" spans="1:8" hidden="1">
      <c r="A85" s="370">
        <f t="shared" ref="A85:A90" si="18">A78</f>
        <v>2011</v>
      </c>
      <c r="B85" s="368"/>
      <c r="C85" s="369">
        <f>+IF(C$11&lt;0,0,C$11*$B$84)</f>
        <v>0</v>
      </c>
      <c r="D85" s="369">
        <f>+IF(C85=0,0,+IF(ROUNDUP(SUM($C85:C85),0)&lt;$C$11,$C$11*$B$84,0))</f>
        <v>0</v>
      </c>
      <c r="E85" s="369">
        <f>+IF(D85=0,0,+IF(ROUNDUP(SUM($C85:D85),0)&lt;$C$11,$C$11*$B$84,0))</f>
        <v>0</v>
      </c>
      <c r="F85" s="369">
        <f>+IF(E85=0,0,+IF(ROUNDUP(SUM($C85:E85),0)&lt;$C$11,$C$11*$B$84,0))</f>
        <v>0</v>
      </c>
      <c r="G85" s="369">
        <f>+IF(F85=0,0,+IF(ROUNDUP(SUM($C85:F85),0)&lt;$C$11,$C$11*$B$84,0))</f>
        <v>0</v>
      </c>
      <c r="H85" s="369">
        <f>+IF(G85=0,0,+IF(ROUNDUP(SUM($C85:G85),0)&lt;$C$11,$C$11*$B$84,0))</f>
        <v>0</v>
      </c>
    </row>
    <row r="86" spans="1:8" hidden="1">
      <c r="A86" s="370">
        <f t="shared" si="18"/>
        <v>2012</v>
      </c>
      <c r="B86" s="368"/>
      <c r="C86" s="369"/>
      <c r="D86" s="369">
        <f>+IF(D$11&lt;0,0,D$11*$B$84)</f>
        <v>0</v>
      </c>
      <c r="E86" s="369">
        <f>+IF(D86=0,0,+IF(ROUNDUP(SUM($D86:D86),0)&lt;$D$11,$D$11*$B$84,0))</f>
        <v>0</v>
      </c>
      <c r="F86" s="369">
        <f>+IF(E86=0,0,+IF(ROUNDUP(SUM($D86:E86),0)&lt;$D$11,$D$11*$B$84,0))</f>
        <v>0</v>
      </c>
      <c r="G86" s="369">
        <f>+IF(F86=0,0,+IF(ROUNDUP(SUM($D86:F86),0)&lt;$D$11,$D$11*$B$84,0))</f>
        <v>0</v>
      </c>
      <c r="H86" s="369">
        <f>+IF(G86=0,0,+IF(ROUNDUP(SUM($D86:G86),0)&lt;$D$11,$D$11*$B$84,0))</f>
        <v>0</v>
      </c>
    </row>
    <row r="87" spans="1:8" hidden="1">
      <c r="A87" s="370">
        <f t="shared" si="18"/>
        <v>2013</v>
      </c>
      <c r="B87" s="368"/>
      <c r="C87" s="369"/>
      <c r="D87" s="369"/>
      <c r="E87" s="369">
        <f>+IF(E$11&lt;0,0,E$11*$B$84)</f>
        <v>0</v>
      </c>
      <c r="F87" s="369">
        <f>+IF(E87=0,0,+IF(ROUNDUP(SUM($E87:E87),0)&lt;$E$11,$E$11*$B$84,0))</f>
        <v>0</v>
      </c>
      <c r="G87" s="369">
        <f>+IF(F87=0,0,+IF(ROUNDUP(SUM($E87:F87),0)&lt;$E$11,$E$11*$B$84,0))</f>
        <v>0</v>
      </c>
      <c r="H87" s="369">
        <f>+IF(G87=0,0,+IF(ROUNDUP(SUM($E87:G87),0)&lt;$E$11,$E$11*$B$84,0))</f>
        <v>0</v>
      </c>
    </row>
    <row r="88" spans="1:8" hidden="1">
      <c r="A88" s="370">
        <f t="shared" si="18"/>
        <v>2014</v>
      </c>
      <c r="B88" s="368"/>
      <c r="C88" s="369"/>
      <c r="D88" s="369"/>
      <c r="E88" s="369"/>
      <c r="F88" s="369">
        <f>+IF(F$11&lt;0,0,F$11*$B$84)</f>
        <v>0</v>
      </c>
      <c r="G88" s="369">
        <f>+IF(F88=0,0,+IF(ROUNDUP(SUM($F88:F88),0)&lt;$F$11,$F$11*$B$84,0))</f>
        <v>0</v>
      </c>
      <c r="H88" s="369">
        <f>+IF(G88=0,0,+IF(ROUNDUP(SUM($F88:G88),0)&lt;$F$11,$F$11*$B$84,0))</f>
        <v>0</v>
      </c>
    </row>
    <row r="89" spans="1:8" hidden="1">
      <c r="A89" s="370">
        <f t="shared" si="18"/>
        <v>2015</v>
      </c>
      <c r="B89" s="368"/>
      <c r="C89" s="369"/>
      <c r="D89" s="369"/>
      <c r="E89" s="369"/>
      <c r="F89" s="369"/>
      <c r="G89" s="369">
        <f>+IF(G$11&lt;0,0,G$11*$B$84)</f>
        <v>0</v>
      </c>
      <c r="H89" s="369">
        <f>+IF(G89=0,0,+IF(ROUNDUP(SUM($G89:G89),0)&lt;$G$11,$G$11*$B$84,0))</f>
        <v>0</v>
      </c>
    </row>
    <row r="90" spans="1:8" hidden="1">
      <c r="A90" s="370">
        <f t="shared" si="18"/>
        <v>2016</v>
      </c>
      <c r="B90" s="368"/>
      <c r="C90" s="369"/>
      <c r="D90" s="369"/>
      <c r="E90" s="369"/>
      <c r="F90" s="369"/>
      <c r="G90" s="369"/>
      <c r="H90" s="369">
        <f>+IF(H$11&lt;0,0,H$11*$B$84)</f>
        <v>0</v>
      </c>
    </row>
    <row r="91" spans="1:8" hidden="1">
      <c r="A91" s="492" t="s">
        <v>48</v>
      </c>
      <c r="B91" s="493"/>
      <c r="C91" s="379">
        <f t="shared" ref="C91:H91" si="19">+C77+C84</f>
        <v>0</v>
      </c>
      <c r="D91" s="379">
        <f t="shared" si="19"/>
        <v>0</v>
      </c>
      <c r="E91" s="379">
        <f t="shared" si="19"/>
        <v>0</v>
      </c>
      <c r="F91" s="379">
        <f t="shared" si="19"/>
        <v>0</v>
      </c>
      <c r="G91" s="379">
        <f t="shared" si="19"/>
        <v>0</v>
      </c>
      <c r="H91" s="379">
        <f t="shared" si="19"/>
        <v>0</v>
      </c>
    </row>
    <row r="92" spans="1:8" hidden="1">
      <c r="A92" s="376" t="s">
        <v>274</v>
      </c>
      <c r="B92" s="199"/>
      <c r="C92" s="366"/>
      <c r="D92" s="366"/>
      <c r="E92" s="366"/>
      <c r="F92" s="366"/>
      <c r="G92" s="366"/>
      <c r="H92" s="366"/>
    </row>
    <row r="93" spans="1:8" hidden="1">
      <c r="A93" s="367" t="s">
        <v>364</v>
      </c>
      <c r="B93" s="368">
        <f>+C63</f>
        <v>0</v>
      </c>
      <c r="C93" s="369">
        <f t="shared" ref="C93:H93" si="20">SUM(C94:C99)</f>
        <v>0</v>
      </c>
      <c r="D93" s="369">
        <f t="shared" si="20"/>
        <v>0</v>
      </c>
      <c r="E93" s="369">
        <f t="shared" si="20"/>
        <v>0</v>
      </c>
      <c r="F93" s="369">
        <f t="shared" si="20"/>
        <v>0</v>
      </c>
      <c r="G93" s="369">
        <f t="shared" si="20"/>
        <v>0</v>
      </c>
      <c r="H93" s="369">
        <f t="shared" si="20"/>
        <v>0</v>
      </c>
    </row>
    <row r="94" spans="1:8" hidden="1">
      <c r="A94" s="370">
        <f t="shared" ref="A94:A99" si="21">A85</f>
        <v>2011</v>
      </c>
      <c r="B94" s="368"/>
      <c r="C94" s="369">
        <f>+IF(C$15&lt;0,0,C$15*$B$93)</f>
        <v>0</v>
      </c>
      <c r="D94" s="369">
        <f>+IF(C94=0,0,+IF(ROUNDUP(SUM($C94:C94),0)&lt;$C$15,$C$15*$B$93,0))</f>
        <v>0</v>
      </c>
      <c r="E94" s="369">
        <f>+IF(D94=0,0,+IF(ROUNDUP(SUM($C94:D94),0)&lt;$C$15,$C$15*$B$93,0))</f>
        <v>0</v>
      </c>
      <c r="F94" s="369">
        <f>+IF(E94=0,0,+IF(ROUNDUP(SUM($C94:E94),0)&lt;$C$15,$C$15*$B$93,0))</f>
        <v>0</v>
      </c>
      <c r="G94" s="369">
        <f>+IF(F94=0,0,+IF(ROUNDUP(SUM($C94:F94),0)&lt;$C$15,$C$15*$B$93,0))</f>
        <v>0</v>
      </c>
      <c r="H94" s="369">
        <f>+IF(G94=0,0,+IF(ROUNDUP(SUM($C94:G94),0)&lt;$C$15,$C$15*$B$93,0))</f>
        <v>0</v>
      </c>
    </row>
    <row r="95" spans="1:8" hidden="1">
      <c r="A95" s="370">
        <f t="shared" si="21"/>
        <v>2012</v>
      </c>
      <c r="B95" s="368"/>
      <c r="C95" s="369"/>
      <c r="D95" s="369">
        <f>+IF(D$15&lt;0,0,D$15*$B$93)</f>
        <v>0</v>
      </c>
      <c r="E95" s="369">
        <f>+IF(D95=0,0,+IF(ROUNDUP(SUM($D95:D95),0)&lt;$D$15,$D$15*$B$93,0))</f>
        <v>0</v>
      </c>
      <c r="F95" s="369">
        <f>+IF(E95=0,0,+IF(ROUNDUP(SUM($D95:E95),0)&lt;$D$15,$D$15*$B$93,0))</f>
        <v>0</v>
      </c>
      <c r="G95" s="369">
        <f>+IF(F95=0,0,+IF(ROUNDUP(SUM($D95:F95),0)&lt;$D$15,$D$15*$B$93,0))</f>
        <v>0</v>
      </c>
      <c r="H95" s="369">
        <f>+IF(G95=0,0,+IF(ROUNDUP(SUM($D95:G95),0)&lt;$D$15,$D$15*$B$93,0))</f>
        <v>0</v>
      </c>
    </row>
    <row r="96" spans="1:8" hidden="1">
      <c r="A96" s="370">
        <f t="shared" si="21"/>
        <v>2013</v>
      </c>
      <c r="B96" s="368"/>
      <c r="C96" s="369"/>
      <c r="D96" s="369"/>
      <c r="E96" s="369">
        <f>+IF(E$15&lt;0,0,E$15*$B$93)</f>
        <v>0</v>
      </c>
      <c r="F96" s="369">
        <f>+IF(E96=0,0,+IF(ROUNDUP(SUM($E96:E96),0)&lt;$E$15,$E$15*$B$93,0))</f>
        <v>0</v>
      </c>
      <c r="G96" s="369">
        <f>+IF(F96=0,0,+IF(ROUNDUP(SUM($E96:F96),0)&lt;$E$15,$E$15*$B$93,0))</f>
        <v>0</v>
      </c>
      <c r="H96" s="369">
        <f>+IF(G96=0,0,+IF(ROUNDUP(SUM($E96:G96),0)&lt;$E$15,$E$15*$B$93,0))</f>
        <v>0</v>
      </c>
    </row>
    <row r="97" spans="1:8" hidden="1">
      <c r="A97" s="370">
        <f t="shared" si="21"/>
        <v>2014</v>
      </c>
      <c r="B97" s="368"/>
      <c r="C97" s="369"/>
      <c r="D97" s="369"/>
      <c r="E97" s="369"/>
      <c r="F97" s="369">
        <f>+IF(F$15&lt;0,0,F$15*$B$93)</f>
        <v>0</v>
      </c>
      <c r="G97" s="369">
        <f>+IF(F97=0,0,+IF(ROUNDUP(SUM($F97:F97),0)&lt;$F$15,$F$15*$B$93,0))</f>
        <v>0</v>
      </c>
      <c r="H97" s="369">
        <f>+IF(G97=0,0,+IF(ROUNDUP(SUM($F97:G97),0)&lt;$F$15,$F$15*$B$93,0))</f>
        <v>0</v>
      </c>
    </row>
    <row r="98" spans="1:8" hidden="1">
      <c r="A98" s="370">
        <f t="shared" si="21"/>
        <v>2015</v>
      </c>
      <c r="B98" s="368"/>
      <c r="C98" s="369"/>
      <c r="D98" s="369"/>
      <c r="E98" s="369"/>
      <c r="F98" s="369"/>
      <c r="G98" s="369">
        <f>+IF(G$15&lt;0,0,G$15*$B$93)</f>
        <v>0</v>
      </c>
      <c r="H98" s="369">
        <f>+IF(G98=0,0,+IF(ROUNDUP(SUM($G98:G98),0)&lt;$G$15,$G$15*$B$93,0))</f>
        <v>0</v>
      </c>
    </row>
    <row r="99" spans="1:8" hidden="1">
      <c r="A99" s="370">
        <f t="shared" si="21"/>
        <v>2016</v>
      </c>
      <c r="B99" s="368"/>
      <c r="C99" s="369"/>
      <c r="D99" s="369"/>
      <c r="E99" s="369"/>
      <c r="F99" s="369"/>
      <c r="G99" s="369"/>
      <c r="H99" s="369">
        <f>+IF(H$15&lt;0,0,H$15*$B$93)</f>
        <v>0</v>
      </c>
    </row>
    <row r="100" spans="1:8" hidden="1">
      <c r="A100" s="367" t="s">
        <v>371</v>
      </c>
      <c r="B100" s="368">
        <f>+C64</f>
        <v>0.25</v>
      </c>
      <c r="C100" s="369">
        <f t="shared" ref="C100:H100" si="22">SUM(C101:C106)</f>
        <v>10379.5</v>
      </c>
      <c r="D100" s="369">
        <f t="shared" si="22"/>
        <v>10698.75</v>
      </c>
      <c r="E100" s="369">
        <f t="shared" si="22"/>
        <v>10698.75</v>
      </c>
      <c r="F100" s="369">
        <f t="shared" si="22"/>
        <v>10698.75</v>
      </c>
      <c r="G100" s="369">
        <f t="shared" si="22"/>
        <v>319.25</v>
      </c>
      <c r="H100" s="369">
        <f t="shared" si="22"/>
        <v>0</v>
      </c>
    </row>
    <row r="101" spans="1:8" hidden="1">
      <c r="A101" s="370">
        <f t="shared" ref="A101:A134" si="23">A94</f>
        <v>2011</v>
      </c>
      <c r="B101" s="368"/>
      <c r="C101" s="369">
        <f>+IF(C$16&lt;0,0,C$16*$B$100)</f>
        <v>10379.5</v>
      </c>
      <c r="D101" s="369">
        <f>+IF(C101=0,0,+IF(ROUNDUP(SUM($C101:C101),0)&lt;$C$16,$C$16*$B$100,0))</f>
        <v>10379.5</v>
      </c>
      <c r="E101" s="369">
        <f>+IF(D101=0,0,+IF(ROUNDUP(SUM($C101:D101),0)&lt;$C$16,$C$16*$B$100,0))</f>
        <v>10379.5</v>
      </c>
      <c r="F101" s="369">
        <f>+IF(E101=0,0,+IF(ROUNDUP(SUM($C101:E101),0)&lt;$C$16,$C$16*$B$100,0))</f>
        <v>10379.5</v>
      </c>
      <c r="G101" s="369">
        <f>+IF(F101=0,0,+IF(ROUNDUP(SUM($C101:F101),0)&lt;$C$16,$C$16*$B$100,0))</f>
        <v>0</v>
      </c>
      <c r="H101" s="369">
        <f>+IF(G101=0,0,+IF(ROUNDUP(SUM($C101:G101),0)&lt;$C$16,$C$16*$B$100,0))</f>
        <v>0</v>
      </c>
    </row>
    <row r="102" spans="1:8" hidden="1">
      <c r="A102" s="370">
        <f t="shared" si="23"/>
        <v>2012</v>
      </c>
      <c r="B102" s="368"/>
      <c r="C102" s="369"/>
      <c r="D102" s="369">
        <f>+IF(D$16&lt;0,0,D$16*$B$100)</f>
        <v>319.25</v>
      </c>
      <c r="E102" s="369">
        <f>+IF(D102=0,0,+IF(ROUNDUP(SUM($D102:D102),0)&lt;$D$16,$D$16*$B$100,0))</f>
        <v>319.25</v>
      </c>
      <c r="F102" s="369">
        <f>+IF(E102=0,0,+IF(ROUNDUP(SUM($D102:E102),0)&lt;$D$16,$D$16*$B$100,0))</f>
        <v>319.25</v>
      </c>
      <c r="G102" s="369">
        <f>+IF(F102=0,0,+IF(ROUNDUP(SUM($D102:F102),0)&lt;$D$16,$D$16*$B$100,0))</f>
        <v>319.25</v>
      </c>
      <c r="H102" s="369">
        <f>+IF(G102=0,0,+IF(ROUNDUP(SUM($D102:G102),0)&lt;$D$16,$D$16*$B$100,0))</f>
        <v>0</v>
      </c>
    </row>
    <row r="103" spans="1:8" hidden="1">
      <c r="A103" s="370">
        <f t="shared" si="23"/>
        <v>2013</v>
      </c>
      <c r="B103" s="368"/>
      <c r="C103" s="369"/>
      <c r="D103" s="369"/>
      <c r="E103" s="369">
        <f>+IF(E$16&lt;0,0,E$16*$B$100)</f>
        <v>0</v>
      </c>
      <c r="F103" s="369">
        <f>+IF(E103=0,0,+IF(ROUNDUP(SUM($E103:E103),0)&lt;$E$16,$E$16*$B$100,0))</f>
        <v>0</v>
      </c>
      <c r="G103" s="369">
        <f>+IF(F103=0,0,+IF(ROUNDUP(SUM($E103:F103),0)&lt;$E$16,$E$16*$B$100,0))</f>
        <v>0</v>
      </c>
      <c r="H103" s="369">
        <f>+IF(G103=0,0,+IF(ROUNDUP(SUM($E103:G103),0)&lt;$E$16,$E$16*$B$100,0))</f>
        <v>0</v>
      </c>
    </row>
    <row r="104" spans="1:8" hidden="1">
      <c r="A104" s="370">
        <f t="shared" si="23"/>
        <v>2014</v>
      </c>
      <c r="B104" s="368"/>
      <c r="C104" s="369"/>
      <c r="D104" s="369"/>
      <c r="E104" s="369"/>
      <c r="F104" s="369">
        <f>+IF(F$16&lt;0,0,F$16*$B$100)</f>
        <v>0</v>
      </c>
      <c r="G104" s="369">
        <f>+IF(F104=0,0,+IF(ROUNDUP(SUM($F104:F104),0)&lt;$F$16,$F$16*$B$100,0))</f>
        <v>0</v>
      </c>
      <c r="H104" s="369">
        <f>+IF(G104=0,0,+IF(ROUNDUP(SUM($F104:G104),0)&lt;$F$16,$F$16*$B$100,0))</f>
        <v>0</v>
      </c>
    </row>
    <row r="105" spans="1:8" hidden="1">
      <c r="A105" s="370">
        <f t="shared" si="23"/>
        <v>2015</v>
      </c>
      <c r="B105" s="368"/>
      <c r="C105" s="369"/>
      <c r="D105" s="369"/>
      <c r="E105" s="369"/>
      <c r="F105" s="369"/>
      <c r="G105" s="369">
        <f>+IF(G$16&lt;0,0,G$16*$B$100)</f>
        <v>0</v>
      </c>
      <c r="H105" s="369">
        <f>+IF(G105=0,0,+IF(ROUNDUP(SUM($G105:G105),0)&lt;$G$16,$G$16*$B$100,0))</f>
        <v>0</v>
      </c>
    </row>
    <row r="106" spans="1:8" hidden="1">
      <c r="A106" s="370">
        <f t="shared" si="23"/>
        <v>2016</v>
      </c>
      <c r="B106" s="368"/>
      <c r="C106" s="369"/>
      <c r="D106" s="369"/>
      <c r="E106" s="369"/>
      <c r="F106" s="369"/>
      <c r="G106" s="369"/>
      <c r="H106" s="369">
        <f>+IF(H$16&lt;0,0,H$16*$B$100)</f>
        <v>0</v>
      </c>
    </row>
    <row r="107" spans="1:8" hidden="1">
      <c r="A107" s="367" t="s">
        <v>372</v>
      </c>
      <c r="B107" s="368">
        <f>+C65</f>
        <v>0.2</v>
      </c>
      <c r="C107" s="371">
        <f t="shared" ref="C107:H107" si="24">SUM(C108:C113)</f>
        <v>3235.7720000000004</v>
      </c>
      <c r="D107" s="369">
        <f t="shared" si="24"/>
        <v>3235.7720000000004</v>
      </c>
      <c r="E107" s="369">
        <f t="shared" si="24"/>
        <v>3235.7720000000004</v>
      </c>
      <c r="F107" s="369">
        <f t="shared" si="24"/>
        <v>7625.9719999999998</v>
      </c>
      <c r="G107" s="369">
        <f t="shared" si="24"/>
        <v>7625.9719999999998</v>
      </c>
      <c r="H107" s="369">
        <f t="shared" si="24"/>
        <v>4390.2</v>
      </c>
    </row>
    <row r="108" spans="1:8" hidden="1">
      <c r="A108" s="370">
        <f t="shared" si="23"/>
        <v>2011</v>
      </c>
      <c r="B108" s="368"/>
      <c r="C108" s="369">
        <f>+IF(C$17&lt;0,0,C$17*$B$107)</f>
        <v>3235.7720000000004</v>
      </c>
      <c r="D108" s="369">
        <f>+IF(C108=0,0,+IF(ROUNDUP(SUM($C108:C108),0)&lt;$C$17,$C$17*$B$107,0))</f>
        <v>3235.7720000000004</v>
      </c>
      <c r="E108" s="369">
        <f>+IF(D108=0,0,+IF(ROUNDUP(SUM($C108:D108),0)&lt;$C$17,$C$17*$B$107,0))</f>
        <v>3235.7720000000004</v>
      </c>
      <c r="F108" s="369">
        <f>+IF(E108=0,0,+IF(ROUNDUP(SUM($C108:E108),0)&lt;$C$17,$C$17*$B$107,0))</f>
        <v>3235.7720000000004</v>
      </c>
      <c r="G108" s="369">
        <f>+IF(F108=0,0,+IF(ROUNDUP(SUM($C108:F108),0)&lt;$C$17,$C$17*$B$107,0))</f>
        <v>3235.7720000000004</v>
      </c>
      <c r="H108" s="369">
        <f>+IF(G108=0,0,+IF(ROUNDUP(SUM($C108:G108),0)&lt;$C$17,$C$17*$B$107,0))</f>
        <v>0</v>
      </c>
    </row>
    <row r="109" spans="1:8" hidden="1">
      <c r="A109" s="370">
        <f t="shared" si="23"/>
        <v>2012</v>
      </c>
      <c r="B109" s="368"/>
      <c r="C109" s="369"/>
      <c r="D109" s="369">
        <f>+IF(D$17&lt;0,0,D$17*$B$107)</f>
        <v>0</v>
      </c>
      <c r="E109" s="369">
        <f>+IF(D109=0,0,+IF(ROUNDUP(SUM($D109:D109),0)&lt;$D$17,$D$17*$B$107,0))</f>
        <v>0</v>
      </c>
      <c r="F109" s="369">
        <f>+IF(E109=0,0,+IF(ROUNDUP(SUM($D109:E109),0)&lt;$D$17,$D$17*$B$107,0))</f>
        <v>0</v>
      </c>
      <c r="G109" s="369">
        <f>+IF(F109=0,0,+IF(ROUNDUP(SUM($D109:F109),0)&lt;$D$17,$D$17*$B$107,0))</f>
        <v>0</v>
      </c>
      <c r="H109" s="369">
        <f>+IF(G109=0,0,+IF(ROUNDUP(SUM($D109:G109),0)&lt;$D$17,$D$17*$B$107,0))</f>
        <v>0</v>
      </c>
    </row>
    <row r="110" spans="1:8" hidden="1">
      <c r="A110" s="370">
        <f t="shared" si="23"/>
        <v>2013</v>
      </c>
      <c r="B110" s="368"/>
      <c r="C110" s="369"/>
      <c r="D110" s="369"/>
      <c r="E110" s="369">
        <f>+IF(E$17&lt;0,0,E$17*$B$107)</f>
        <v>0</v>
      </c>
      <c r="F110" s="369">
        <f>+IF(E110=0,0,+IF(ROUNDUP(SUM($E110:E110),0)&lt;$E$17,$E$17*$B$107,0))</f>
        <v>0</v>
      </c>
      <c r="G110" s="369">
        <f>+IF(F110=0,0,+IF(ROUNDUP(SUM($E110:F110),0)&lt;$E$17,$E$17*$B$107,0))</f>
        <v>0</v>
      </c>
      <c r="H110" s="369">
        <f>+IF(G110=0,0,+IF(ROUNDUP(SUM($E110:G110),0)&lt;$E$17,$E$17*$B$107,0))</f>
        <v>0</v>
      </c>
    </row>
    <row r="111" spans="1:8" hidden="1">
      <c r="A111" s="370">
        <f t="shared" si="23"/>
        <v>2014</v>
      </c>
      <c r="B111" s="368"/>
      <c r="C111" s="369"/>
      <c r="D111" s="369"/>
      <c r="E111" s="369"/>
      <c r="F111" s="369">
        <f>+IF(F$17&lt;0,0,F$17*$B$107)</f>
        <v>4390.2</v>
      </c>
      <c r="G111" s="369">
        <f>+IF(F111=0,0,+IF(ROUNDUP(SUM($F111:F111),0)&lt;$F$17,$F$17*$B$107,0))</f>
        <v>4390.2</v>
      </c>
      <c r="H111" s="369">
        <f>+IF(G111=0,0,+IF(ROUNDUP(SUM($F111:G111),0)&lt;$F$17,$F$17*$B$107,0))</f>
        <v>4390.2</v>
      </c>
    </row>
    <row r="112" spans="1:8" hidden="1">
      <c r="A112" s="370">
        <f t="shared" si="23"/>
        <v>2015</v>
      </c>
      <c r="B112" s="368"/>
      <c r="C112" s="369"/>
      <c r="D112" s="369"/>
      <c r="E112" s="369"/>
      <c r="F112" s="369"/>
      <c r="G112" s="369">
        <f>+IF(G$17&lt;0,0,G$17*$B$107)</f>
        <v>0</v>
      </c>
      <c r="H112" s="369">
        <f>+IF(G112=0,0,+IF(ROUNDUP(SUM($G112:G112),0)&lt;$G$17,$G$17*$B$107,0))</f>
        <v>0</v>
      </c>
    </row>
    <row r="113" spans="1:8" hidden="1">
      <c r="A113" s="370">
        <f t="shared" si="23"/>
        <v>2016</v>
      </c>
      <c r="B113" s="372"/>
      <c r="C113" s="369"/>
      <c r="D113" s="369"/>
      <c r="E113" s="369"/>
      <c r="F113" s="369"/>
      <c r="G113" s="369"/>
      <c r="H113" s="369">
        <f>+IF(H$17&lt;0,0,H$17*$B$107)</f>
        <v>0</v>
      </c>
    </row>
    <row r="114" spans="1:8" hidden="1">
      <c r="A114" s="367" t="s">
        <v>373</v>
      </c>
      <c r="B114" s="368">
        <f>+C66</f>
        <v>0.25</v>
      </c>
      <c r="C114" s="371">
        <f t="shared" ref="C114:H114" si="25">SUM(C115:C120)</f>
        <v>781.90750000000003</v>
      </c>
      <c r="D114" s="369">
        <f t="shared" si="25"/>
        <v>781.90750000000003</v>
      </c>
      <c r="E114" s="369">
        <f t="shared" si="25"/>
        <v>781.90750000000003</v>
      </c>
      <c r="F114" s="369">
        <f t="shared" si="25"/>
        <v>781.90750000000003</v>
      </c>
      <c r="G114" s="369">
        <f t="shared" si="25"/>
        <v>0</v>
      </c>
      <c r="H114" s="369">
        <f t="shared" si="25"/>
        <v>0</v>
      </c>
    </row>
    <row r="115" spans="1:8" hidden="1">
      <c r="A115" s="370">
        <f t="shared" si="23"/>
        <v>2011</v>
      </c>
      <c r="B115" s="368"/>
      <c r="C115" s="369">
        <f>+IF(C$18&lt;0,0,C$18*$B$114)</f>
        <v>781.90750000000003</v>
      </c>
      <c r="D115" s="369">
        <f>+IF(C115=0,0,+IF(ROUNDUP(SUM($C115:C115),0)&lt;$C$18,$C$18*$B$114,0))</f>
        <v>781.90750000000003</v>
      </c>
      <c r="E115" s="369">
        <f>+IF(D115=0,0,+IF(ROUNDUP(SUM($C115:D115),0)&lt;$C$18,$C$18*$B$114,0))</f>
        <v>781.90750000000003</v>
      </c>
      <c r="F115" s="369">
        <f>+IF(E115=0,0,+IF(ROUNDUP(SUM($C115:E115),0)&lt;$C$18,$C$18*$B$114,0))</f>
        <v>781.90750000000003</v>
      </c>
      <c r="G115" s="369">
        <f>+IF(F115=0,0,+IF(ROUNDUP(SUM($C115:F115),0)&lt;$C$18,$C$18*$B$114,0))</f>
        <v>0</v>
      </c>
      <c r="H115" s="369">
        <f>+IF(G115=0,0,+IF(ROUNDUP(SUM($C115:G115),0)&lt;$C$18,$C$18*$B$114,0))</f>
        <v>0</v>
      </c>
    </row>
    <row r="116" spans="1:8" hidden="1">
      <c r="A116" s="370">
        <f t="shared" si="23"/>
        <v>2012</v>
      </c>
      <c r="B116" s="368"/>
      <c r="C116" s="369"/>
      <c r="D116" s="369">
        <f>+IF(D$18&lt;0,0,D$18*$B$114)</f>
        <v>0</v>
      </c>
      <c r="E116" s="369">
        <f>+IF(D116=0,0,+IF(ROUNDUP(SUM($D116:D116),0)&lt;$D$18,$D$18*$B$114,0))</f>
        <v>0</v>
      </c>
      <c r="F116" s="369">
        <f>+IF(E116=0,0,+IF(ROUNDUP(SUM($D116:E116),0)&lt;$D$18,$D$18*$B$114,0))</f>
        <v>0</v>
      </c>
      <c r="G116" s="369">
        <f>+IF(F116=0,0,+IF(ROUNDUP(SUM($D116:F116),0)&lt;$D$18,$D$18*$B$114,0))</f>
        <v>0</v>
      </c>
      <c r="H116" s="369">
        <f>+IF(G116=0,0,+IF(ROUNDUP(SUM($D116:G116),0)&lt;$D$18,$D$18*$B$114,0))</f>
        <v>0</v>
      </c>
    </row>
    <row r="117" spans="1:8" hidden="1">
      <c r="A117" s="370">
        <f t="shared" si="23"/>
        <v>2013</v>
      </c>
      <c r="B117" s="368"/>
      <c r="C117" s="369"/>
      <c r="D117" s="369"/>
      <c r="E117" s="369">
        <f>+IF(E$18&lt;0,0,E$18*$B$114)</f>
        <v>0</v>
      </c>
      <c r="F117" s="369">
        <f>+IF(E117=0,0,+IF(ROUNDUP(SUM($E117:E117),0)&lt;$E$18,$E$18*$B$114,0))</f>
        <v>0</v>
      </c>
      <c r="G117" s="369">
        <f>+IF(F117=0,0,+IF(ROUNDUP(SUM($E117:F117),0)&lt;$E$18,$E$18*$B$114,0))</f>
        <v>0</v>
      </c>
      <c r="H117" s="369">
        <f>+IF(G117=0,0,+IF(ROUNDUP(SUM($E117:G117),0)&lt;$E$18,$E$18*$B$114,0))</f>
        <v>0</v>
      </c>
    </row>
    <row r="118" spans="1:8" hidden="1">
      <c r="A118" s="370">
        <f t="shared" si="23"/>
        <v>2014</v>
      </c>
      <c r="B118" s="368"/>
      <c r="C118" s="369"/>
      <c r="D118" s="369"/>
      <c r="E118" s="369"/>
      <c r="F118" s="369">
        <f>+IF(F$18&lt;0,0,F$18*$B$114)</f>
        <v>0</v>
      </c>
      <c r="G118" s="369">
        <f>+IF(F118=0,0,+IF(ROUNDUP(SUM($F118:F118),0)&lt;$F$18,$F$18*$B$114,0))</f>
        <v>0</v>
      </c>
      <c r="H118" s="369">
        <f>+IF(G118=0,0,+IF(ROUNDUP(SUM($F118:G118),0)&lt;$F$18,$F$18*$B$114,0))</f>
        <v>0</v>
      </c>
    </row>
    <row r="119" spans="1:8" hidden="1">
      <c r="A119" s="370">
        <f t="shared" si="23"/>
        <v>2015</v>
      </c>
      <c r="B119" s="368"/>
      <c r="C119" s="369"/>
      <c r="D119" s="369"/>
      <c r="E119" s="369"/>
      <c r="F119" s="369"/>
      <c r="G119" s="369">
        <f>+IF(G$18&lt;0,0,G$18*$B$114)</f>
        <v>0</v>
      </c>
      <c r="H119" s="369">
        <f>+IF(G119=0,0,+IF(ROUNDUP(SUM($G119:G119),0)&lt;$G$18,$G$18*$B$114,0))</f>
        <v>0</v>
      </c>
    </row>
    <row r="120" spans="1:8" hidden="1">
      <c r="A120" s="370">
        <f t="shared" si="23"/>
        <v>2016</v>
      </c>
      <c r="B120" s="372"/>
      <c r="C120" s="369"/>
      <c r="D120" s="369"/>
      <c r="E120" s="369"/>
      <c r="F120" s="369"/>
      <c r="G120" s="369"/>
      <c r="H120" s="369">
        <f>+IF(H$18&lt;0,0,H$18*$B$114)</f>
        <v>0</v>
      </c>
    </row>
    <row r="121" spans="1:8" hidden="1">
      <c r="A121" s="367" t="s">
        <v>374</v>
      </c>
      <c r="B121" s="368">
        <f>+C67</f>
        <v>0</v>
      </c>
      <c r="C121" s="371">
        <f t="shared" ref="C121:H121" si="26">SUM(C122:C127)</f>
        <v>0</v>
      </c>
      <c r="D121" s="369">
        <f t="shared" si="26"/>
        <v>0</v>
      </c>
      <c r="E121" s="369">
        <f t="shared" si="26"/>
        <v>0</v>
      </c>
      <c r="F121" s="369">
        <f t="shared" si="26"/>
        <v>0</v>
      </c>
      <c r="G121" s="369">
        <f t="shared" si="26"/>
        <v>0</v>
      </c>
      <c r="H121" s="369">
        <f t="shared" si="26"/>
        <v>0</v>
      </c>
    </row>
    <row r="122" spans="1:8" hidden="1">
      <c r="A122" s="370">
        <f t="shared" si="23"/>
        <v>2011</v>
      </c>
      <c r="B122" s="368"/>
      <c r="C122" s="369">
        <f>+IF(C$19&lt;0,0,C$19*$B$121)</f>
        <v>0</v>
      </c>
      <c r="D122" s="369">
        <f>+IF(C122=0,0,+IF(ROUNDUP(SUM($C122:C122),0)&lt;$C$19,$C$19*$B$121,0))</f>
        <v>0</v>
      </c>
      <c r="E122" s="369">
        <f>+IF(D122=0,0,+IF(ROUNDUP(SUM($C122:D122),0)&lt;$C$19,$C$19*$B$121,0))</f>
        <v>0</v>
      </c>
      <c r="F122" s="369">
        <f>+IF(E122=0,0,+IF(ROUNDUP(SUM($C122:E122),0)&lt;$C$19,$C$19*$B$121,0))</f>
        <v>0</v>
      </c>
      <c r="G122" s="369">
        <f>+IF(F122=0,0,+IF(ROUNDUP(SUM($C122:F122),0)&lt;$C$19,$C$19*$B$121,0))</f>
        <v>0</v>
      </c>
      <c r="H122" s="369">
        <f>+IF(G122=0,0,+IF(ROUNDUP(SUM($C122:G122),0)&lt;$C$19,$C$19*$B$121,0))</f>
        <v>0</v>
      </c>
    </row>
    <row r="123" spans="1:8" hidden="1">
      <c r="A123" s="370">
        <f t="shared" si="23"/>
        <v>2012</v>
      </c>
      <c r="B123" s="368"/>
      <c r="C123" s="369"/>
      <c r="D123" s="369">
        <f>+IF(D$19&lt;0,0,D$19*$B$121)</f>
        <v>0</v>
      </c>
      <c r="E123" s="369">
        <f>+IF(D123=0,0,+IF(ROUNDUP(SUM($D123:D123),0)&lt;$D$19,$D$19*$B$121,0))</f>
        <v>0</v>
      </c>
      <c r="F123" s="369">
        <f>+IF(E123=0,0,+IF(ROUNDUP(SUM($D123:E123),0)&lt;$D$19,$D$19*$B$121,0))</f>
        <v>0</v>
      </c>
      <c r="G123" s="369">
        <f>+IF(F123=0,0,+IF(ROUNDUP(SUM($D123:F123),0)&lt;$D$19,$D$19*$B$121,0))</f>
        <v>0</v>
      </c>
      <c r="H123" s="369">
        <f>+IF(G123=0,0,+IF(ROUNDUP(SUM($D123:G123),0)&lt;$D$19,$D$19*$B$121,0))</f>
        <v>0</v>
      </c>
    </row>
    <row r="124" spans="1:8" hidden="1">
      <c r="A124" s="370">
        <f t="shared" si="23"/>
        <v>2013</v>
      </c>
      <c r="B124" s="368"/>
      <c r="C124" s="369"/>
      <c r="D124" s="369"/>
      <c r="E124" s="369">
        <f>+IF(E$19&lt;0,0,E$19*$B$121)</f>
        <v>0</v>
      </c>
      <c r="F124" s="369">
        <f>+IF(E124=0,0,+IF(ROUNDUP(SUM($E124:E124),0)&lt;$E$19,$E$19*$B$121,0))</f>
        <v>0</v>
      </c>
      <c r="G124" s="369">
        <f>+IF(F124=0,0,+IF(ROUNDUP(SUM($E124:F124),0)&lt;$E$19,$E$19*$B$121,0))</f>
        <v>0</v>
      </c>
      <c r="H124" s="369">
        <f>+IF(G124=0,0,+IF(ROUNDUP(SUM($E124:G124),0)&lt;$E$19,$E$19*$B$121,0))</f>
        <v>0</v>
      </c>
    </row>
    <row r="125" spans="1:8" hidden="1">
      <c r="A125" s="370">
        <f t="shared" si="23"/>
        <v>2014</v>
      </c>
      <c r="B125" s="368"/>
      <c r="C125" s="369"/>
      <c r="D125" s="369"/>
      <c r="E125" s="369"/>
      <c r="F125" s="369">
        <f>+IF(F$19&lt;0,0,F$19*$B$121)</f>
        <v>0</v>
      </c>
      <c r="G125" s="369">
        <f>+IF(F125=0,0,+IF(ROUNDUP(SUM($F125:F125),0)&lt;$F$19,$F$19*$B$121,0))</f>
        <v>0</v>
      </c>
      <c r="H125" s="369">
        <f>+IF(G125=0,0,+IF(ROUNDUP(SUM($F125:G125),0)&lt;$F$19,$F$19*$B$121,0))</f>
        <v>0</v>
      </c>
    </row>
    <row r="126" spans="1:8" hidden="1">
      <c r="A126" s="370">
        <f t="shared" si="23"/>
        <v>2015</v>
      </c>
      <c r="B126" s="368"/>
      <c r="C126" s="369"/>
      <c r="D126" s="369"/>
      <c r="E126" s="369"/>
      <c r="F126" s="369"/>
      <c r="G126" s="369">
        <f>+IF(G$19&lt;0,0,G$19*$B$121)</f>
        <v>0</v>
      </c>
      <c r="H126" s="369">
        <f>+IF(G126=0,0,+IF(ROUNDUP(SUM($G126:G126),0)&lt;$G$19,$G$19*$B$121,0))</f>
        <v>0</v>
      </c>
    </row>
    <row r="127" spans="1:8" hidden="1">
      <c r="A127" s="370">
        <f t="shared" si="23"/>
        <v>2016</v>
      </c>
      <c r="B127" s="372"/>
      <c r="C127" s="369"/>
      <c r="D127" s="369"/>
      <c r="E127" s="369"/>
      <c r="F127" s="369"/>
      <c r="G127" s="369"/>
      <c r="H127" s="369">
        <f>+IF(H$19&lt;0,0,H$19*$B$121)</f>
        <v>0</v>
      </c>
    </row>
    <row r="128" spans="1:8" hidden="1">
      <c r="A128" s="367" t="s">
        <v>370</v>
      </c>
      <c r="B128" s="368">
        <f>+C68</f>
        <v>0</v>
      </c>
      <c r="C128" s="371">
        <f t="shared" ref="C128:H128" si="27">SUM(C129:C134)</f>
        <v>0</v>
      </c>
      <c r="D128" s="369">
        <f t="shared" si="27"/>
        <v>0</v>
      </c>
      <c r="E128" s="369">
        <f t="shared" si="27"/>
        <v>0</v>
      </c>
      <c r="F128" s="369">
        <f t="shared" si="27"/>
        <v>0</v>
      </c>
      <c r="G128" s="369">
        <f t="shared" si="27"/>
        <v>0</v>
      </c>
      <c r="H128" s="369">
        <f t="shared" si="27"/>
        <v>0</v>
      </c>
    </row>
    <row r="129" spans="1:8" hidden="1">
      <c r="A129" s="370">
        <f t="shared" si="23"/>
        <v>2011</v>
      </c>
      <c r="B129" s="368"/>
      <c r="C129" s="369">
        <f>+IF(C$20&lt;0,0,C$20*$B$128)</f>
        <v>0</v>
      </c>
      <c r="D129" s="369">
        <f>+IF(C129=0,0,+IF(ROUNDUP(SUM($C129:C129),0)&lt;$C$20,$C$20*$B$128,0))</f>
        <v>0</v>
      </c>
      <c r="E129" s="369">
        <f>+IF(D129=0,0,+IF(ROUNDUP(SUM($C129:D129),0)&lt;$C$20,$C$20*$B$128,0))</f>
        <v>0</v>
      </c>
      <c r="F129" s="369">
        <f>+IF(E129=0,0,+IF(ROUNDUP(SUM($C129:E129),0)&lt;$C$20,$C$20*$B$128,0))</f>
        <v>0</v>
      </c>
      <c r="G129" s="369">
        <f>+IF(F129=0,0,+IF(ROUNDUP(SUM($C129:F129),0)&lt;$C$20,$C$20*$B$128,0))</f>
        <v>0</v>
      </c>
      <c r="H129" s="369">
        <f>+IF(G129=0,0,+IF(ROUNDUP(SUM($C129:G129),0)&lt;$C$20,$C$20*$B$128,0))</f>
        <v>0</v>
      </c>
    </row>
    <row r="130" spans="1:8" hidden="1">
      <c r="A130" s="370">
        <f t="shared" si="23"/>
        <v>2012</v>
      </c>
      <c r="B130" s="368"/>
      <c r="C130" s="369"/>
      <c r="D130" s="369">
        <f>+IF(D$20&lt;0,0,D$20*$B$128)</f>
        <v>0</v>
      </c>
      <c r="E130" s="369">
        <f>+IF(D130=0,0,+IF(ROUNDUP(SUM($D130:D130),0)&lt;$D$20,$D$20*$B$128,0))</f>
        <v>0</v>
      </c>
      <c r="F130" s="369">
        <f>+IF(E130=0,0,+IF(ROUNDUP(SUM($D130:E130),0)&lt;$D$20,$D$20*$B$128,0))</f>
        <v>0</v>
      </c>
      <c r="G130" s="369">
        <f>+IF(F130=0,0,+IF(ROUNDUP(SUM($D130:F130),0)&lt;$D$20,$D$20*$B$128,0))</f>
        <v>0</v>
      </c>
      <c r="H130" s="369">
        <f>+IF(G130=0,0,+IF(ROUNDUP(SUM($D130:G130),0)&lt;$D$20,$D$20*$B$128,0))</f>
        <v>0</v>
      </c>
    </row>
    <row r="131" spans="1:8" hidden="1">
      <c r="A131" s="370">
        <f t="shared" si="23"/>
        <v>2013</v>
      </c>
      <c r="B131" s="368"/>
      <c r="C131" s="369"/>
      <c r="D131" s="369"/>
      <c r="E131" s="369">
        <f>+IF(E$20&lt;0,0,E$20*$B$128)</f>
        <v>0</v>
      </c>
      <c r="F131" s="369">
        <f>+IF(E131=0,0,+IF(ROUNDUP(SUM($E131:E131),0)&lt;$E$20,$E$20*$B$128,0))</f>
        <v>0</v>
      </c>
      <c r="G131" s="369">
        <f>+IF(F131=0,0,+IF(ROUNDUP(SUM($E131:F131),0)&lt;$E$20,$E$20*$B$128,0))</f>
        <v>0</v>
      </c>
      <c r="H131" s="369">
        <f>+IF(G131=0,0,+IF(ROUNDUP(SUM($E131:G131),0)&lt;$E$20,$E$20*$B$128,0))</f>
        <v>0</v>
      </c>
    </row>
    <row r="132" spans="1:8" hidden="1">
      <c r="A132" s="370">
        <f t="shared" si="23"/>
        <v>2014</v>
      </c>
      <c r="B132" s="368"/>
      <c r="C132" s="369"/>
      <c r="D132" s="369"/>
      <c r="E132" s="369"/>
      <c r="F132" s="369">
        <f>+IF(F$20&lt;0,0,F$20*$B$128)</f>
        <v>0</v>
      </c>
      <c r="G132" s="369">
        <f>+IF(F132=0,0,+IF(ROUNDUP(SUM($F132:F132),0)&lt;$F$20,$F$20*$B$128,0))</f>
        <v>0</v>
      </c>
      <c r="H132" s="369">
        <f>+IF(G132=0,0,+IF(ROUNDUP(SUM($F132:G132),0)&lt;$F$20,$F$20*$B$128,0))</f>
        <v>0</v>
      </c>
    </row>
    <row r="133" spans="1:8" hidden="1">
      <c r="A133" s="370">
        <f t="shared" si="23"/>
        <v>2015</v>
      </c>
      <c r="B133" s="368"/>
      <c r="C133" s="369"/>
      <c r="D133" s="369"/>
      <c r="E133" s="369"/>
      <c r="F133" s="369"/>
      <c r="G133" s="369">
        <f>+IF(G$20&lt;0,0,G$20*$B$128)</f>
        <v>0</v>
      </c>
      <c r="H133" s="369">
        <f>+IF(G133=0,0,+IF(ROUNDUP(SUM($G133:G133),0)&lt;$G$20,$G$20*$B$128,0))</f>
        <v>0</v>
      </c>
    </row>
    <row r="134" spans="1:8" hidden="1">
      <c r="A134" s="370">
        <f t="shared" si="23"/>
        <v>2016</v>
      </c>
      <c r="B134" s="372"/>
      <c r="C134" s="369"/>
      <c r="D134" s="369"/>
      <c r="E134" s="369"/>
      <c r="F134" s="369"/>
      <c r="G134" s="369"/>
      <c r="H134" s="369">
        <f>+IF(H$20&lt;0,0,H$20*$B$128)</f>
        <v>0</v>
      </c>
    </row>
    <row r="135" spans="1:8" hidden="1">
      <c r="A135" s="492" t="s">
        <v>48</v>
      </c>
      <c r="B135" s="493"/>
      <c r="C135" s="379">
        <f t="shared" ref="C135:H135" si="28">+C93+C100+C107+C114+C121+C128</f>
        <v>14397.1795</v>
      </c>
      <c r="D135" s="379">
        <f t="shared" si="28"/>
        <v>14716.4295</v>
      </c>
      <c r="E135" s="379">
        <f t="shared" si="28"/>
        <v>14716.4295</v>
      </c>
      <c r="F135" s="379">
        <f t="shared" si="28"/>
        <v>19106.629500000003</v>
      </c>
      <c r="G135" s="379">
        <f t="shared" si="28"/>
        <v>7945.2219999999998</v>
      </c>
      <c r="H135" s="379">
        <f t="shared" si="28"/>
        <v>4390.2</v>
      </c>
    </row>
    <row r="136" spans="1:8" hidden="1">
      <c r="A136" s="375" t="s">
        <v>323</v>
      </c>
      <c r="B136" s="199"/>
      <c r="C136" s="373"/>
      <c r="D136" s="373"/>
      <c r="E136" s="373"/>
      <c r="F136" s="373"/>
      <c r="G136" s="373"/>
      <c r="H136" s="373"/>
    </row>
    <row r="137" spans="1:8" hidden="1">
      <c r="A137" s="367" t="s">
        <v>333</v>
      </c>
      <c r="B137" s="368">
        <f>+C70</f>
        <v>0</v>
      </c>
      <c r="C137" s="369">
        <f t="shared" ref="C137:H137" si="29">SUM(C138:C143)</f>
        <v>0</v>
      </c>
      <c r="D137" s="369">
        <f t="shared" si="29"/>
        <v>0</v>
      </c>
      <c r="E137" s="369">
        <f t="shared" si="29"/>
        <v>0</v>
      </c>
      <c r="F137" s="369">
        <f t="shared" si="29"/>
        <v>0</v>
      </c>
      <c r="G137" s="369">
        <f t="shared" si="29"/>
        <v>0</v>
      </c>
      <c r="H137" s="369">
        <f t="shared" si="29"/>
        <v>0</v>
      </c>
    </row>
    <row r="138" spans="1:8" hidden="1">
      <c r="A138" s="370">
        <f t="shared" ref="A138:A143" si="30">A101</f>
        <v>2011</v>
      </c>
      <c r="B138" s="368"/>
      <c r="C138" s="369">
        <f>+IF(C$24&lt;0,0,C$24*$B$137)</f>
        <v>0</v>
      </c>
      <c r="D138" s="369">
        <f>+IF(C138=0,0,+IF(ROUNDUP(SUM($C138:C138),0)&lt;$C$24,$C$24*$B$137,0))</f>
        <v>0</v>
      </c>
      <c r="E138" s="369">
        <f>+IF(D138=0,0,+IF(ROUNDUP(SUM($C138:D138),0)&lt;$C$24,$C$24*$B$137,0))</f>
        <v>0</v>
      </c>
      <c r="F138" s="369">
        <f>+IF(E138=0,0,+IF(ROUNDUP(SUM($C138:E138),0)&lt;$C$24,$C$24*$B$137,0))</f>
        <v>0</v>
      </c>
      <c r="G138" s="369">
        <f>+IF(F138=0,0,+IF(ROUNDUP(SUM($C138:F138),0)&lt;$C$24,$C$24*$B$137,0))</f>
        <v>0</v>
      </c>
      <c r="H138" s="369">
        <f>+IF(G138=0,0,+IF(ROUNDUP(SUM($C138:G138),0)&lt;$C$24,$C$24*$B$137,0))</f>
        <v>0</v>
      </c>
    </row>
    <row r="139" spans="1:8" hidden="1">
      <c r="A139" s="370">
        <f t="shared" si="30"/>
        <v>2012</v>
      </c>
      <c r="B139" s="368"/>
      <c r="C139" s="369"/>
      <c r="D139" s="369">
        <f>+IF(D$24&lt;0,0,D$24*$B$137)</f>
        <v>0</v>
      </c>
      <c r="E139" s="369">
        <f>+IF(D139=0,0,+IF(ROUNDUP(SUM($D139:D139),0)&lt;$D$24,$D$24*$B$137,0))</f>
        <v>0</v>
      </c>
      <c r="F139" s="369">
        <f>+IF(E139=0,0,+IF(ROUNDUP(SUM($D139:E139),0)&lt;$D$24,$D$24*$B$137,0))</f>
        <v>0</v>
      </c>
      <c r="G139" s="369">
        <f>+IF(F139=0,0,+IF(ROUNDUP(SUM($D139:F139),0)&lt;$D$24,$D$24*$B$137,0))</f>
        <v>0</v>
      </c>
      <c r="H139" s="369">
        <f>+IF(G139=0,0,+IF(ROUNDUP(SUM($D139:G139),0)&lt;$D$24,$D$24*$B$137,0))</f>
        <v>0</v>
      </c>
    </row>
    <row r="140" spans="1:8" hidden="1">
      <c r="A140" s="370">
        <f t="shared" si="30"/>
        <v>2013</v>
      </c>
      <c r="B140" s="368"/>
      <c r="C140" s="369"/>
      <c r="D140" s="369"/>
      <c r="E140" s="369">
        <f>+IF(E$24&lt;0,0,E$24*$B$137)</f>
        <v>0</v>
      </c>
      <c r="F140" s="369">
        <f>+IF(E140=0,0,+IF(ROUNDUP(SUM($E140:E140),0)&lt;$E$24,$E$24*$B$137,0))</f>
        <v>0</v>
      </c>
      <c r="G140" s="369">
        <f>+IF(F140=0,0,+IF(ROUNDUP(SUM($E140:F140),0)&lt;$E$24,$E$24*$B$137,0))</f>
        <v>0</v>
      </c>
      <c r="H140" s="369">
        <f>+IF(G140=0,0,+IF(ROUNDUP(SUM($E140:G140),0)&lt;$E$24,$E$24*$B$137,0))</f>
        <v>0</v>
      </c>
    </row>
    <row r="141" spans="1:8" hidden="1">
      <c r="A141" s="370">
        <f t="shared" si="30"/>
        <v>2014</v>
      </c>
      <c r="B141" s="368"/>
      <c r="C141" s="369"/>
      <c r="D141" s="369"/>
      <c r="E141" s="369"/>
      <c r="F141" s="369">
        <f>+IF(F$24&lt;0,0,F$24*$B$137)</f>
        <v>0</v>
      </c>
      <c r="G141" s="369">
        <f>+IF(F141=0,0,+IF(ROUNDUP(SUM($F141:F141),0)&lt;$F$24,$F$24*$B$137,0))</f>
        <v>0</v>
      </c>
      <c r="H141" s="369">
        <f>+IF(G141=0,0,+IF(ROUNDUP(SUM($F141:G141),0)&lt;$F$24,$F$24*$B$137,0))</f>
        <v>0</v>
      </c>
    </row>
    <row r="142" spans="1:8" hidden="1">
      <c r="A142" s="370">
        <f t="shared" si="30"/>
        <v>2015</v>
      </c>
      <c r="B142" s="368"/>
      <c r="C142" s="369"/>
      <c r="D142" s="369"/>
      <c r="E142" s="369"/>
      <c r="F142" s="369"/>
      <c r="G142" s="369">
        <f>+IF(G$24&lt;0,0,G$24*$B$137)</f>
        <v>0</v>
      </c>
      <c r="H142" s="369">
        <f>+IF(G142=0,0,+IF(ROUNDUP(SUM($G142:G142),0)&lt;$G$24,$G$24*$B$137,0))</f>
        <v>0</v>
      </c>
    </row>
    <row r="143" spans="1:8" hidden="1">
      <c r="A143" s="370">
        <f t="shared" si="30"/>
        <v>2016</v>
      </c>
      <c r="B143" s="368"/>
      <c r="C143" s="369"/>
      <c r="D143" s="369"/>
      <c r="E143" s="369"/>
      <c r="F143" s="369"/>
      <c r="G143" s="369"/>
      <c r="H143" s="369">
        <f>+IF(H$24&lt;0,0,H$24*$B$137)</f>
        <v>0</v>
      </c>
    </row>
    <row r="144" spans="1:8" hidden="1">
      <c r="A144" s="367" t="s">
        <v>334</v>
      </c>
      <c r="B144" s="368">
        <f>+C71</f>
        <v>0.33333333333333331</v>
      </c>
      <c r="C144" s="369">
        <f t="shared" ref="C144:H144" si="31">SUM(C145:C150)</f>
        <v>1817.49</v>
      </c>
      <c r="D144" s="369">
        <f t="shared" si="31"/>
        <v>1817.49</v>
      </c>
      <c r="E144" s="369">
        <f t="shared" si="31"/>
        <v>1817.49</v>
      </c>
      <c r="F144" s="369">
        <f t="shared" si="31"/>
        <v>0</v>
      </c>
      <c r="G144" s="369">
        <f t="shared" si="31"/>
        <v>0</v>
      </c>
      <c r="H144" s="369">
        <f t="shared" si="31"/>
        <v>0</v>
      </c>
    </row>
    <row r="145" spans="1:8" hidden="1">
      <c r="A145" s="370">
        <f t="shared" ref="A145:A150" si="32">A138</f>
        <v>2011</v>
      </c>
      <c r="B145" s="368"/>
      <c r="C145" s="369">
        <f>+IF(C$25&lt;0,0,C$25*$B$144)</f>
        <v>1817.49</v>
      </c>
      <c r="D145" s="369">
        <f>+IF(C145=0,0,+IF(ROUNDUP(SUM($C145:C145),0)&lt;$C$25,$C$25*$B$144,0))</f>
        <v>1817.49</v>
      </c>
      <c r="E145" s="369">
        <f>+IF(D145=0,0,+IF(ROUNDUP(SUM($C145:D145),0)&lt;$C$25,$C$25*$B$144,0))</f>
        <v>1817.49</v>
      </c>
      <c r="F145" s="369">
        <f>+IF(E145=0,0,+IF(ROUNDUP(SUM($C145:E145),0)&lt;$C$25,$C$25*$B$144,0))</f>
        <v>0</v>
      </c>
      <c r="G145" s="369">
        <f>+IF(F145=0,0,+IF(ROUNDUP(SUM($C145:F145),0)&lt;$C$25,$C$25*$B$144,0))</f>
        <v>0</v>
      </c>
      <c r="H145" s="369">
        <f>+IF(G145=0,0,+IF(ROUNDUP(SUM($C145:G145),0)&lt;$C$25,$C$25*$B$144,0))</f>
        <v>0</v>
      </c>
    </row>
    <row r="146" spans="1:8" hidden="1">
      <c r="A146" s="370">
        <f t="shared" si="32"/>
        <v>2012</v>
      </c>
      <c r="B146" s="368"/>
      <c r="C146" s="369"/>
      <c r="D146" s="369">
        <f>+IF(D$25&lt;0,0,D$25*$B$144)</f>
        <v>0</v>
      </c>
      <c r="E146" s="369">
        <f>+IF(D146=0,0,+IF(ROUNDUP(SUM($D146:D146),0)&lt;$D$25,$D$25*$B$144,0))</f>
        <v>0</v>
      </c>
      <c r="F146" s="369">
        <f>+IF(E146=0,0,+IF(ROUNDUP(SUM($D146:E146),0)&lt;$D$25,$D$25*$B$144,0))</f>
        <v>0</v>
      </c>
      <c r="G146" s="369">
        <f>+IF(F146=0,0,+IF(ROUNDUP(SUM($D146:F146),0)&lt;$D$25,$D$25*$B$144,0))</f>
        <v>0</v>
      </c>
      <c r="H146" s="369">
        <f>+IF(G146=0,0,+IF(ROUNDUP(SUM($D146:G146),0)&lt;$D$25,$D$25*$B$144,0))</f>
        <v>0</v>
      </c>
    </row>
    <row r="147" spans="1:8" hidden="1">
      <c r="A147" s="370">
        <f t="shared" si="32"/>
        <v>2013</v>
      </c>
      <c r="B147" s="368"/>
      <c r="C147" s="369"/>
      <c r="D147" s="369"/>
      <c r="E147" s="369">
        <f>+IF(E$25&lt;0,0,E$25*$B$144)</f>
        <v>0</v>
      </c>
      <c r="F147" s="369">
        <f>+IF(E147=0,0,+IF(ROUNDUP(SUM($E147:E147),0)&lt;$E$25,$E$25*$B$144,0))</f>
        <v>0</v>
      </c>
      <c r="G147" s="369">
        <f>+IF(F147=0,0,+IF(ROUNDUP(SUM($E147:F147),0)&lt;$E$25,$E$25*$B$144,0))</f>
        <v>0</v>
      </c>
      <c r="H147" s="369">
        <f>+IF(G147=0,0,+IF(ROUNDUP(SUM($E147:G147),0)&lt;$E$25,$E$25*$B$144,0))</f>
        <v>0</v>
      </c>
    </row>
    <row r="148" spans="1:8" hidden="1">
      <c r="A148" s="370">
        <f t="shared" si="32"/>
        <v>2014</v>
      </c>
      <c r="B148" s="368"/>
      <c r="C148" s="369"/>
      <c r="D148" s="369"/>
      <c r="E148" s="369"/>
      <c r="F148" s="369">
        <f>+IF(F$25&lt;0,0,F$25*$B$144)</f>
        <v>0</v>
      </c>
      <c r="G148" s="369">
        <f>+IF(F148=0,0,+IF(ROUNDUP(SUM($F148:F148),0)&lt;$F$25,$F$25*$B$144,0))</f>
        <v>0</v>
      </c>
      <c r="H148" s="369">
        <f>+IF(G148=0,0,+IF(ROUNDUP(SUM($F148:G148),0)&lt;$F$25,$F$25*$B$144,0))</f>
        <v>0</v>
      </c>
    </row>
    <row r="149" spans="1:8" hidden="1">
      <c r="A149" s="370">
        <f t="shared" si="32"/>
        <v>2015</v>
      </c>
      <c r="B149" s="368"/>
      <c r="C149" s="369"/>
      <c r="D149" s="369"/>
      <c r="E149" s="369"/>
      <c r="F149" s="369"/>
      <c r="G149" s="369">
        <f>+IF(G$25&lt;0,0,G$25*$B$144)</f>
        <v>0</v>
      </c>
      <c r="H149" s="369">
        <f>+IF(G149=0,0,+IF(ROUNDUP(SUM($G149:G149),0)&lt;$G$25,$G$25*$B$144,0))</f>
        <v>0</v>
      </c>
    </row>
    <row r="150" spans="1:8" hidden="1">
      <c r="A150" s="370">
        <f t="shared" si="32"/>
        <v>2016</v>
      </c>
      <c r="B150" s="368"/>
      <c r="C150" s="369"/>
      <c r="D150" s="369"/>
      <c r="E150" s="369"/>
      <c r="F150" s="369"/>
      <c r="G150" s="369"/>
      <c r="H150" s="369">
        <f>+IF(H$25&lt;0,0,H$25*$B$144)</f>
        <v>0</v>
      </c>
    </row>
    <row r="151" spans="1:8" hidden="1">
      <c r="A151" s="367" t="s">
        <v>335</v>
      </c>
      <c r="B151" s="368">
        <f>+C72</f>
        <v>0.33333333333333331</v>
      </c>
      <c r="C151" s="369">
        <f t="shared" ref="C151:H151" si="33">SUM(C152:C157)</f>
        <v>633.33333333333326</v>
      </c>
      <c r="D151" s="369">
        <f t="shared" si="33"/>
        <v>633.33333333333326</v>
      </c>
      <c r="E151" s="369">
        <f t="shared" si="33"/>
        <v>633.33333333333326</v>
      </c>
      <c r="F151" s="369">
        <f t="shared" si="33"/>
        <v>0</v>
      </c>
      <c r="G151" s="369">
        <f t="shared" si="33"/>
        <v>0</v>
      </c>
      <c r="H151" s="369">
        <f t="shared" si="33"/>
        <v>0</v>
      </c>
    </row>
    <row r="152" spans="1:8" hidden="1">
      <c r="A152" s="370">
        <f t="shared" ref="A152:A164" si="34">A145</f>
        <v>2011</v>
      </c>
      <c r="B152" s="368"/>
      <c r="C152" s="369">
        <f>+IF(C$26&lt;0,0,C$26*$B$151)</f>
        <v>633.33333333333326</v>
      </c>
      <c r="D152" s="369">
        <f>+IF(C152=0,0,+IF(ROUNDUP(SUM($C152:C152),0)&lt;$C$26,$C$26*$B$151,0))</f>
        <v>633.33333333333326</v>
      </c>
      <c r="E152" s="369">
        <f>+IF(D152=0,0,+IF(ROUNDUP(SUM($C152:D152),0)&lt;$C$26,$C$26*$B$151,0))</f>
        <v>633.33333333333326</v>
      </c>
      <c r="F152" s="369">
        <f>+IF(E152=0,0,+IF(ROUNDUP(SUM($C152:E152),0)&lt;$C$26,$C$26*$B$151,0))</f>
        <v>0</v>
      </c>
      <c r="G152" s="369">
        <f>+IF(F152=0,0,+IF(ROUNDUP(SUM($C152:F152),0)&lt;$C$26,$C$26*$B$151,0))</f>
        <v>0</v>
      </c>
      <c r="H152" s="369">
        <f>+IF(G152=0,0,+IF(ROUNDUP(SUM($C152:G152),0)&lt;$C$26,$C$26*$B$151,0))</f>
        <v>0</v>
      </c>
    </row>
    <row r="153" spans="1:8" hidden="1">
      <c r="A153" s="370">
        <f t="shared" si="34"/>
        <v>2012</v>
      </c>
      <c r="B153" s="368"/>
      <c r="C153" s="369"/>
      <c r="D153" s="369">
        <f>+IF(D$26&lt;0,0,D$26*$B$151)</f>
        <v>0</v>
      </c>
      <c r="E153" s="369">
        <f>+IF(D153=0,0,+IF(ROUNDUP(SUM($D153:D153),0)&lt;$D$26,$D$26*$B$151,0))</f>
        <v>0</v>
      </c>
      <c r="F153" s="369">
        <f>+IF(E153=0,0,+IF(ROUNDUP(SUM($D153:E153),0)&lt;$D$26,$D$26*$B$151,0))</f>
        <v>0</v>
      </c>
      <c r="G153" s="369">
        <f>+IF(F153=0,0,+IF(ROUNDUP(SUM($D153:F153),0)&lt;$D$26,$D$26*$B$151,0))</f>
        <v>0</v>
      </c>
      <c r="H153" s="369">
        <f>+IF(G153=0,0,+IF(ROUNDUP(SUM($D153:G153),0)&lt;$D$26,$D$26*$B$151,0))</f>
        <v>0</v>
      </c>
    </row>
    <row r="154" spans="1:8" hidden="1">
      <c r="A154" s="370">
        <f t="shared" si="34"/>
        <v>2013</v>
      </c>
      <c r="B154" s="368"/>
      <c r="C154" s="369"/>
      <c r="D154" s="369"/>
      <c r="E154" s="369">
        <f>+IF(E$26&lt;0,0,E$26*$B$151)</f>
        <v>0</v>
      </c>
      <c r="F154" s="369">
        <f>+IF(E154=0,0,+IF(ROUNDUP(SUM($E154:E154),0)&lt;$E$26,$E$26*$B$151,0))</f>
        <v>0</v>
      </c>
      <c r="G154" s="369">
        <f>+IF(F154=0,0,+IF(ROUNDUP(SUM($E154:F154),0)&lt;$E$26,$E$26*$B$151,0))</f>
        <v>0</v>
      </c>
      <c r="H154" s="369">
        <f>+IF(G154=0,0,+IF(ROUNDUP(SUM($E154:G154),0)&lt;$E$26,$E$26*$B$151,0))</f>
        <v>0</v>
      </c>
    </row>
    <row r="155" spans="1:8" hidden="1">
      <c r="A155" s="370">
        <f t="shared" si="34"/>
        <v>2014</v>
      </c>
      <c r="B155" s="368"/>
      <c r="C155" s="369"/>
      <c r="D155" s="369"/>
      <c r="E155" s="369"/>
      <c r="F155" s="369">
        <f>+IF(F$26&lt;0,0,F$26*$B$151)</f>
        <v>0</v>
      </c>
      <c r="G155" s="369">
        <f>+IF(F155=0,0,+IF(ROUNDUP(SUM($F155:F155),0)&lt;$F$26,$F$26*$B$151,0))</f>
        <v>0</v>
      </c>
      <c r="H155" s="369">
        <f>+IF(G155=0,0,+IF(ROUNDUP(SUM($F155:G155),0)&lt;$F$26,$F$26*$B$151,0))</f>
        <v>0</v>
      </c>
    </row>
    <row r="156" spans="1:8" hidden="1">
      <c r="A156" s="370">
        <f t="shared" si="34"/>
        <v>2015</v>
      </c>
      <c r="B156" s="368"/>
      <c r="C156" s="369"/>
      <c r="D156" s="369"/>
      <c r="E156" s="369"/>
      <c r="F156" s="369"/>
      <c r="G156" s="369">
        <f>+IF(G$26&lt;0,0,G$26*$B$151)</f>
        <v>0</v>
      </c>
      <c r="H156" s="369">
        <f>+IF(G156=0,0,+IF(ROUNDUP(SUM($G156:G156),0)&lt;$G$26,$G$26*$B$151,0))</f>
        <v>0</v>
      </c>
    </row>
    <row r="157" spans="1:8" hidden="1">
      <c r="A157" s="370">
        <f t="shared" si="34"/>
        <v>2016</v>
      </c>
      <c r="B157" s="368"/>
      <c r="C157" s="369"/>
      <c r="D157" s="369"/>
      <c r="E157" s="369"/>
      <c r="F157" s="369"/>
      <c r="G157" s="369"/>
      <c r="H157" s="369">
        <f>+IF(H$26&lt;0,0,H$26*$B$151)</f>
        <v>0</v>
      </c>
    </row>
    <row r="158" spans="1:8" hidden="1">
      <c r="A158" s="367" t="s">
        <v>336</v>
      </c>
      <c r="B158" s="368">
        <f>+C73</f>
        <v>0</v>
      </c>
      <c r="C158" s="369">
        <f t="shared" ref="C158:H158" si="35">SUM(C159:C164)</f>
        <v>0</v>
      </c>
      <c r="D158" s="369">
        <f t="shared" si="35"/>
        <v>0</v>
      </c>
      <c r="E158" s="369">
        <f t="shared" si="35"/>
        <v>0</v>
      </c>
      <c r="F158" s="369">
        <f t="shared" si="35"/>
        <v>0</v>
      </c>
      <c r="G158" s="369">
        <f t="shared" si="35"/>
        <v>0</v>
      </c>
      <c r="H158" s="369">
        <f t="shared" si="35"/>
        <v>0</v>
      </c>
    </row>
    <row r="159" spans="1:8" hidden="1">
      <c r="A159" s="370">
        <f t="shared" si="34"/>
        <v>2011</v>
      </c>
      <c r="B159" s="368"/>
      <c r="C159" s="369">
        <f>+IF(C$27&lt;0,0,C$27*$B$158)</f>
        <v>0</v>
      </c>
      <c r="D159" s="369">
        <f>+IF(C159=0,0,+IF(ROUNDUP(SUM($C159:C159),0)&lt;$C$27,$C$27*$B$158,0))</f>
        <v>0</v>
      </c>
      <c r="E159" s="369">
        <f>+IF(D159=0,0,+IF(ROUNDUP(SUM($C159:D159),0)&lt;$C$27,$C$27*$B$158,0))</f>
        <v>0</v>
      </c>
      <c r="F159" s="369">
        <f>+IF(E159=0,0,+IF(ROUNDUP(SUM($C159:E159),0)&lt;$C$27,$C$27*$B$158,0))</f>
        <v>0</v>
      </c>
      <c r="G159" s="369">
        <f>+IF(F159=0,0,+IF(ROUNDUP(SUM($C159:F159),0)&lt;$C$27,$C$27*$B$158,0))</f>
        <v>0</v>
      </c>
      <c r="H159" s="369">
        <f>+IF(G159=0,0,+IF(ROUNDUP(SUM($C159:G159),0)&lt;$C$27,$C$27*$B$158,0))</f>
        <v>0</v>
      </c>
    </row>
    <row r="160" spans="1:8" hidden="1">
      <c r="A160" s="370">
        <f t="shared" si="34"/>
        <v>2012</v>
      </c>
      <c r="B160" s="368"/>
      <c r="C160" s="369"/>
      <c r="D160" s="369">
        <f>+IF(D$27&lt;0,0,D$27*$B$158)</f>
        <v>0</v>
      </c>
      <c r="E160" s="369">
        <f>+IF(D160=0,0,+IF(ROUNDUP(SUM($D160:D160),0)&lt;$D$27,$D$27*$B$158,0))</f>
        <v>0</v>
      </c>
      <c r="F160" s="369">
        <f>+IF(E160=0,0,+IF(ROUNDUP(SUM($D160:E160),0)&lt;$D$27,$D$27*$B$158,0))</f>
        <v>0</v>
      </c>
      <c r="G160" s="369">
        <f>+IF(F160=0,0,+IF(ROUNDUP(SUM($D160:F160),0)&lt;$D$27,$D$27*$B$158,0))</f>
        <v>0</v>
      </c>
      <c r="H160" s="369">
        <f>+IF(G160=0,0,+IF(ROUNDUP(SUM($D160:G160),0)&lt;$D$27,$D$27*$B$158,0))</f>
        <v>0</v>
      </c>
    </row>
    <row r="161" spans="1:8" hidden="1">
      <c r="A161" s="370">
        <f t="shared" si="34"/>
        <v>2013</v>
      </c>
      <c r="B161" s="368"/>
      <c r="C161" s="369"/>
      <c r="D161" s="369"/>
      <c r="E161" s="369">
        <f>+IF(E$27&lt;0,0,E$27*$B$158)</f>
        <v>0</v>
      </c>
      <c r="F161" s="369">
        <f>+IF(E161=0,0,+IF(ROUNDUP(SUM($E161:E161),0)&lt;$E$27,$E$27*$B$158,0))</f>
        <v>0</v>
      </c>
      <c r="G161" s="369">
        <f>+IF(F161=0,0,+IF(ROUNDUP(SUM($E161:F161),0)&lt;$E$27,$E$27*$B$158,0))</f>
        <v>0</v>
      </c>
      <c r="H161" s="369">
        <f>+IF(G161=0,0,+IF(ROUNDUP(SUM($E161:G161),0)&lt;$E$27,$E$27*$B$158,0))</f>
        <v>0</v>
      </c>
    </row>
    <row r="162" spans="1:8" hidden="1">
      <c r="A162" s="370">
        <f t="shared" si="34"/>
        <v>2014</v>
      </c>
      <c r="B162" s="368"/>
      <c r="C162" s="369"/>
      <c r="D162" s="369"/>
      <c r="E162" s="369"/>
      <c r="F162" s="369">
        <f>+IF(F$27&lt;0,0,F$27*$B$158)</f>
        <v>0</v>
      </c>
      <c r="G162" s="369">
        <f>+IF(F162=0,0,+IF(ROUNDUP(SUM($F162:F162),0)&lt;$F$27,$F$27*$B$158,0))</f>
        <v>0</v>
      </c>
      <c r="H162" s="369">
        <f>+IF(G162=0,0,+IF(ROUNDUP(SUM($F162:G162),0)&lt;$F$27,$F$27*$B$158,0))</f>
        <v>0</v>
      </c>
    </row>
    <row r="163" spans="1:8" hidden="1">
      <c r="A163" s="370">
        <f t="shared" si="34"/>
        <v>2015</v>
      </c>
      <c r="B163" s="368"/>
      <c r="C163" s="369"/>
      <c r="D163" s="369"/>
      <c r="E163" s="369"/>
      <c r="F163" s="369"/>
      <c r="G163" s="369">
        <f>+IF(G$27&lt;0,0,G$27*$B$158)</f>
        <v>0</v>
      </c>
      <c r="H163" s="369">
        <f>+IF(G163=0,0,+IF(ROUNDUP(SUM($G163:G163),0)&lt;$G$27,$G$27*$B$158,0))</f>
        <v>0</v>
      </c>
    </row>
    <row r="164" spans="1:8" hidden="1">
      <c r="A164" s="370">
        <f t="shared" si="34"/>
        <v>2016</v>
      </c>
      <c r="B164" s="368"/>
      <c r="C164" s="369"/>
      <c r="D164" s="369"/>
      <c r="E164" s="369"/>
      <c r="F164" s="369"/>
      <c r="G164" s="369"/>
      <c r="H164" s="369">
        <f>+IF(H$27&lt;0,0,H$27*$B$158)</f>
        <v>0</v>
      </c>
    </row>
    <row r="165" spans="1:8" hidden="1">
      <c r="A165" s="492" t="s">
        <v>48</v>
      </c>
      <c r="B165" s="493"/>
      <c r="C165" s="379">
        <f t="shared" ref="C165:H165" si="36">+C137+C144+C151+C158</f>
        <v>2450.8233333333333</v>
      </c>
      <c r="D165" s="379">
        <f t="shared" si="36"/>
        <v>2450.8233333333333</v>
      </c>
      <c r="E165" s="379">
        <f t="shared" si="36"/>
        <v>2450.8233333333333</v>
      </c>
      <c r="F165" s="379">
        <f t="shared" si="36"/>
        <v>0</v>
      </c>
      <c r="G165" s="379">
        <f t="shared" si="36"/>
        <v>0</v>
      </c>
      <c r="H165" s="379">
        <f t="shared" si="36"/>
        <v>0</v>
      </c>
    </row>
    <row r="166" spans="1:8">
      <c r="A166" s="492" t="s">
        <v>375</v>
      </c>
      <c r="B166" s="493"/>
      <c r="C166" s="374">
        <f t="shared" ref="C166:H166" si="37">+C91+C135+C165</f>
        <v>16848.002833333332</v>
      </c>
      <c r="D166" s="374">
        <f t="shared" si="37"/>
        <v>17167.252833333332</v>
      </c>
      <c r="E166" s="374">
        <f t="shared" si="37"/>
        <v>17167.252833333332</v>
      </c>
      <c r="F166" s="374">
        <f t="shared" si="37"/>
        <v>19106.629500000003</v>
      </c>
      <c r="G166" s="374">
        <f t="shared" si="37"/>
        <v>7945.2219999999998</v>
      </c>
      <c r="H166" s="374">
        <f t="shared" si="37"/>
        <v>4390.2</v>
      </c>
    </row>
    <row r="167" spans="1:8">
      <c r="A167" s="204"/>
      <c r="B167" s="204"/>
      <c r="C167" s="377"/>
      <c r="D167" s="377"/>
      <c r="E167" s="377"/>
      <c r="F167" s="377"/>
      <c r="G167" s="377"/>
      <c r="H167" s="377"/>
    </row>
    <row r="168" spans="1:8">
      <c r="A168" s="204"/>
      <c r="B168" s="204"/>
      <c r="C168" s="377"/>
      <c r="D168" s="377"/>
      <c r="E168" s="377"/>
      <c r="F168" s="377"/>
      <c r="G168" s="377"/>
      <c r="H168" s="377"/>
    </row>
    <row r="169" spans="1:8">
      <c r="A169" s="211" t="s">
        <v>379</v>
      </c>
      <c r="B169" s="212"/>
      <c r="C169" s="197">
        <f>+C7</f>
        <v>2011</v>
      </c>
      <c r="D169" s="197">
        <f>+C169+1</f>
        <v>2012</v>
      </c>
      <c r="E169" s="197">
        <f>+D169+1</f>
        <v>2013</v>
      </c>
      <c r="F169" s="197">
        <f>+E169+1</f>
        <v>2014</v>
      </c>
      <c r="G169" s="197">
        <f>+F169+1</f>
        <v>2015</v>
      </c>
      <c r="H169" s="197">
        <f>+G169+1</f>
        <v>2016</v>
      </c>
    </row>
    <row r="170" spans="1:8">
      <c r="A170" s="376" t="s">
        <v>269</v>
      </c>
      <c r="B170" s="199"/>
      <c r="C170" s="378">
        <f>+C91</f>
        <v>0</v>
      </c>
      <c r="D170" s="378">
        <f>+SUM(C91:D91)</f>
        <v>0</v>
      </c>
      <c r="E170" s="378">
        <f>+SUM(C91:E91)</f>
        <v>0</v>
      </c>
      <c r="F170" s="378">
        <f>+SUM(C91:F91)</f>
        <v>0</v>
      </c>
      <c r="G170" s="378">
        <f>+SUM(C91:G91)</f>
        <v>0</v>
      </c>
      <c r="H170" s="378">
        <f>+SUM(C91:H91)</f>
        <v>0</v>
      </c>
    </row>
    <row r="171" spans="1:8">
      <c r="A171" s="376" t="s">
        <v>274</v>
      </c>
      <c r="B171" s="199"/>
      <c r="C171" s="378">
        <f>+C135</f>
        <v>14397.1795</v>
      </c>
      <c r="D171" s="378">
        <f>+SUM(C135:D135)</f>
        <v>29113.609</v>
      </c>
      <c r="E171" s="378">
        <f>+SUM(C135:E135)</f>
        <v>43830.038500000002</v>
      </c>
      <c r="F171" s="378">
        <f>+SUM(C135:F135)</f>
        <v>62936.668000000005</v>
      </c>
      <c r="G171" s="378">
        <f>+SUM(C135:G135)</f>
        <v>70881.89</v>
      </c>
      <c r="H171" s="378">
        <f>+SUM(C135:H135)</f>
        <v>75272.09</v>
      </c>
    </row>
    <row r="172" spans="1:8">
      <c r="A172" s="375" t="s">
        <v>323</v>
      </c>
      <c r="B172" s="199"/>
      <c r="C172" s="369">
        <f>+C165</f>
        <v>2450.8233333333333</v>
      </c>
      <c r="D172" s="369">
        <f>+SUM(C165:D165)</f>
        <v>4901.6466666666665</v>
      </c>
      <c r="E172" s="369">
        <f>+SUM(C165:E165)</f>
        <v>7352.4699999999993</v>
      </c>
      <c r="F172" s="369">
        <f>+SUM(C165:F165)</f>
        <v>7352.4699999999993</v>
      </c>
      <c r="G172" s="369">
        <f>+SUM(C165:G165)</f>
        <v>7352.4699999999993</v>
      </c>
      <c r="H172" s="369">
        <f>+SUM(C165:H165)</f>
        <v>7352.4699999999993</v>
      </c>
    </row>
    <row r="173" spans="1:8">
      <c r="A173" s="492" t="s">
        <v>48</v>
      </c>
      <c r="B173" s="493"/>
      <c r="C173" s="202">
        <f t="shared" ref="C173:H173" si="38">+C170+C171+C172</f>
        <v>16848.002833333332</v>
      </c>
      <c r="D173" s="202">
        <f t="shared" si="38"/>
        <v>34015.255666666664</v>
      </c>
      <c r="E173" s="202">
        <f t="shared" si="38"/>
        <v>51182.508500000004</v>
      </c>
      <c r="F173" s="202">
        <f t="shared" si="38"/>
        <v>70289.138000000006</v>
      </c>
      <c r="G173" s="202">
        <f t="shared" si="38"/>
        <v>78234.36</v>
      </c>
      <c r="H173" s="202">
        <f t="shared" si="38"/>
        <v>82624.56</v>
      </c>
    </row>
    <row r="174" spans="1:8">
      <c r="A174" s="204"/>
      <c r="B174" s="204"/>
      <c r="C174" s="377"/>
      <c r="D174" s="377"/>
      <c r="E174" s="377"/>
      <c r="F174" s="377"/>
      <c r="G174" s="377"/>
      <c r="H174" s="377"/>
    </row>
    <row r="175" spans="1:8">
      <c r="A175" s="204"/>
      <c r="B175" s="204"/>
      <c r="C175" s="377"/>
      <c r="D175" s="377"/>
      <c r="E175" s="377"/>
      <c r="F175" s="377"/>
      <c r="G175" s="377"/>
      <c r="H175" s="377"/>
    </row>
    <row r="176" spans="1:8">
      <c r="A176" s="211" t="s">
        <v>378</v>
      </c>
      <c r="B176" s="212"/>
      <c r="C176" s="197">
        <f>+C7</f>
        <v>2011</v>
      </c>
      <c r="D176" s="197">
        <f>+C176+1</f>
        <v>2012</v>
      </c>
      <c r="E176" s="197">
        <f>+D176+1</f>
        <v>2013</v>
      </c>
      <c r="F176" s="197">
        <f>+E176+1</f>
        <v>2014</v>
      </c>
      <c r="G176" s="197">
        <f>+F176+1</f>
        <v>2015</v>
      </c>
      <c r="H176" s="197">
        <f>+G176+1</f>
        <v>2016</v>
      </c>
    </row>
    <row r="177" spans="1:8">
      <c r="A177" s="376" t="s">
        <v>269</v>
      </c>
      <c r="B177" s="199"/>
      <c r="C177" s="378">
        <f t="shared" ref="C177:H177" si="39">+C38-C170</f>
        <v>0</v>
      </c>
      <c r="D177" s="378">
        <f t="shared" si="39"/>
        <v>0</v>
      </c>
      <c r="E177" s="378">
        <f t="shared" si="39"/>
        <v>0</v>
      </c>
      <c r="F177" s="378">
        <f t="shared" si="39"/>
        <v>0</v>
      </c>
      <c r="G177" s="378">
        <f t="shared" si="39"/>
        <v>0</v>
      </c>
      <c r="H177" s="378">
        <f t="shared" si="39"/>
        <v>0</v>
      </c>
    </row>
    <row r="178" spans="1:8">
      <c r="A178" s="376" t="s">
        <v>274</v>
      </c>
      <c r="B178" s="199"/>
      <c r="C178" s="378">
        <f t="shared" ref="C178:H178" si="40">+C47-C171</f>
        <v>46427.3105</v>
      </c>
      <c r="D178" s="378">
        <f t="shared" si="40"/>
        <v>32987.880999999994</v>
      </c>
      <c r="E178" s="378">
        <f t="shared" si="40"/>
        <v>18271.451499999996</v>
      </c>
      <c r="F178" s="378">
        <f t="shared" si="40"/>
        <v>21115.822</v>
      </c>
      <c r="G178" s="378">
        <f t="shared" si="40"/>
        <v>13170.600000000006</v>
      </c>
      <c r="H178" s="378">
        <f t="shared" si="40"/>
        <v>8780.4000000000087</v>
      </c>
    </row>
    <row r="179" spans="1:8">
      <c r="A179" s="375" t="s">
        <v>323</v>
      </c>
      <c r="B179" s="199"/>
      <c r="C179" s="369">
        <f t="shared" ref="C179:H179" si="41">+C54-C172</f>
        <v>4901.6466666666674</v>
      </c>
      <c r="D179" s="369">
        <f t="shared" si="41"/>
        <v>2450.8233333333337</v>
      </c>
      <c r="E179" s="369">
        <f t="shared" si="41"/>
        <v>0</v>
      </c>
      <c r="F179" s="369">
        <f t="shared" si="41"/>
        <v>0</v>
      </c>
      <c r="G179" s="369">
        <f t="shared" si="41"/>
        <v>0</v>
      </c>
      <c r="H179" s="369">
        <f t="shared" si="41"/>
        <v>0</v>
      </c>
    </row>
    <row r="180" spans="1:8">
      <c r="A180" s="492" t="s">
        <v>48</v>
      </c>
      <c r="B180" s="493"/>
      <c r="C180" s="202">
        <f t="shared" ref="C180:H180" si="42">+C177+C178+C179</f>
        <v>51328.957166666667</v>
      </c>
      <c r="D180" s="202">
        <f t="shared" si="42"/>
        <v>35438.704333333328</v>
      </c>
      <c r="E180" s="202">
        <f t="shared" si="42"/>
        <v>18271.451499999996</v>
      </c>
      <c r="F180" s="202">
        <f t="shared" si="42"/>
        <v>21115.822</v>
      </c>
      <c r="G180" s="202">
        <f t="shared" si="42"/>
        <v>13170.600000000006</v>
      </c>
      <c r="H180" s="202">
        <f t="shared" si="42"/>
        <v>8780.4000000000087</v>
      </c>
    </row>
  </sheetData>
  <sheetProtection password="8318" sheet="1"/>
  <mergeCells count="18">
    <mergeCell ref="A165:B165"/>
    <mergeCell ref="A180:B180"/>
    <mergeCell ref="A173:B173"/>
    <mergeCell ref="A166:B166"/>
    <mergeCell ref="A29:B29"/>
    <mergeCell ref="A55:B55"/>
    <mergeCell ref="A135:B135"/>
    <mergeCell ref="A38:B38"/>
    <mergeCell ref="A47:B47"/>
    <mergeCell ref="A54:B54"/>
    <mergeCell ref="A4:H4"/>
    <mergeCell ref="A28:B28"/>
    <mergeCell ref="A21:B21"/>
    <mergeCell ref="A12:B12"/>
    <mergeCell ref="A91:B91"/>
    <mergeCell ref="A7:B7"/>
    <mergeCell ref="A33:B33"/>
    <mergeCell ref="A58:C58"/>
  </mergeCells>
  <phoneticPr fontId="2" type="noConversion"/>
  <printOptions horizontalCentered="1"/>
  <pageMargins left="0.75" right="0.75" top="0.39370078740157483" bottom="0.39370078740157483" header="0.51181102362204722" footer="0.51181102362204722"/>
  <pageSetup paperSize="9" scale="90" orientation="portrait" r:id="rId1"/>
  <headerFooter alignWithMargins="0">
    <oddFooter>&amp;C&amp;"Arial,Normal"&amp;8IAPMEI&amp;R&amp;"Arial,Normal"&amp;8&amp;P</oddFooter>
  </headerFooter>
  <ignoredErrors>
    <ignoredError sqref="C71:C72" unlockedFormula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7"/>
  <dimension ref="A1:H100"/>
  <sheetViews>
    <sheetView showGridLines="0" showZeros="0" workbookViewId="0">
      <selection activeCell="J30" sqref="J30"/>
    </sheetView>
  </sheetViews>
  <sheetFormatPr defaultColWidth="8.7109375" defaultRowHeight="12.75"/>
  <cols>
    <col min="1" max="1" width="30.5703125" style="93" customWidth="1"/>
    <col min="2" max="2" width="8.7109375" style="93" customWidth="1"/>
    <col min="3" max="3" width="13.5703125" style="93" customWidth="1"/>
    <col min="4" max="4" width="12.140625" style="93" customWidth="1"/>
    <col min="5" max="8" width="11.7109375" style="93" customWidth="1"/>
    <col min="9" max="16384" width="8.7109375" style="93"/>
  </cols>
  <sheetData>
    <row r="1" spans="1:8" ht="13.5">
      <c r="A1" s="83"/>
      <c r="B1" s="83"/>
      <c r="C1" s="73"/>
      <c r="D1" s="73"/>
      <c r="E1" s="73"/>
      <c r="F1" s="73"/>
      <c r="G1" s="74" t="s">
        <v>65</v>
      </c>
      <c r="H1" s="75" t="str">
        <f>+Pressupostos!E1</f>
        <v>ALI,Conserva&amp;Limpa, Lda</v>
      </c>
    </row>
    <row r="2" spans="1:8">
      <c r="A2" s="83"/>
      <c r="B2" s="83"/>
      <c r="C2" s="83"/>
      <c r="D2" s="83"/>
      <c r="E2" s="83"/>
      <c r="F2" s="83"/>
      <c r="G2" s="83"/>
      <c r="H2" s="78" t="str">
        <f>+Pressupostos!B9</f>
        <v>Euros</v>
      </c>
    </row>
    <row r="3" spans="1:8">
      <c r="A3" s="83"/>
      <c r="B3" s="83"/>
      <c r="C3" s="83"/>
      <c r="D3" s="83"/>
      <c r="E3" s="83"/>
      <c r="F3" s="83"/>
      <c r="G3" s="83"/>
      <c r="H3" s="78"/>
    </row>
    <row r="4" spans="1:8" ht="15.75">
      <c r="A4" s="462" t="s">
        <v>15</v>
      </c>
      <c r="B4" s="462"/>
      <c r="C4" s="462"/>
      <c r="D4" s="462"/>
      <c r="E4" s="462"/>
      <c r="F4" s="462"/>
      <c r="G4" s="462"/>
      <c r="H4" s="462"/>
    </row>
    <row r="5" spans="1:8">
      <c r="A5" s="83"/>
      <c r="B5" s="83"/>
      <c r="C5" s="83"/>
      <c r="D5" s="83"/>
      <c r="E5" s="83"/>
      <c r="F5" s="83"/>
      <c r="G5" s="83"/>
      <c r="H5" s="83"/>
    </row>
    <row r="6" spans="1:8">
      <c r="A6" s="83"/>
      <c r="B6" s="83"/>
      <c r="C6" s="83"/>
      <c r="D6" s="83"/>
      <c r="E6" s="83"/>
      <c r="F6" s="83"/>
      <c r="G6" s="83"/>
      <c r="H6" s="83"/>
    </row>
    <row r="7" spans="1:8">
      <c r="A7" s="81"/>
      <c r="B7" s="104"/>
      <c r="C7" s="80">
        <f>+VN!C8</f>
        <v>2011</v>
      </c>
      <c r="D7" s="80">
        <f>+VN!D8</f>
        <v>2012</v>
      </c>
      <c r="E7" s="80">
        <f>+VN!E8</f>
        <v>2013</v>
      </c>
      <c r="F7" s="80">
        <f>+VN!F8</f>
        <v>2014</v>
      </c>
      <c r="G7" s="80">
        <f>+VN!G8</f>
        <v>2015</v>
      </c>
      <c r="H7" s="80">
        <f>+VN!H8</f>
        <v>2016</v>
      </c>
    </row>
    <row r="8" spans="1:8">
      <c r="A8" s="174" t="s">
        <v>387</v>
      </c>
      <c r="B8" s="124"/>
      <c r="C8" s="138">
        <f>Investimento!C29+FundoManeio!C24</f>
        <v>142244.93863166665</v>
      </c>
      <c r="D8" s="138">
        <f>Investimento!D29+FundoManeio!D24</f>
        <v>21568.922292916701</v>
      </c>
      <c r="E8" s="138">
        <f>Investimento!E29+FundoManeio!E24</f>
        <v>25923.693973086454</v>
      </c>
      <c r="F8" s="138">
        <f>Investimento!F29+FundoManeio!F24</f>
        <v>48542.044063187437</v>
      </c>
      <c r="G8" s="138">
        <f>Investimento!G29+FundoManeio!G24</f>
        <v>28513.61647749535</v>
      </c>
      <c r="H8" s="138">
        <f>Investimento!H29+FundoManeio!H24</f>
        <v>14189.999158354418</v>
      </c>
    </row>
    <row r="9" spans="1:8">
      <c r="A9" s="162" t="s">
        <v>94</v>
      </c>
      <c r="B9" s="124"/>
      <c r="C9" s="66">
        <v>0.02</v>
      </c>
      <c r="D9" s="66">
        <v>0.02</v>
      </c>
      <c r="E9" s="66">
        <v>0.02</v>
      </c>
      <c r="F9" s="66">
        <v>0.02</v>
      </c>
      <c r="G9" s="66">
        <v>0.02</v>
      </c>
      <c r="H9" s="66">
        <v>0.02</v>
      </c>
    </row>
    <row r="10" spans="1:8" ht="13.5" thickBot="1">
      <c r="A10" s="213" t="s">
        <v>95</v>
      </c>
      <c r="B10" s="214"/>
      <c r="C10" s="181">
        <f t="shared" ref="C10:H10" si="0">+ROUND(C8*(1+C9),-2)</f>
        <v>145100</v>
      </c>
      <c r="D10" s="181">
        <f t="shared" si="0"/>
        <v>22000</v>
      </c>
      <c r="E10" s="181">
        <f t="shared" si="0"/>
        <v>26400</v>
      </c>
      <c r="F10" s="181">
        <f t="shared" si="0"/>
        <v>49500</v>
      </c>
      <c r="G10" s="181">
        <f t="shared" si="0"/>
        <v>29100</v>
      </c>
      <c r="H10" s="181">
        <f t="shared" si="0"/>
        <v>14500</v>
      </c>
    </row>
    <row r="11" spans="1:8" ht="13.5" thickTop="1">
      <c r="A11" s="83"/>
      <c r="B11" s="83"/>
      <c r="C11" s="215"/>
      <c r="D11" s="215"/>
      <c r="E11" s="215"/>
      <c r="F11" s="215"/>
      <c r="G11" s="215"/>
      <c r="H11" s="215"/>
    </row>
    <row r="12" spans="1:8">
      <c r="A12" s="83"/>
      <c r="B12" s="83"/>
      <c r="C12" s="215"/>
      <c r="D12" s="215"/>
      <c r="E12" s="215"/>
      <c r="F12" s="215"/>
      <c r="G12" s="215"/>
      <c r="H12" s="215"/>
    </row>
    <row r="13" spans="1:8">
      <c r="A13" s="174" t="s">
        <v>163</v>
      </c>
      <c r="B13" s="124"/>
      <c r="C13" s="80">
        <f t="shared" ref="C13:H13" si="1">+C7</f>
        <v>2011</v>
      </c>
      <c r="D13" s="80">
        <f t="shared" si="1"/>
        <v>2012</v>
      </c>
      <c r="E13" s="80">
        <f t="shared" si="1"/>
        <v>2013</v>
      </c>
      <c r="F13" s="80">
        <f t="shared" si="1"/>
        <v>2014</v>
      </c>
      <c r="G13" s="80">
        <f t="shared" si="1"/>
        <v>2015</v>
      </c>
      <c r="H13" s="80">
        <f t="shared" si="1"/>
        <v>2016</v>
      </c>
    </row>
    <row r="14" spans="1:8">
      <c r="A14" s="84" t="s">
        <v>113</v>
      </c>
      <c r="B14" s="124"/>
      <c r="C14" s="180">
        <f>IF(+'Cash Flow'!C12&gt;0,'Cash Flow'!C12,0)</f>
        <v>0</v>
      </c>
      <c r="D14" s="180">
        <f>IF(+'Cash Flow'!D12&gt;0,'Cash Flow'!D12,0)</f>
        <v>0</v>
      </c>
      <c r="E14" s="180">
        <f>IF(+'Cash Flow'!E12&gt;0,'Cash Flow'!E12,0)</f>
        <v>18093.862888501739</v>
      </c>
      <c r="F14" s="180">
        <f>IF(+'Cash Flow'!F12&gt;0,'Cash Flow'!F12,0)</f>
        <v>54276.084207321539</v>
      </c>
      <c r="G14" s="180">
        <f>IF(+'Cash Flow'!G12&gt;0,'Cash Flow'!G12,0)</f>
        <v>113316.32308111589</v>
      </c>
      <c r="H14" s="180">
        <f>IF(+'Cash Flow'!H12&gt;0,'Cash Flow'!H12,0)</f>
        <v>139599.40586682927</v>
      </c>
    </row>
    <row r="15" spans="1:8">
      <c r="A15" s="84" t="s">
        <v>362</v>
      </c>
      <c r="B15" s="124"/>
      <c r="C15" s="70">
        <v>100000</v>
      </c>
      <c r="D15" s="70"/>
      <c r="E15" s="70"/>
      <c r="F15" s="70"/>
      <c r="G15" s="70"/>
      <c r="H15" s="70"/>
    </row>
    <row r="16" spans="1:8">
      <c r="A16" s="84" t="s">
        <v>386</v>
      </c>
      <c r="B16" s="124"/>
      <c r="C16" s="70"/>
      <c r="D16" s="70">
        <v>90000</v>
      </c>
      <c r="E16" s="70"/>
      <c r="F16" s="70"/>
      <c r="G16" s="70"/>
      <c r="H16" s="70"/>
    </row>
    <row r="17" spans="1:8">
      <c r="A17" s="84" t="s">
        <v>388</v>
      </c>
      <c r="B17" s="124"/>
      <c r="C17" s="70"/>
      <c r="D17" s="70">
        <f>C10-C20</f>
        <v>0</v>
      </c>
      <c r="E17" s="70"/>
      <c r="F17" s="70"/>
      <c r="G17" s="70"/>
      <c r="H17" s="70"/>
    </row>
    <row r="18" spans="1:8">
      <c r="A18" s="84" t="s">
        <v>204</v>
      </c>
      <c r="B18" s="104"/>
      <c r="C18" s="60">
        <v>25200</v>
      </c>
      <c r="D18" s="60"/>
      <c r="E18" s="60">
        <v>8306</v>
      </c>
      <c r="F18" s="60"/>
      <c r="G18" s="60"/>
      <c r="H18" s="60"/>
    </row>
    <row r="19" spans="1:8">
      <c r="A19" s="380" t="s">
        <v>381</v>
      </c>
      <c r="B19" s="331"/>
      <c r="C19" s="61">
        <v>19900</v>
      </c>
      <c r="D19" s="61"/>
      <c r="E19" s="61"/>
      <c r="F19" s="61"/>
      <c r="G19" s="61"/>
      <c r="H19" s="61"/>
    </row>
    <row r="20" spans="1:8" ht="14.25" customHeight="1" thickBot="1">
      <c r="A20" s="471" t="s">
        <v>96</v>
      </c>
      <c r="B20" s="473"/>
      <c r="C20" s="181">
        <f t="shared" ref="C20:H20" si="2">SUM(C14:C19)</f>
        <v>145100</v>
      </c>
      <c r="D20" s="181">
        <f t="shared" si="2"/>
        <v>90000</v>
      </c>
      <c r="E20" s="181">
        <f t="shared" si="2"/>
        <v>26399.862888501739</v>
      </c>
      <c r="F20" s="181">
        <f t="shared" si="2"/>
        <v>54276.084207321539</v>
      </c>
      <c r="G20" s="181">
        <f t="shared" si="2"/>
        <v>113316.32308111589</v>
      </c>
      <c r="H20" s="181">
        <f t="shared" si="2"/>
        <v>139599.40586682927</v>
      </c>
    </row>
    <row r="21" spans="1:8" ht="13.5" thickTop="1">
      <c r="A21" s="83"/>
      <c r="B21" s="83"/>
      <c r="C21" s="216"/>
      <c r="D21" s="216"/>
      <c r="E21" s="216"/>
      <c r="F21" s="216"/>
      <c r="G21" s="216"/>
      <c r="H21" s="216"/>
    </row>
    <row r="22" spans="1:8">
      <c r="A22" s="83" t="s">
        <v>266</v>
      </c>
      <c r="B22" s="344">
        <v>6</v>
      </c>
      <c r="C22" s="217"/>
      <c r="D22" s="217"/>
      <c r="E22" s="217"/>
      <c r="F22" s="217"/>
      <c r="G22" s="217"/>
      <c r="H22" s="217"/>
    </row>
    <row r="23" spans="1:8">
      <c r="A23" s="83" t="s">
        <v>267</v>
      </c>
      <c r="B23" s="345">
        <v>5.7000000000000002E-2</v>
      </c>
      <c r="C23" s="217"/>
      <c r="D23" s="217"/>
      <c r="E23" s="217"/>
      <c r="F23" s="217"/>
      <c r="G23" s="217"/>
      <c r="H23" s="217"/>
    </row>
    <row r="24" spans="1:8">
      <c r="A24" s="83"/>
      <c r="B24" s="83"/>
      <c r="C24" s="83"/>
      <c r="D24" s="83"/>
      <c r="E24" s="83"/>
      <c r="F24" s="83"/>
      <c r="G24" s="83"/>
      <c r="H24" s="83"/>
    </row>
    <row r="25" spans="1:8">
      <c r="A25" s="233">
        <f>+C13</f>
        <v>2011</v>
      </c>
      <c r="B25" s="83"/>
      <c r="C25" s="83"/>
      <c r="D25" s="83"/>
      <c r="E25" s="83"/>
      <c r="F25" s="83"/>
      <c r="G25" s="83"/>
      <c r="H25" s="83"/>
    </row>
    <row r="26" spans="1:8">
      <c r="A26" s="84" t="s">
        <v>205</v>
      </c>
      <c r="B26" s="104"/>
      <c r="C26" s="219">
        <f>+C18</f>
        <v>25200</v>
      </c>
      <c r="D26" s="180">
        <f>+C32</f>
        <v>25200</v>
      </c>
      <c r="E26" s="180">
        <f>+D32</f>
        <v>21000</v>
      </c>
      <c r="F26" s="180">
        <f>+E32</f>
        <v>16800</v>
      </c>
      <c r="G26" s="180">
        <f>+F32</f>
        <v>12600</v>
      </c>
      <c r="H26" s="180">
        <f>+G32</f>
        <v>8400</v>
      </c>
    </row>
    <row r="27" spans="1:8">
      <c r="A27" s="84" t="s">
        <v>12</v>
      </c>
      <c r="B27" s="104"/>
      <c r="C27" s="221">
        <f t="shared" ref="C27:H27" si="3">$B$23</f>
        <v>5.7000000000000002E-2</v>
      </c>
      <c r="D27" s="221">
        <f t="shared" si="3"/>
        <v>5.7000000000000002E-2</v>
      </c>
      <c r="E27" s="221">
        <f t="shared" si="3"/>
        <v>5.7000000000000002E-2</v>
      </c>
      <c r="F27" s="221">
        <f t="shared" si="3"/>
        <v>5.7000000000000002E-2</v>
      </c>
      <c r="G27" s="221">
        <f t="shared" si="3"/>
        <v>5.7000000000000002E-2</v>
      </c>
      <c r="H27" s="221">
        <f t="shared" si="3"/>
        <v>5.7000000000000002E-2</v>
      </c>
    </row>
    <row r="28" spans="1:8">
      <c r="A28" s="84" t="s">
        <v>13</v>
      </c>
      <c r="B28" s="104"/>
      <c r="C28" s="180">
        <f>+C26*C27*FSE!F8/12</f>
        <v>1436.4000000000003</v>
      </c>
      <c r="D28" s="180">
        <f>+D26*D27</f>
        <v>1436.4</v>
      </c>
      <c r="E28" s="180">
        <f>+E26*E27</f>
        <v>1197</v>
      </c>
      <c r="F28" s="180">
        <f>+F26*F27</f>
        <v>957.6</v>
      </c>
      <c r="G28" s="180">
        <f>+G26*G27</f>
        <v>718.2</v>
      </c>
      <c r="H28" s="180">
        <f>+H26*H27</f>
        <v>478.8</v>
      </c>
    </row>
    <row r="29" spans="1:8">
      <c r="A29" s="84" t="s">
        <v>14</v>
      </c>
      <c r="B29" s="104"/>
      <c r="C29" s="234"/>
      <c r="D29" s="180">
        <f>IF(C26=0,0,+$C$26/$B$22)</f>
        <v>4200</v>
      </c>
      <c r="E29" s="180">
        <f>IF(D32&lt;=0,0,+$C$26/$B$22)</f>
        <v>4200</v>
      </c>
      <c r="F29" s="180">
        <f>IF(E32&lt;=0,0,+$C$26/$B$22)</f>
        <v>4200</v>
      </c>
      <c r="G29" s="180">
        <f>IF(F32&lt;=0,0,+$C$26/$B$22)</f>
        <v>4200</v>
      </c>
      <c r="H29" s="180">
        <f>IF(G32&lt;=0,0,+$C$26/$B$22)</f>
        <v>4200</v>
      </c>
    </row>
    <row r="30" spans="1:8">
      <c r="A30" s="84" t="s">
        <v>169</v>
      </c>
      <c r="B30" s="104"/>
      <c r="C30" s="180">
        <f t="shared" ref="C30:H30" si="4">+C28*0.004</f>
        <v>5.7456000000000014</v>
      </c>
      <c r="D30" s="180">
        <f t="shared" si="4"/>
        <v>5.7456000000000005</v>
      </c>
      <c r="E30" s="180">
        <f t="shared" si="4"/>
        <v>4.7880000000000003</v>
      </c>
      <c r="F30" s="180">
        <f t="shared" si="4"/>
        <v>3.8304</v>
      </c>
      <c r="G30" s="180">
        <f t="shared" si="4"/>
        <v>2.8728000000000002</v>
      </c>
      <c r="H30" s="180">
        <f t="shared" si="4"/>
        <v>1.9152</v>
      </c>
    </row>
    <row r="31" spans="1:8">
      <c r="A31" s="84" t="s">
        <v>207</v>
      </c>
      <c r="B31" s="104"/>
      <c r="C31" s="180">
        <f t="shared" ref="C31:H31" si="5">+C28+C29+C30</f>
        <v>1442.1456000000003</v>
      </c>
      <c r="D31" s="180">
        <f t="shared" si="5"/>
        <v>5642.1455999999998</v>
      </c>
      <c r="E31" s="180">
        <f t="shared" si="5"/>
        <v>5401.7879999999996</v>
      </c>
      <c r="F31" s="180">
        <f t="shared" si="5"/>
        <v>5161.4304000000002</v>
      </c>
      <c r="G31" s="180">
        <f t="shared" si="5"/>
        <v>4921.0727999999999</v>
      </c>
      <c r="H31" s="180">
        <f t="shared" si="5"/>
        <v>4680.7152000000006</v>
      </c>
    </row>
    <row r="32" spans="1:8">
      <c r="A32" s="84" t="s">
        <v>206</v>
      </c>
      <c r="B32" s="104"/>
      <c r="C32" s="223">
        <f t="shared" ref="C32:H32" si="6">+C26-C29</f>
        <v>25200</v>
      </c>
      <c r="D32" s="180">
        <f t="shared" si="6"/>
        <v>21000</v>
      </c>
      <c r="E32" s="180">
        <f t="shared" si="6"/>
        <v>16800</v>
      </c>
      <c r="F32" s="180">
        <f t="shared" si="6"/>
        <v>12600</v>
      </c>
      <c r="G32" s="180">
        <f t="shared" si="6"/>
        <v>8400</v>
      </c>
      <c r="H32" s="180">
        <f t="shared" si="6"/>
        <v>4200</v>
      </c>
    </row>
    <row r="33" spans="1:8">
      <c r="A33" s="83"/>
      <c r="B33" s="83"/>
      <c r="C33" s="83"/>
      <c r="D33" s="83"/>
      <c r="E33" s="83"/>
      <c r="F33" s="83"/>
      <c r="G33" s="83"/>
      <c r="H33" s="83"/>
    </row>
    <row r="34" spans="1:8">
      <c r="A34" s="83" t="s">
        <v>266</v>
      </c>
      <c r="B34" s="344">
        <v>1</v>
      </c>
      <c r="C34" s="83"/>
      <c r="D34" s="83"/>
      <c r="E34" s="83"/>
      <c r="F34" s="83"/>
      <c r="G34" s="83"/>
      <c r="H34" s="83"/>
    </row>
    <row r="35" spans="1:8">
      <c r="A35" s="83" t="s">
        <v>267</v>
      </c>
      <c r="B35" s="345">
        <f>Pressupostos!$B$32</f>
        <v>7.1999999999999995E-2</v>
      </c>
      <c r="C35" s="83"/>
      <c r="D35" s="83"/>
      <c r="E35" s="83"/>
      <c r="F35" s="83"/>
      <c r="G35" s="83"/>
      <c r="H35" s="83"/>
    </row>
    <row r="36" spans="1:8">
      <c r="A36" s="83"/>
      <c r="B36" s="83"/>
      <c r="C36" s="83"/>
      <c r="D36" s="83"/>
      <c r="E36" s="83"/>
      <c r="F36" s="83"/>
      <c r="G36" s="83"/>
      <c r="H36" s="83"/>
    </row>
    <row r="37" spans="1:8">
      <c r="A37" s="233">
        <f>+D13</f>
        <v>2012</v>
      </c>
      <c r="B37" s="83"/>
      <c r="C37" s="83"/>
      <c r="D37" s="83"/>
      <c r="E37" s="83"/>
      <c r="F37" s="83"/>
      <c r="G37" s="83"/>
      <c r="H37" s="83"/>
    </row>
    <row r="38" spans="1:8">
      <c r="A38" s="84" t="s">
        <v>205</v>
      </c>
      <c r="B38" s="104"/>
      <c r="C38" s="219">
        <f>+C28</f>
        <v>1436.4000000000003</v>
      </c>
      <c r="D38" s="180">
        <f>+D18</f>
        <v>0</v>
      </c>
      <c r="E38" s="180">
        <f>+D44</f>
        <v>0</v>
      </c>
      <c r="F38" s="180">
        <f>+E44</f>
        <v>0</v>
      </c>
      <c r="G38" s="180">
        <f>+F44</f>
        <v>0</v>
      </c>
      <c r="H38" s="180">
        <f>+G44</f>
        <v>0</v>
      </c>
    </row>
    <row r="39" spans="1:8">
      <c r="A39" s="84" t="s">
        <v>12</v>
      </c>
      <c r="B39" s="104"/>
      <c r="C39" s="220"/>
      <c r="D39" s="221">
        <f>$B$35</f>
        <v>7.1999999999999995E-2</v>
      </c>
      <c r="E39" s="221">
        <f>$B$35</f>
        <v>7.1999999999999995E-2</v>
      </c>
      <c r="F39" s="221">
        <f>$B$35</f>
        <v>7.1999999999999995E-2</v>
      </c>
      <c r="G39" s="221">
        <f>$B$35</f>
        <v>7.1999999999999995E-2</v>
      </c>
      <c r="H39" s="221">
        <f>$B$35</f>
        <v>7.1999999999999995E-2</v>
      </c>
    </row>
    <row r="40" spans="1:8">
      <c r="A40" s="84" t="s">
        <v>13</v>
      </c>
      <c r="B40" s="104"/>
      <c r="C40" s="222"/>
      <c r="D40" s="180">
        <f>+D38*D39</f>
        <v>0</v>
      </c>
      <c r="E40" s="180">
        <f>+E38*E39</f>
        <v>0</v>
      </c>
      <c r="F40" s="180">
        <f>+F38*F39</f>
        <v>0</v>
      </c>
      <c r="G40" s="180">
        <f>+G38*G39</f>
        <v>0</v>
      </c>
      <c r="H40" s="180">
        <f>+H38*H39</f>
        <v>0</v>
      </c>
    </row>
    <row r="41" spans="1:8">
      <c r="A41" s="84" t="s">
        <v>14</v>
      </c>
      <c r="B41" s="104"/>
      <c r="C41" s="222"/>
      <c r="D41" s="180">
        <f>IF(D38=0,0,+$D$38/B34)</f>
        <v>0</v>
      </c>
      <c r="E41" s="180">
        <f>IF(D44&lt;=0,0,+$D$38/$B$34)</f>
        <v>0</v>
      </c>
      <c r="F41" s="180">
        <f>IF(E44&lt;=0,0,+$D$38/$B$34)</f>
        <v>0</v>
      </c>
      <c r="G41" s="180">
        <f>IF(F44&lt;=0,0,+$D$38/$B$34)</f>
        <v>0</v>
      </c>
      <c r="H41" s="180">
        <f>IF(G44&lt;=0,0,+$D$38/$B$34)</f>
        <v>0</v>
      </c>
    </row>
    <row r="42" spans="1:8">
      <c r="A42" s="84" t="s">
        <v>169</v>
      </c>
      <c r="B42" s="104"/>
      <c r="C42" s="222"/>
      <c r="D42" s="180">
        <f>0.004*D40</f>
        <v>0</v>
      </c>
      <c r="E42" s="180">
        <f>0.004*E40</f>
        <v>0</v>
      </c>
      <c r="F42" s="180">
        <f>0.004*F40</f>
        <v>0</v>
      </c>
      <c r="G42" s="180">
        <f>0.004*G40</f>
        <v>0</v>
      </c>
      <c r="H42" s="180">
        <f>0.004*H40</f>
        <v>0</v>
      </c>
    </row>
    <row r="43" spans="1:8">
      <c r="A43" s="84" t="s">
        <v>207</v>
      </c>
      <c r="B43" s="104"/>
      <c r="C43" s="222"/>
      <c r="D43" s="180">
        <f>+D40+D41+D42</f>
        <v>0</v>
      </c>
      <c r="E43" s="180">
        <f>+E40+E41+E42</f>
        <v>0</v>
      </c>
      <c r="F43" s="180">
        <f>+F40+F41+F42</f>
        <v>0</v>
      </c>
      <c r="G43" s="180">
        <f>+G40+G41+G42</f>
        <v>0</v>
      </c>
      <c r="H43" s="180">
        <f>+H40+H41+H42</f>
        <v>0</v>
      </c>
    </row>
    <row r="44" spans="1:8">
      <c r="A44" s="84" t="s">
        <v>206</v>
      </c>
      <c r="B44" s="104"/>
      <c r="C44" s="224"/>
      <c r="D44" s="180">
        <f>+D38-D41</f>
        <v>0</v>
      </c>
      <c r="E44" s="180">
        <f>+E38-E41</f>
        <v>0</v>
      </c>
      <c r="F44" s="180">
        <f>+F38-F41</f>
        <v>0</v>
      </c>
      <c r="G44" s="180">
        <f>+G38-G41</f>
        <v>0</v>
      </c>
      <c r="H44" s="180">
        <f>+H38-H41</f>
        <v>0</v>
      </c>
    </row>
    <row r="45" spans="1:8">
      <c r="A45" s="83"/>
      <c r="B45" s="83"/>
      <c r="C45" s="83"/>
      <c r="D45" s="83"/>
      <c r="E45" s="83"/>
      <c r="F45" s="83"/>
      <c r="G45" s="83"/>
      <c r="H45" s="83"/>
    </row>
    <row r="46" spans="1:8">
      <c r="A46" s="83" t="s">
        <v>266</v>
      </c>
      <c r="B46" s="344">
        <v>1</v>
      </c>
      <c r="C46" s="83"/>
      <c r="D46" s="83"/>
      <c r="E46" s="83"/>
      <c r="F46" s="83"/>
      <c r="G46" s="83"/>
      <c r="H46" s="83"/>
    </row>
    <row r="47" spans="1:8">
      <c r="A47" s="83" t="s">
        <v>267</v>
      </c>
      <c r="B47" s="345">
        <f>Pressupostos!$B$32</f>
        <v>7.1999999999999995E-2</v>
      </c>
      <c r="C47" s="83"/>
      <c r="D47" s="83"/>
      <c r="E47" s="83"/>
      <c r="F47" s="83"/>
      <c r="G47" s="83"/>
      <c r="H47" s="83"/>
    </row>
    <row r="48" spans="1:8">
      <c r="A48" s="83"/>
      <c r="B48" s="83"/>
      <c r="C48" s="83"/>
      <c r="D48" s="83"/>
      <c r="E48" s="83"/>
      <c r="F48" s="83"/>
      <c r="G48" s="83"/>
      <c r="H48" s="83"/>
    </row>
    <row r="49" spans="1:8">
      <c r="A49" s="233">
        <f>+E13</f>
        <v>2013</v>
      </c>
      <c r="B49" s="83"/>
      <c r="C49" s="83"/>
      <c r="D49" s="83"/>
      <c r="E49" s="83"/>
      <c r="F49" s="83"/>
      <c r="G49" s="83"/>
      <c r="H49" s="83"/>
    </row>
    <row r="50" spans="1:8">
      <c r="A50" s="84" t="s">
        <v>205</v>
      </c>
      <c r="B50" s="104"/>
      <c r="C50" s="225">
        <f>+C40</f>
        <v>0</v>
      </c>
      <c r="D50" s="231"/>
      <c r="E50" s="180">
        <f>+E18</f>
        <v>8306</v>
      </c>
      <c r="F50" s="180">
        <f>+E56</f>
        <v>0</v>
      </c>
      <c r="G50" s="180">
        <f>+F56</f>
        <v>0</v>
      </c>
      <c r="H50" s="180">
        <f>+G56</f>
        <v>0</v>
      </c>
    </row>
    <row r="51" spans="1:8">
      <c r="A51" s="84" t="s">
        <v>12</v>
      </c>
      <c r="B51" s="104"/>
      <c r="C51" s="227"/>
      <c r="D51" s="228"/>
      <c r="E51" s="221">
        <f>$B$47</f>
        <v>7.1999999999999995E-2</v>
      </c>
      <c r="F51" s="221">
        <f>$B$47</f>
        <v>7.1999999999999995E-2</v>
      </c>
      <c r="G51" s="221">
        <f>$B$47</f>
        <v>7.1999999999999995E-2</v>
      </c>
      <c r="H51" s="221">
        <f>$B$47</f>
        <v>7.1999999999999995E-2</v>
      </c>
    </row>
    <row r="52" spans="1:8">
      <c r="A52" s="84" t="s">
        <v>13</v>
      </c>
      <c r="B52" s="104"/>
      <c r="C52" s="229"/>
      <c r="D52" s="230"/>
      <c r="E52" s="180">
        <f>+E50*E51</f>
        <v>598.03199999999993</v>
      </c>
      <c r="F52" s="223">
        <f>+F50*F51</f>
        <v>0</v>
      </c>
      <c r="G52" s="223">
        <f>+G50*G51</f>
        <v>0</v>
      </c>
      <c r="H52" s="223">
        <f>+H50*H51</f>
        <v>0</v>
      </c>
    </row>
    <row r="53" spans="1:8">
      <c r="A53" s="84" t="s">
        <v>14</v>
      </c>
      <c r="B53" s="104"/>
      <c r="C53" s="229"/>
      <c r="D53" s="230"/>
      <c r="E53" s="180">
        <f>+IF(E50=0,0,$E$50/$B$46)</f>
        <v>8306</v>
      </c>
      <c r="F53" s="180">
        <f>IF(E56&lt;=9,0,$E$50/$B$46)</f>
        <v>0</v>
      </c>
      <c r="G53" s="180">
        <f>IF(F56&lt;=9,0,$E$50/$B$46)</f>
        <v>0</v>
      </c>
      <c r="H53" s="180">
        <f>IF(G56&lt;=9,0,$E$50/$B$46)</f>
        <v>0</v>
      </c>
    </row>
    <row r="54" spans="1:8">
      <c r="A54" s="84" t="s">
        <v>169</v>
      </c>
      <c r="B54" s="104"/>
      <c r="C54" s="229"/>
      <c r="D54" s="230"/>
      <c r="E54" s="180">
        <f>0.004*E52</f>
        <v>2.3921279999999996</v>
      </c>
      <c r="F54" s="223">
        <f>0.004*F52</f>
        <v>0</v>
      </c>
      <c r="G54" s="223">
        <f>0.004*G52</f>
        <v>0</v>
      </c>
      <c r="H54" s="223">
        <f>0.004*H52</f>
        <v>0</v>
      </c>
    </row>
    <row r="55" spans="1:8">
      <c r="A55" s="84" t="s">
        <v>207</v>
      </c>
      <c r="B55" s="104"/>
      <c r="C55" s="229"/>
      <c r="D55" s="230"/>
      <c r="E55" s="180">
        <f>+E52+E53+E54</f>
        <v>8906.4241279999987</v>
      </c>
      <c r="F55" s="223">
        <f>+F52+F53+F54</f>
        <v>0</v>
      </c>
      <c r="G55" s="223">
        <f>+G52+G53+G54</f>
        <v>0</v>
      </c>
      <c r="H55" s="223">
        <f>+H52+H53+H54</f>
        <v>0</v>
      </c>
    </row>
    <row r="56" spans="1:8">
      <c r="A56" s="84" t="s">
        <v>63</v>
      </c>
      <c r="B56" s="104"/>
      <c r="C56" s="224"/>
      <c r="D56" s="230"/>
      <c r="E56" s="180">
        <f>+E50-E53</f>
        <v>0</v>
      </c>
      <c r="F56" s="223">
        <f>+F50-F53</f>
        <v>0</v>
      </c>
      <c r="G56" s="223">
        <f>+G50-G53</f>
        <v>0</v>
      </c>
      <c r="H56" s="223">
        <f>+H50-H53</f>
        <v>0</v>
      </c>
    </row>
    <row r="57" spans="1:8">
      <c r="A57" s="83"/>
      <c r="B57" s="83"/>
      <c r="C57" s="83"/>
      <c r="D57" s="83"/>
      <c r="E57" s="83"/>
      <c r="F57" s="83"/>
      <c r="G57" s="83"/>
      <c r="H57" s="83"/>
    </row>
    <row r="58" spans="1:8">
      <c r="A58" s="83" t="s">
        <v>266</v>
      </c>
      <c r="B58" s="344">
        <v>1</v>
      </c>
      <c r="C58" s="83"/>
      <c r="D58" s="83"/>
      <c r="E58" s="83"/>
      <c r="F58" s="83"/>
      <c r="G58" s="83"/>
      <c r="H58" s="83"/>
    </row>
    <row r="59" spans="1:8">
      <c r="A59" s="83" t="s">
        <v>267</v>
      </c>
      <c r="B59" s="345">
        <f>Pressupostos!$B$32</f>
        <v>7.1999999999999995E-2</v>
      </c>
      <c r="C59" s="83"/>
      <c r="D59" s="83"/>
      <c r="E59" s="83"/>
      <c r="F59" s="83"/>
      <c r="G59" s="83"/>
      <c r="H59" s="83"/>
    </row>
    <row r="60" spans="1:8">
      <c r="A60" s="83"/>
      <c r="B60" s="83"/>
      <c r="C60" s="83"/>
      <c r="D60" s="83"/>
      <c r="E60" s="83"/>
      <c r="F60" s="83"/>
      <c r="G60" s="83"/>
      <c r="H60" s="83"/>
    </row>
    <row r="61" spans="1:8">
      <c r="A61" s="233">
        <f>+F13</f>
        <v>2014</v>
      </c>
      <c r="B61" s="83"/>
      <c r="C61" s="83"/>
      <c r="D61" s="83"/>
      <c r="E61" s="83"/>
      <c r="F61" s="83"/>
      <c r="G61" s="83"/>
      <c r="H61" s="83"/>
    </row>
    <row r="62" spans="1:8">
      <c r="A62" s="84" t="s">
        <v>205</v>
      </c>
      <c r="B62" s="104"/>
      <c r="C62" s="225">
        <f>+C52</f>
        <v>0</v>
      </c>
      <c r="D62" s="231"/>
      <c r="E62" s="226"/>
      <c r="F62" s="180">
        <f>+F18</f>
        <v>0</v>
      </c>
      <c r="G62" s="180">
        <f>+F68</f>
        <v>0</v>
      </c>
      <c r="H62" s="180">
        <f>+G68</f>
        <v>0</v>
      </c>
    </row>
    <row r="63" spans="1:8">
      <c r="A63" s="84" t="s">
        <v>12</v>
      </c>
      <c r="B63" s="104"/>
      <c r="C63" s="227"/>
      <c r="D63" s="228"/>
      <c r="E63" s="228"/>
      <c r="F63" s="221">
        <f>$B$59</f>
        <v>7.1999999999999995E-2</v>
      </c>
      <c r="G63" s="221">
        <f>$B$59</f>
        <v>7.1999999999999995E-2</v>
      </c>
      <c r="H63" s="221">
        <f>$B$59</f>
        <v>7.1999999999999995E-2</v>
      </c>
    </row>
    <row r="64" spans="1:8">
      <c r="A64" s="84" t="s">
        <v>13</v>
      </c>
      <c r="B64" s="104"/>
      <c r="C64" s="229"/>
      <c r="D64" s="230"/>
      <c r="E64" s="230"/>
      <c r="F64" s="180">
        <f>+F62*F63</f>
        <v>0</v>
      </c>
      <c r="G64" s="223">
        <f>+G62*G63</f>
        <v>0</v>
      </c>
      <c r="H64" s="223">
        <f>+H62*H63</f>
        <v>0</v>
      </c>
    </row>
    <row r="65" spans="1:8">
      <c r="A65" s="84" t="s">
        <v>14</v>
      </c>
      <c r="B65" s="104"/>
      <c r="C65" s="229"/>
      <c r="D65" s="230"/>
      <c r="E65" s="230"/>
      <c r="F65" s="180">
        <f>IF(F62=0,0,$F$62/B58)</f>
        <v>0</v>
      </c>
      <c r="G65" s="223">
        <f>IF(F68&lt;=0,0,$F$62/$B$58)</f>
        <v>0</v>
      </c>
      <c r="H65" s="223">
        <f>IF(G68&lt;=0,0,$F$62/$B$58)</f>
        <v>0</v>
      </c>
    </row>
    <row r="66" spans="1:8">
      <c r="A66" s="84" t="s">
        <v>169</v>
      </c>
      <c r="B66" s="104"/>
      <c r="C66" s="229"/>
      <c r="D66" s="230"/>
      <c r="E66" s="230"/>
      <c r="F66" s="180">
        <f>+F64*0.004</f>
        <v>0</v>
      </c>
      <c r="G66" s="223">
        <f>+G64*0.004</f>
        <v>0</v>
      </c>
      <c r="H66" s="223">
        <f>+H64*0.004</f>
        <v>0</v>
      </c>
    </row>
    <row r="67" spans="1:8">
      <c r="A67" s="84" t="s">
        <v>207</v>
      </c>
      <c r="B67" s="104"/>
      <c r="C67" s="229"/>
      <c r="D67" s="230"/>
      <c r="E67" s="230"/>
      <c r="F67" s="180">
        <f>+F64+F65+F66</f>
        <v>0</v>
      </c>
      <c r="G67" s="223">
        <f>+G64+G65+G66</f>
        <v>0</v>
      </c>
      <c r="H67" s="223">
        <f>+H64+H65+H66</f>
        <v>0</v>
      </c>
    </row>
    <row r="68" spans="1:8">
      <c r="A68" s="84" t="s">
        <v>206</v>
      </c>
      <c r="B68" s="104"/>
      <c r="C68" s="224"/>
      <c r="D68" s="230"/>
      <c r="E68" s="230"/>
      <c r="F68" s="180">
        <f>+F62-F65</f>
        <v>0</v>
      </c>
      <c r="G68" s="223">
        <f>+G62-G65</f>
        <v>0</v>
      </c>
      <c r="H68" s="223">
        <f>+H62-H65</f>
        <v>0</v>
      </c>
    </row>
    <row r="69" spans="1:8">
      <c r="A69" s="83"/>
      <c r="B69" s="83"/>
      <c r="C69" s="83"/>
      <c r="D69" s="83"/>
      <c r="E69" s="83"/>
      <c r="F69" s="83"/>
      <c r="G69" s="83"/>
      <c r="H69" s="83"/>
    </row>
    <row r="70" spans="1:8">
      <c r="A70" s="83" t="s">
        <v>266</v>
      </c>
      <c r="B70" s="344">
        <v>0</v>
      </c>
      <c r="C70" s="83"/>
      <c r="D70" s="83"/>
      <c r="E70" s="83"/>
      <c r="F70" s="83"/>
      <c r="G70" s="83"/>
      <c r="H70" s="83"/>
    </row>
    <row r="71" spans="1:8">
      <c r="A71" s="83" t="s">
        <v>267</v>
      </c>
      <c r="B71" s="345">
        <f>Pressupostos!$B$32</f>
        <v>7.1999999999999995E-2</v>
      </c>
      <c r="C71" s="83"/>
      <c r="D71" s="83"/>
      <c r="E71" s="83"/>
      <c r="F71" s="83"/>
      <c r="G71" s="83"/>
      <c r="H71" s="83"/>
    </row>
    <row r="72" spans="1:8">
      <c r="A72" s="83"/>
      <c r="B72" s="83"/>
      <c r="C72" s="83"/>
      <c r="D72" s="83"/>
      <c r="E72" s="83"/>
      <c r="F72" s="83"/>
      <c r="G72" s="83"/>
      <c r="H72" s="83"/>
    </row>
    <row r="73" spans="1:8">
      <c r="A73" s="233">
        <f>+G13</f>
        <v>2015</v>
      </c>
      <c r="B73" s="83"/>
      <c r="C73" s="83"/>
      <c r="D73" s="83"/>
      <c r="E73" s="83"/>
      <c r="F73" s="83"/>
      <c r="G73" s="83"/>
      <c r="H73" s="83"/>
    </row>
    <row r="74" spans="1:8">
      <c r="A74" s="84" t="s">
        <v>205</v>
      </c>
      <c r="B74" s="104"/>
      <c r="C74" s="225">
        <f>+C64</f>
        <v>0</v>
      </c>
      <c r="D74" s="231"/>
      <c r="E74" s="230"/>
      <c r="F74" s="231"/>
      <c r="G74" s="180">
        <f>+G18</f>
        <v>0</v>
      </c>
      <c r="H74" s="180">
        <f>+G80</f>
        <v>0</v>
      </c>
    </row>
    <row r="75" spans="1:8">
      <c r="A75" s="84" t="s">
        <v>12</v>
      </c>
      <c r="B75" s="104"/>
      <c r="C75" s="227"/>
      <c r="D75" s="228"/>
      <c r="E75" s="228"/>
      <c r="F75" s="228"/>
      <c r="G75" s="221">
        <f>B71</f>
        <v>7.1999999999999995E-2</v>
      </c>
      <c r="H75" s="221">
        <f>B71</f>
        <v>7.1999999999999995E-2</v>
      </c>
    </row>
    <row r="76" spans="1:8">
      <c r="A76" s="84" t="s">
        <v>13</v>
      </c>
      <c r="B76" s="104"/>
      <c r="C76" s="229"/>
      <c r="D76" s="230"/>
      <c r="E76" s="230"/>
      <c r="F76" s="230"/>
      <c r="G76" s="180">
        <f>+G74*G75</f>
        <v>0</v>
      </c>
      <c r="H76" s="223">
        <f>+H74*H75</f>
        <v>0</v>
      </c>
    </row>
    <row r="77" spans="1:8">
      <c r="A77" s="84" t="s">
        <v>14</v>
      </c>
      <c r="B77" s="104"/>
      <c r="C77" s="229"/>
      <c r="D77" s="230"/>
      <c r="E77" s="230"/>
      <c r="F77" s="230"/>
      <c r="G77" s="180">
        <f>IF(G74=0,0,$G$74/B70)</f>
        <v>0</v>
      </c>
      <c r="H77" s="223">
        <f>IF(G80&lt;=0,0,$G$74/B70)</f>
        <v>0</v>
      </c>
    </row>
    <row r="78" spans="1:8">
      <c r="A78" s="84" t="s">
        <v>169</v>
      </c>
      <c r="B78" s="104"/>
      <c r="C78" s="229"/>
      <c r="D78" s="230"/>
      <c r="E78" s="230"/>
      <c r="F78" s="230"/>
      <c r="G78" s="180">
        <f>+G76*0.004</f>
        <v>0</v>
      </c>
      <c r="H78" s="223">
        <f>+H76*0.004</f>
        <v>0</v>
      </c>
    </row>
    <row r="79" spans="1:8">
      <c r="A79" s="84" t="s">
        <v>207</v>
      </c>
      <c r="B79" s="104"/>
      <c r="C79" s="229"/>
      <c r="D79" s="230"/>
      <c r="E79" s="230"/>
      <c r="F79" s="230"/>
      <c r="G79" s="180">
        <f>+G76+G77+G78</f>
        <v>0</v>
      </c>
      <c r="H79" s="223">
        <f>+H76+H77+H78</f>
        <v>0</v>
      </c>
    </row>
    <row r="80" spans="1:8">
      <c r="A80" s="84" t="s">
        <v>206</v>
      </c>
      <c r="B80" s="104"/>
      <c r="C80" s="224"/>
      <c r="D80" s="230"/>
      <c r="E80" s="230"/>
      <c r="F80" s="230"/>
      <c r="G80" s="180">
        <f>+G74-G77</f>
        <v>0</v>
      </c>
      <c r="H80" s="180">
        <f>+H74-H77</f>
        <v>0</v>
      </c>
    </row>
    <row r="81" spans="1:8">
      <c r="A81" s="83"/>
      <c r="B81" s="83"/>
      <c r="C81" s="83"/>
      <c r="D81" s="83"/>
      <c r="E81" s="83"/>
      <c r="F81" s="83"/>
      <c r="G81" s="83"/>
      <c r="H81" s="83"/>
    </row>
    <row r="82" spans="1:8">
      <c r="A82" s="83" t="s">
        <v>266</v>
      </c>
      <c r="B82" s="344"/>
      <c r="C82" s="83"/>
      <c r="D82" s="83"/>
      <c r="E82" s="83"/>
      <c r="F82" s="83"/>
      <c r="G82" s="83"/>
      <c r="H82" s="83"/>
    </row>
    <row r="83" spans="1:8">
      <c r="A83" s="83" t="s">
        <v>267</v>
      </c>
      <c r="B83" s="345">
        <f>Pressupostos!$B$32</f>
        <v>7.1999999999999995E-2</v>
      </c>
      <c r="C83" s="83"/>
      <c r="D83" s="83"/>
      <c r="E83" s="83"/>
      <c r="F83" s="83"/>
      <c r="G83" s="83"/>
      <c r="H83" s="83"/>
    </row>
    <row r="84" spans="1:8">
      <c r="A84" s="83"/>
      <c r="B84" s="83"/>
      <c r="C84" s="83"/>
      <c r="D84" s="83"/>
      <c r="E84" s="83"/>
      <c r="F84" s="83"/>
      <c r="G84" s="83"/>
      <c r="H84" s="83"/>
    </row>
    <row r="85" spans="1:8">
      <c r="A85" s="233">
        <f>+H13</f>
        <v>2016</v>
      </c>
      <c r="B85" s="83"/>
      <c r="C85" s="83"/>
      <c r="D85" s="83"/>
      <c r="E85" s="83"/>
      <c r="F85" s="83"/>
      <c r="G85" s="83"/>
      <c r="H85" s="83"/>
    </row>
    <row r="86" spans="1:8">
      <c r="A86" s="84" t="s">
        <v>205</v>
      </c>
      <c r="B86" s="104"/>
      <c r="C86" s="225">
        <f>+C76</f>
        <v>0</v>
      </c>
      <c r="D86" s="231"/>
      <c r="E86" s="231"/>
      <c r="F86" s="231"/>
      <c r="G86" s="231"/>
      <c r="H86" s="180">
        <f>+H18</f>
        <v>0</v>
      </c>
    </row>
    <row r="87" spans="1:8">
      <c r="A87" s="84" t="s">
        <v>12</v>
      </c>
      <c r="B87" s="104"/>
      <c r="C87" s="227"/>
      <c r="D87" s="228"/>
      <c r="E87" s="228"/>
      <c r="F87" s="228"/>
      <c r="G87" s="228"/>
      <c r="H87" s="221">
        <f>B83</f>
        <v>7.1999999999999995E-2</v>
      </c>
    </row>
    <row r="88" spans="1:8">
      <c r="A88" s="84" t="s">
        <v>13</v>
      </c>
      <c r="B88" s="104"/>
      <c r="C88" s="229"/>
      <c r="D88" s="230"/>
      <c r="E88" s="230"/>
      <c r="F88" s="230"/>
      <c r="G88" s="230"/>
      <c r="H88" s="180">
        <f>+H86*H87</f>
        <v>0</v>
      </c>
    </row>
    <row r="89" spans="1:8">
      <c r="A89" s="84" t="s">
        <v>14</v>
      </c>
      <c r="B89" s="104"/>
      <c r="C89" s="229"/>
      <c r="D89" s="230"/>
      <c r="E89" s="230"/>
      <c r="F89" s="230"/>
      <c r="G89" s="230"/>
      <c r="H89" s="180">
        <f>IF(H86=0,0,$H$86/B82)</f>
        <v>0</v>
      </c>
    </row>
    <row r="90" spans="1:8">
      <c r="A90" s="84" t="s">
        <v>169</v>
      </c>
      <c r="B90" s="104"/>
      <c r="C90" s="229"/>
      <c r="D90" s="230"/>
      <c r="E90" s="230"/>
      <c r="F90" s="230"/>
      <c r="G90" s="230"/>
      <c r="H90" s="180">
        <f>0.004*H88</f>
        <v>0</v>
      </c>
    </row>
    <row r="91" spans="1:8">
      <c r="A91" s="84" t="s">
        <v>207</v>
      </c>
      <c r="B91" s="104"/>
      <c r="C91" s="229"/>
      <c r="D91" s="230"/>
      <c r="E91" s="230"/>
      <c r="F91" s="230"/>
      <c r="G91" s="230"/>
      <c r="H91" s="180">
        <f>+H88+H89+H90</f>
        <v>0</v>
      </c>
    </row>
    <row r="92" spans="1:8">
      <c r="A92" s="84" t="s">
        <v>206</v>
      </c>
      <c r="B92" s="104"/>
      <c r="C92" s="224"/>
      <c r="D92" s="230"/>
      <c r="E92" s="230"/>
      <c r="F92" s="230"/>
      <c r="G92" s="230"/>
      <c r="H92" s="180">
        <f>+H86-H89</f>
        <v>0</v>
      </c>
    </row>
    <row r="93" spans="1:8">
      <c r="A93" s="83"/>
      <c r="B93" s="83"/>
      <c r="C93" s="83"/>
      <c r="D93" s="83"/>
      <c r="E93" s="83"/>
      <c r="F93" s="83"/>
      <c r="G93" s="83"/>
      <c r="H93" s="83"/>
    </row>
    <row r="94" spans="1:8">
      <c r="A94" s="83"/>
      <c r="B94" s="83"/>
      <c r="C94" s="83"/>
      <c r="D94" s="232"/>
      <c r="E94" s="83"/>
      <c r="F94" s="83"/>
      <c r="G94" s="83"/>
      <c r="H94" s="83"/>
    </row>
    <row r="95" spans="1:8">
      <c r="A95" s="174" t="s">
        <v>208</v>
      </c>
      <c r="B95" s="124"/>
      <c r="C95" s="138">
        <f t="shared" ref="C95:H95" si="7">+C32+C44+C56+C68+C80+C92</f>
        <v>25200</v>
      </c>
      <c r="D95" s="138">
        <f t="shared" si="7"/>
        <v>21000</v>
      </c>
      <c r="E95" s="138">
        <f t="shared" si="7"/>
        <v>16800</v>
      </c>
      <c r="F95" s="138">
        <f t="shared" si="7"/>
        <v>12600</v>
      </c>
      <c r="G95" s="138">
        <f t="shared" si="7"/>
        <v>8400</v>
      </c>
      <c r="H95" s="138">
        <f t="shared" si="7"/>
        <v>4200</v>
      </c>
    </row>
    <row r="96" spans="1:8">
      <c r="A96" s="83"/>
      <c r="B96" s="83"/>
      <c r="C96" s="83"/>
      <c r="D96" s="83"/>
      <c r="E96" s="83"/>
      <c r="F96" s="83"/>
      <c r="G96" s="83"/>
      <c r="H96" s="83"/>
    </row>
    <row r="97" spans="1:8">
      <c r="A97" s="174" t="s">
        <v>209</v>
      </c>
      <c r="B97" s="124"/>
      <c r="C97" s="138">
        <f t="shared" ref="C97:H97" si="8">+C28+C40+C52+C64+C76+C88+C30+C42+C54+C66+C78+C90</f>
        <v>1442.1456000000003</v>
      </c>
      <c r="D97" s="138">
        <f t="shared" si="8"/>
        <v>1442.1456000000001</v>
      </c>
      <c r="E97" s="138">
        <f t="shared" si="8"/>
        <v>1802.2121279999999</v>
      </c>
      <c r="F97" s="138">
        <f t="shared" si="8"/>
        <v>961.43040000000008</v>
      </c>
      <c r="G97" s="138">
        <f t="shared" si="8"/>
        <v>721.07280000000003</v>
      </c>
      <c r="H97" s="138">
        <f t="shared" si="8"/>
        <v>480.71520000000004</v>
      </c>
    </row>
    <row r="98" spans="1:8">
      <c r="A98" s="174" t="s">
        <v>117</v>
      </c>
      <c r="B98" s="124"/>
      <c r="C98" s="138">
        <f t="shared" ref="C98:H98" si="9">+C29+C41+C53+C65+C77+C89</f>
        <v>0</v>
      </c>
      <c r="D98" s="138">
        <f t="shared" si="9"/>
        <v>4200</v>
      </c>
      <c r="E98" s="138">
        <f t="shared" si="9"/>
        <v>12506</v>
      </c>
      <c r="F98" s="138">
        <f t="shared" si="9"/>
        <v>4200</v>
      </c>
      <c r="G98" s="138">
        <f t="shared" si="9"/>
        <v>4200</v>
      </c>
      <c r="H98" s="138">
        <f t="shared" si="9"/>
        <v>4200</v>
      </c>
    </row>
    <row r="100" spans="1:8">
      <c r="E100" s="191"/>
      <c r="F100" s="191"/>
      <c r="G100" s="191"/>
      <c r="H100" s="191"/>
    </row>
  </sheetData>
  <sheetProtection password="8318" sheet="1"/>
  <mergeCells count="2">
    <mergeCell ref="A4:H4"/>
    <mergeCell ref="A20:B20"/>
  </mergeCells>
  <phoneticPr fontId="2" type="noConversion"/>
  <printOptions horizontalCentered="1"/>
  <pageMargins left="0.15748031496062992" right="0.15748031496062992" top="0.39370078740157483" bottom="0.39370078740157483" header="0.31496062992125984" footer="0.19685039370078741"/>
  <pageSetup paperSize="9" scale="75" orientation="portrait" r:id="rId1"/>
  <headerFooter alignWithMargins="0">
    <oddFooter>&amp;C&amp;"Arial,Normal"&amp;8IAPMEI&amp;R&amp;"Arial,Normal"&amp;8&amp;P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2"/>
  <dimension ref="A1:G13"/>
  <sheetViews>
    <sheetView showGridLines="0" showZeros="0" workbookViewId="0">
      <selection activeCell="D30" sqref="D30"/>
    </sheetView>
  </sheetViews>
  <sheetFormatPr defaultColWidth="8.7109375" defaultRowHeight="12.75"/>
  <cols>
    <col min="1" max="1" width="53.7109375" style="93" customWidth="1"/>
    <col min="2" max="6" width="11.42578125" style="93" customWidth="1"/>
    <col min="7" max="7" width="11.85546875" style="93" customWidth="1"/>
    <col min="8" max="16384" width="8.7109375" style="93"/>
  </cols>
  <sheetData>
    <row r="1" spans="1:7" ht="13.5">
      <c r="A1" s="83"/>
      <c r="B1" s="83"/>
      <c r="C1" s="117"/>
      <c r="D1" s="73"/>
      <c r="E1" s="73"/>
      <c r="F1" s="119" t="s">
        <v>65</v>
      </c>
      <c r="G1" s="119" t="str">
        <f>+Pressupostos!E1</f>
        <v>ALI,Conserva&amp;Limpa, Lda</v>
      </c>
    </row>
    <row r="2" spans="1:7">
      <c r="A2" s="83"/>
      <c r="B2" s="83"/>
      <c r="C2" s="83"/>
      <c r="D2" s="83"/>
      <c r="E2" s="83"/>
      <c r="F2" s="83"/>
      <c r="G2" s="78" t="str">
        <f>+Pressupostos!B9</f>
        <v>Euros</v>
      </c>
    </row>
    <row r="3" spans="1:7">
      <c r="A3" s="83"/>
      <c r="B3" s="83"/>
      <c r="C3" s="83"/>
      <c r="D3" s="83"/>
      <c r="E3" s="83"/>
      <c r="F3" s="83"/>
      <c r="G3" s="78"/>
    </row>
    <row r="4" spans="1:7" ht="15.75">
      <c r="A4" s="462" t="s">
        <v>417</v>
      </c>
      <c r="B4" s="462"/>
      <c r="C4" s="462"/>
      <c r="D4" s="462"/>
      <c r="E4" s="462"/>
      <c r="F4" s="462"/>
      <c r="G4" s="462"/>
    </row>
    <row r="5" spans="1:7">
      <c r="A5" s="83"/>
      <c r="B5" s="173"/>
      <c r="C5" s="83"/>
      <c r="D5" s="83"/>
      <c r="E5" s="83"/>
      <c r="F5" s="83"/>
      <c r="G5" s="83"/>
    </row>
    <row r="6" spans="1:7">
      <c r="A6" s="83"/>
      <c r="B6" s="235"/>
      <c r="C6" s="83"/>
      <c r="D6" s="83"/>
      <c r="E6" s="83"/>
      <c r="F6" s="83"/>
      <c r="G6" s="83"/>
    </row>
    <row r="7" spans="1:7">
      <c r="A7" s="162"/>
      <c r="B7" s="80">
        <f>+VN!C8</f>
        <v>2011</v>
      </c>
      <c r="C7" s="80">
        <f>+VN!D8</f>
        <v>2012</v>
      </c>
      <c r="D7" s="80">
        <f>+VN!E8</f>
        <v>2013</v>
      </c>
      <c r="E7" s="80">
        <f>+VN!F8</f>
        <v>2014</v>
      </c>
      <c r="F7" s="80">
        <f>+VN!G8</f>
        <v>2015</v>
      </c>
      <c r="G7" s="80">
        <f>+VN!H8</f>
        <v>2016</v>
      </c>
    </row>
    <row r="8" spans="1:7">
      <c r="A8" s="150" t="str">
        <f>DR!A8</f>
        <v>Vendas e serviços prestados</v>
      </c>
      <c r="B8" s="418">
        <f>DR!B8</f>
        <v>582777.88</v>
      </c>
      <c r="C8" s="418">
        <f>DR!C8</f>
        <v>772746.65204000007</v>
      </c>
      <c r="D8" s="418">
        <f>DR!D8</f>
        <v>986935.62404162018</v>
      </c>
      <c r="E8" s="418">
        <f>DR!E8</f>
        <v>1218548.3550210209</v>
      </c>
      <c r="F8" s="418">
        <f>DR!F8</f>
        <v>1450905.9509862291</v>
      </c>
      <c r="G8" s="418">
        <f>DR!G8</f>
        <v>1569180.6150927499</v>
      </c>
    </row>
    <row r="9" spans="1:7">
      <c r="A9" s="162" t="str">
        <f>DR!A11</f>
        <v>Variação nos inventários da produção</v>
      </c>
      <c r="B9" s="418">
        <f>DR!B11</f>
        <v>0</v>
      </c>
      <c r="C9" s="418">
        <f>DR!C11</f>
        <v>0</v>
      </c>
      <c r="D9" s="418">
        <f>DR!D11</f>
        <v>0</v>
      </c>
      <c r="E9" s="418">
        <f>DR!E11</f>
        <v>0</v>
      </c>
      <c r="F9" s="418">
        <f>DR!F11</f>
        <v>0</v>
      </c>
      <c r="G9" s="418">
        <f>DR!G11</f>
        <v>0</v>
      </c>
    </row>
    <row r="10" spans="1:7">
      <c r="A10" s="162" t="s">
        <v>22</v>
      </c>
      <c r="B10" s="418">
        <f>DR!B13</f>
        <v>335943.83599999995</v>
      </c>
      <c r="C10" s="418">
        <f>DR!C13</f>
        <v>448100.16985800007</v>
      </c>
      <c r="D10" s="418">
        <f>DR!D13</f>
        <v>575119.39268672897</v>
      </c>
      <c r="E10" s="418">
        <f>DR!E13</f>
        <v>717969.54054098215</v>
      </c>
      <c r="F10" s="418">
        <f>DR!F13</f>
        <v>855991.02818520379</v>
      </c>
      <c r="G10" s="418">
        <f>DR!G13</f>
        <v>925772.37735309801</v>
      </c>
    </row>
    <row r="11" spans="1:7">
      <c r="A11" s="162" t="s">
        <v>415</v>
      </c>
      <c r="B11" s="418">
        <f>FSE!F47</f>
        <v>25488.78</v>
      </c>
      <c r="C11" s="418">
        <f>FSE!G47</f>
        <v>25998.555600000003</v>
      </c>
      <c r="D11" s="418">
        <f>FSE!H47</f>
        <v>26518.526711999995</v>
      </c>
      <c r="E11" s="418">
        <f>FSE!I47</f>
        <v>27048.897246239998</v>
      </c>
      <c r="F11" s="418">
        <f>FSE!J47</f>
        <v>27589.875191164796</v>
      </c>
      <c r="G11" s="418">
        <f>FSE!K47</f>
        <v>28141.672694988098</v>
      </c>
    </row>
    <row r="12" spans="1:7">
      <c r="A12" s="416" t="s">
        <v>414</v>
      </c>
      <c r="B12" s="419">
        <f t="shared" ref="B12:G12" si="0">B8+B9-B10-B11</f>
        <v>221345.26400000005</v>
      </c>
      <c r="C12" s="419">
        <f t="shared" si="0"/>
        <v>298647.92658199999</v>
      </c>
      <c r="D12" s="419">
        <f t="shared" si="0"/>
        <v>385297.70464289119</v>
      </c>
      <c r="E12" s="419">
        <f t="shared" si="0"/>
        <v>473529.91723379871</v>
      </c>
      <c r="F12" s="419">
        <f t="shared" si="0"/>
        <v>567325.04760986054</v>
      </c>
      <c r="G12" s="419">
        <f t="shared" si="0"/>
        <v>615266.56504466385</v>
      </c>
    </row>
    <row r="13" spans="1:7">
      <c r="A13" s="417" t="s">
        <v>416</v>
      </c>
      <c r="B13" s="420">
        <f>(FSE!F45+DR!B15+DR!B24+DR!B25+DR!B18)/(B12/'Ponto Crítico'!B8)</f>
        <v>863563.0477561492</v>
      </c>
      <c r="C13" s="420">
        <f>(FSE!G45+DR!C15+DR!C24+DR!C25+DR!C18)/(C12/'Ponto Crítico'!C8)</f>
        <v>935475.89624235127</v>
      </c>
      <c r="D13" s="420">
        <f>(FSE!H45+DR!D15+DR!D24+DR!D25+DR!D18)/(D12/'Ponto Crítico'!D8)</f>
        <v>983770.95609085227</v>
      </c>
      <c r="E13" s="420">
        <f>(FSE!I45+DR!E15+DR!E24+DR!E25+DR!E18)/(E12/'Ponto Crítico'!E8)</f>
        <v>1097878.242824967</v>
      </c>
      <c r="F13" s="420">
        <f>(FSE!J45+DR!F15+DR!F24+DR!F25+DR!F18)/(F12/'Ponto Crítico'!F8)</f>
        <v>1091597.3952422496</v>
      </c>
      <c r="G13" s="420">
        <f>(FSE!K45+DR!G15+DR!G24+DR!G25+DR!G18)/(G12/'Ponto Crítico'!G8)</f>
        <v>1109395.8066162018</v>
      </c>
    </row>
  </sheetData>
  <sheetProtection password="8318" sheet="1" objects="1" scenarios="1"/>
  <mergeCells count="1">
    <mergeCell ref="A4:G4"/>
  </mergeCells>
  <phoneticPr fontId="18" type="noConversion"/>
  <printOptions horizontalCentered="1"/>
  <pageMargins left="3.937007874015748E-2" right="3.937007874015748E-2" top="0.39370078740157483" bottom="0.39370078740157483" header="0.51181102362204722" footer="0.51181102362204722"/>
  <pageSetup paperSize="9" scale="90" orientation="portrait" r:id="rId1"/>
  <headerFooter alignWithMargins="0">
    <oddFooter>&amp;C&amp;"Arial,Normal"&amp;8IAPMEI&amp;R&amp;"Arial,Normal"&amp;8&amp;P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8"/>
  <dimension ref="A1:G33"/>
  <sheetViews>
    <sheetView showGridLines="0" showZeros="0" topLeftCell="A5" workbookViewId="0">
      <selection activeCell="H33" sqref="H33"/>
    </sheetView>
  </sheetViews>
  <sheetFormatPr defaultColWidth="8.7109375" defaultRowHeight="12.75"/>
  <cols>
    <col min="1" max="1" width="53.7109375" style="93" customWidth="1"/>
    <col min="2" max="6" width="11.42578125" style="93" customWidth="1"/>
    <col min="7" max="7" width="11.85546875" style="93" customWidth="1"/>
    <col min="8" max="16384" width="8.7109375" style="93"/>
  </cols>
  <sheetData>
    <row r="1" spans="1:7" ht="13.5">
      <c r="A1" s="83"/>
      <c r="B1" s="83"/>
      <c r="C1" s="117"/>
      <c r="D1" s="73"/>
      <c r="E1" s="73"/>
      <c r="F1" s="119" t="s">
        <v>65</v>
      </c>
      <c r="G1" s="119" t="str">
        <f>+Pressupostos!E1</f>
        <v>ALI,Conserva&amp;Limpa, Lda</v>
      </c>
    </row>
    <row r="2" spans="1:7">
      <c r="A2" s="83"/>
      <c r="B2" s="83"/>
      <c r="C2" s="83"/>
      <c r="D2" s="83"/>
      <c r="E2" s="83"/>
      <c r="F2" s="83"/>
      <c r="G2" s="78" t="str">
        <f>+Pressupostos!B9</f>
        <v>Euros</v>
      </c>
    </row>
    <row r="3" spans="1:7">
      <c r="A3" s="83"/>
      <c r="B3" s="83"/>
      <c r="C3" s="83"/>
      <c r="D3" s="83"/>
      <c r="E3" s="83"/>
      <c r="F3" s="83"/>
      <c r="G3" s="78"/>
    </row>
    <row r="4" spans="1:7" ht="15.75">
      <c r="A4" s="462" t="s">
        <v>58</v>
      </c>
      <c r="B4" s="462"/>
      <c r="C4" s="462"/>
      <c r="D4" s="462"/>
      <c r="E4" s="462"/>
      <c r="F4" s="462"/>
      <c r="G4" s="462"/>
    </row>
    <row r="5" spans="1:7">
      <c r="A5" s="83"/>
      <c r="B5" s="173"/>
      <c r="C5" s="83"/>
      <c r="D5" s="83"/>
      <c r="E5" s="83"/>
      <c r="F5" s="83"/>
      <c r="G5" s="83"/>
    </row>
    <row r="6" spans="1:7">
      <c r="A6" s="83"/>
      <c r="B6" s="235"/>
      <c r="C6" s="83"/>
      <c r="D6" s="83"/>
      <c r="E6" s="83"/>
      <c r="F6" s="83"/>
      <c r="G6" s="83"/>
    </row>
    <row r="7" spans="1:7">
      <c r="A7" s="162"/>
      <c r="B7" s="80">
        <f>+VN!C8</f>
        <v>2011</v>
      </c>
      <c r="C7" s="80">
        <f>+VN!D8</f>
        <v>2012</v>
      </c>
      <c r="D7" s="80">
        <f>+VN!E8</f>
        <v>2013</v>
      </c>
      <c r="E7" s="80">
        <f>+VN!F8</f>
        <v>2014</v>
      </c>
      <c r="F7" s="80">
        <f>+VN!G8</f>
        <v>2015</v>
      </c>
      <c r="G7" s="80">
        <f>+VN!H8</f>
        <v>2016</v>
      </c>
    </row>
    <row r="8" spans="1:7">
      <c r="A8" s="162" t="s">
        <v>295</v>
      </c>
      <c r="B8" s="236">
        <f>+VN!C80</f>
        <v>582777.88</v>
      </c>
      <c r="C8" s="236">
        <f>+VN!D80</f>
        <v>772746.65204000007</v>
      </c>
      <c r="D8" s="236">
        <f>+VN!E80</f>
        <v>986935.62404162018</v>
      </c>
      <c r="E8" s="236">
        <f>+VN!F80</f>
        <v>1218548.3550210209</v>
      </c>
      <c r="F8" s="236">
        <f>+VN!G80</f>
        <v>1450905.9509862291</v>
      </c>
      <c r="G8" s="236">
        <f>+VN!H80</f>
        <v>1569180.6150927499</v>
      </c>
    </row>
    <row r="9" spans="1:7">
      <c r="A9" s="162" t="s">
        <v>296</v>
      </c>
      <c r="B9" s="3">
        <v>2000</v>
      </c>
      <c r="C9" s="3"/>
      <c r="D9" s="3"/>
      <c r="E9" s="3"/>
      <c r="F9" s="3"/>
      <c r="G9" s="3"/>
    </row>
    <row r="10" spans="1:7">
      <c r="A10" s="140" t="s">
        <v>297</v>
      </c>
      <c r="B10" s="3"/>
      <c r="C10" s="3"/>
      <c r="D10" s="3"/>
      <c r="E10" s="3"/>
      <c r="F10" s="3"/>
      <c r="G10" s="3"/>
    </row>
    <row r="11" spans="1:7">
      <c r="A11" s="162" t="s">
        <v>306</v>
      </c>
      <c r="B11" s="3"/>
      <c r="C11" s="3"/>
      <c r="D11" s="3"/>
      <c r="E11" s="3"/>
      <c r="F11" s="3"/>
      <c r="G11" s="3"/>
    </row>
    <row r="12" spans="1:7">
      <c r="A12" s="162" t="s">
        <v>294</v>
      </c>
      <c r="B12" s="3"/>
      <c r="C12" s="3"/>
      <c r="D12" s="3"/>
      <c r="E12" s="3"/>
      <c r="F12" s="3"/>
      <c r="G12" s="3"/>
    </row>
    <row r="13" spans="1:7">
      <c r="A13" s="162" t="s">
        <v>22</v>
      </c>
      <c r="B13" s="236">
        <f>+CMVMC!C16</f>
        <v>335943.83599999995</v>
      </c>
      <c r="C13" s="236">
        <f>+CMVMC!D16</f>
        <v>448100.16985800007</v>
      </c>
      <c r="D13" s="236">
        <f>+CMVMC!E16</f>
        <v>575119.39268672897</v>
      </c>
      <c r="E13" s="236">
        <f>+CMVMC!F16</f>
        <v>717969.54054098215</v>
      </c>
      <c r="F13" s="236">
        <f>+CMVMC!G16</f>
        <v>855991.02818520379</v>
      </c>
      <c r="G13" s="236">
        <f>+CMVMC!H16</f>
        <v>925772.37735309801</v>
      </c>
    </row>
    <row r="14" spans="1:7">
      <c r="A14" s="162" t="s">
        <v>293</v>
      </c>
      <c r="B14" s="236">
        <f>+FSE!F43</f>
        <v>110188.68000000001</v>
      </c>
      <c r="C14" s="236">
        <f>+FSE!G43</f>
        <v>112392.45359999999</v>
      </c>
      <c r="D14" s="236">
        <f>+FSE!H43</f>
        <v>114640.30267199999</v>
      </c>
      <c r="E14" s="236">
        <f>+FSE!I43</f>
        <v>116933.10872544</v>
      </c>
      <c r="F14" s="236">
        <f>+FSE!J43</f>
        <v>119271.77089994879</v>
      </c>
      <c r="G14" s="236">
        <f>+FSE!K43</f>
        <v>121657.20631794777</v>
      </c>
    </row>
    <row r="15" spans="1:7">
      <c r="A15" s="162" t="s">
        <v>292</v>
      </c>
      <c r="B15" s="236">
        <f>+'Gastos com Pessoal'!D79</f>
        <v>226442.56719999999</v>
      </c>
      <c r="C15" s="236">
        <f>+'Gastos com Pessoal'!E79</f>
        <v>257977.70027999999</v>
      </c>
      <c r="D15" s="236">
        <f>+'Gastos com Pessoal'!F79</f>
        <v>278773.19577599998</v>
      </c>
      <c r="E15" s="236">
        <f>+'Gastos com Pessoal'!G79</f>
        <v>317646.46997817</v>
      </c>
      <c r="F15" s="236">
        <f>+'Gastos com Pessoal'!H79</f>
        <v>327203.12845958868</v>
      </c>
      <c r="G15" s="236">
        <f>+'Gastos com Pessoal'!I79</f>
        <v>337081.89026593178</v>
      </c>
    </row>
    <row r="16" spans="1:7">
      <c r="A16" s="162" t="s">
        <v>298</v>
      </c>
      <c r="B16" s="3"/>
      <c r="C16" s="3"/>
      <c r="D16" s="3"/>
      <c r="E16" s="3"/>
      <c r="F16" s="3"/>
      <c r="G16" s="3"/>
    </row>
    <row r="17" spans="1:7">
      <c r="A17" s="162" t="s">
        <v>299</v>
      </c>
      <c r="B17" s="236">
        <f>+VN!C87</f>
        <v>0</v>
      </c>
      <c r="C17" s="236">
        <f>+VN!D87</f>
        <v>0</v>
      </c>
      <c r="D17" s="236">
        <f>+VN!E87</f>
        <v>0</v>
      </c>
      <c r="E17" s="236">
        <f>+VN!F87</f>
        <v>0</v>
      </c>
      <c r="F17" s="236">
        <f>+VN!G87</f>
        <v>0</v>
      </c>
      <c r="G17" s="236">
        <f>+VN!H87</f>
        <v>0</v>
      </c>
    </row>
    <row r="18" spans="1:7">
      <c r="A18" s="162" t="s">
        <v>300</v>
      </c>
      <c r="B18" s="3"/>
      <c r="C18" s="3"/>
      <c r="D18" s="3"/>
      <c r="E18" s="3"/>
      <c r="F18" s="3"/>
      <c r="G18" s="3"/>
    </row>
    <row r="19" spans="1:7">
      <c r="A19" s="162" t="s">
        <v>301</v>
      </c>
      <c r="B19" s="3"/>
      <c r="C19" s="3"/>
      <c r="D19" s="3"/>
      <c r="E19" s="3"/>
      <c r="F19" s="3"/>
      <c r="G19" s="3"/>
    </row>
    <row r="20" spans="1:7">
      <c r="A20" s="162" t="s">
        <v>302</v>
      </c>
      <c r="B20" s="3"/>
      <c r="C20" s="3"/>
      <c r="D20" s="3"/>
      <c r="E20" s="3"/>
      <c r="F20" s="3"/>
      <c r="G20" s="3"/>
    </row>
    <row r="21" spans="1:7">
      <c r="A21" s="162" t="s">
        <v>291</v>
      </c>
      <c r="B21" s="3"/>
      <c r="C21" s="3"/>
      <c r="D21" s="3"/>
      <c r="E21" s="3"/>
      <c r="F21" s="3"/>
      <c r="G21" s="3"/>
    </row>
    <row r="22" spans="1:7">
      <c r="A22" s="162" t="s">
        <v>290</v>
      </c>
      <c r="B22" s="3"/>
      <c r="C22" s="3"/>
      <c r="D22" s="3"/>
      <c r="E22" s="3"/>
      <c r="F22" s="3"/>
      <c r="G22" s="3"/>
    </row>
    <row r="23" spans="1:7" ht="13.5" thickBot="1">
      <c r="A23" s="237" t="s">
        <v>303</v>
      </c>
      <c r="B23" s="56">
        <f t="shared" ref="B23:G23" si="0">+B8+B9+B10+B11+B12-B13-B14-B15-B16-B17-B18-B19-B20+B21-B22</f>
        <v>-87797.203199999931</v>
      </c>
      <c r="C23" s="56">
        <f t="shared" si="0"/>
        <v>-45723.671697999991</v>
      </c>
      <c r="D23" s="56">
        <f t="shared" si="0"/>
        <v>18402.732906891208</v>
      </c>
      <c r="E23" s="56">
        <f t="shared" si="0"/>
        <v>65999.235776428715</v>
      </c>
      <c r="F23" s="56">
        <f t="shared" si="0"/>
        <v>148440.02344148787</v>
      </c>
      <c r="G23" s="56">
        <f t="shared" si="0"/>
        <v>184669.14115577238</v>
      </c>
    </row>
    <row r="24" spans="1:7" ht="13.5" thickTop="1">
      <c r="A24" s="162" t="s">
        <v>284</v>
      </c>
      <c r="B24" s="236">
        <f>+Investimento!C166</f>
        <v>16848.002833333332</v>
      </c>
      <c r="C24" s="236">
        <f>+Investimento!D166</f>
        <v>17167.252833333332</v>
      </c>
      <c r="D24" s="236">
        <f>+Investimento!E166</f>
        <v>17167.252833333332</v>
      </c>
      <c r="E24" s="236">
        <f>+Investimento!F166</f>
        <v>19106.629500000003</v>
      </c>
      <c r="F24" s="236">
        <f>+Investimento!G166</f>
        <v>7945.2219999999998</v>
      </c>
      <c r="G24" s="236">
        <f>+Investimento!H166</f>
        <v>4390.2</v>
      </c>
    </row>
    <row r="25" spans="1:7">
      <c r="A25" s="162" t="s">
        <v>285</v>
      </c>
      <c r="B25" s="3"/>
      <c r="C25" s="3"/>
      <c r="D25" s="3"/>
      <c r="E25" s="3"/>
      <c r="F25" s="3"/>
      <c r="G25" s="3"/>
    </row>
    <row r="26" spans="1:7" ht="13.5" thickBot="1">
      <c r="A26" s="237" t="s">
        <v>304</v>
      </c>
      <c r="B26" s="56">
        <f t="shared" ref="B26:G26" si="1">+B23-B24-B25</f>
        <v>-104645.20603333326</v>
      </c>
      <c r="C26" s="56">
        <f t="shared" si="1"/>
        <v>-62890.924531333323</v>
      </c>
      <c r="D26" s="56">
        <f t="shared" si="1"/>
        <v>1235.4800735578756</v>
      </c>
      <c r="E26" s="56">
        <f t="shared" si="1"/>
        <v>46892.606276428713</v>
      </c>
      <c r="F26" s="56">
        <f t="shared" si="1"/>
        <v>140494.80144148786</v>
      </c>
      <c r="G26" s="56">
        <f t="shared" si="1"/>
        <v>180278.94115577237</v>
      </c>
    </row>
    <row r="27" spans="1:7" ht="13.5" thickTop="1">
      <c r="A27" s="162" t="s">
        <v>287</v>
      </c>
      <c r="B27" s="236">
        <f>+IF(PlanoFinanceiro!C29&gt;0,PlanoFinanceiro!C29*Pressupostos!$B$30,0)</f>
        <v>0</v>
      </c>
      <c r="C27" s="236">
        <f>+IF(PlanoFinanceiro!D29&gt;0,PlanoFinanceiro!D29*Pressupostos!$B$30,0)</f>
        <v>0</v>
      </c>
      <c r="D27" s="236">
        <f>+IF(PlanoFinanceiro!E29&gt;0,PlanoFinanceiro!E29*Pressupostos!$B$30,0)</f>
        <v>0</v>
      </c>
      <c r="E27" s="236">
        <f>+IF(PlanoFinanceiro!F29&gt;0,PlanoFinanceiro!F29*Pressupostos!$B$30,0)</f>
        <v>0</v>
      </c>
      <c r="F27" s="236">
        <f>+IF(PlanoFinanceiro!G29&gt;0,PlanoFinanceiro!G29*Pressupostos!$B$30,0)</f>
        <v>392.03170666191795</v>
      </c>
      <c r="G27" s="236">
        <f>+IF(PlanoFinanceiro!H29&gt;0,PlanoFinanceiro!H29*Pressupostos!$B$30,0)</f>
        <v>4130.467378532835</v>
      </c>
    </row>
    <row r="28" spans="1:7">
      <c r="A28" s="162" t="s">
        <v>286</v>
      </c>
      <c r="B28" s="236">
        <f>Financiamento!C97+IF(PlanoFinanceiro!C29&lt;0,-PlanoFinanceiro!C29*Pressupostos!$B$32,0)</f>
        <v>8144.3871186206834</v>
      </c>
      <c r="C28" s="236">
        <f>Financiamento!D97+IF(PlanoFinanceiro!D29&lt;0,-PlanoFinanceiro!D29*Pressupostos!$B$32,0)</f>
        <v>7340.3628620330674</v>
      </c>
      <c r="D28" s="236">
        <f>Financiamento!E97+IF(PlanoFinanceiro!E29&lt;0,-PlanoFinanceiro!E29*Pressupostos!$B$32,0)</f>
        <v>9207.2614081887077</v>
      </c>
      <c r="E28" s="236">
        <f>Financiamento!F97+IF(PlanoFinanceiro!F29&lt;0,-PlanoFinanceiro!F29*Pressupostos!$B$32,0)</f>
        <v>7987.0278845208422</v>
      </c>
      <c r="F28" s="236">
        <f>Financiamento!G97+IF(PlanoFinanceiro!G29&lt;0,-PlanoFinanceiro!G29*Pressupostos!$B$32,0)</f>
        <v>721.07280000000003</v>
      </c>
      <c r="G28" s="236">
        <f>Financiamento!H97+IF(PlanoFinanceiro!H29&lt;0,-PlanoFinanceiro!H29*Pressupostos!$B$32,0)</f>
        <v>480.71520000000004</v>
      </c>
    </row>
    <row r="29" spans="1:7" ht="13.5" thickBot="1">
      <c r="A29" s="237" t="s">
        <v>305</v>
      </c>
      <c r="B29" s="56">
        <f t="shared" ref="B29:G29" si="2">+B26+B27-B28</f>
        <v>-112789.59315195394</v>
      </c>
      <c r="C29" s="56">
        <f t="shared" si="2"/>
        <v>-70231.287393366394</v>
      </c>
      <c r="D29" s="56">
        <f t="shared" si="2"/>
        <v>-7971.7813346308321</v>
      </c>
      <c r="E29" s="56">
        <f t="shared" si="2"/>
        <v>38905.578391907868</v>
      </c>
      <c r="F29" s="56">
        <f t="shared" si="2"/>
        <v>140165.76034814978</v>
      </c>
      <c r="G29" s="56">
        <f t="shared" si="2"/>
        <v>183928.69333430519</v>
      </c>
    </row>
    <row r="30" spans="1:7" ht="13.5" thickTop="1">
      <c r="A30" s="162" t="s">
        <v>288</v>
      </c>
      <c r="B30" s="236">
        <f>IF(B29&gt;0,B29*Pressupostos!$B$28,0)</f>
        <v>0</v>
      </c>
      <c r="C30" s="236">
        <f>IF(C29+C32&lt;0,0,(C29+C32)*Pressupostos!$B$28)</f>
        <v>0</v>
      </c>
      <c r="D30" s="236">
        <f>IF(D29+D32&lt;0,0,(D29+D32)*Pressupostos!$B$28)</f>
        <v>0</v>
      </c>
      <c r="E30" s="236">
        <f>IF(E29+E32&lt;0,0,(E29+E32)*Pressupostos!$B$28)</f>
        <v>0</v>
      </c>
      <c r="F30" s="236">
        <f>IF(F29+F32&lt;0,0,(F29+F32)*Pressupostos!$B$28)</f>
        <v>0</v>
      </c>
      <c r="G30" s="236">
        <f>IF(G29+G32&lt;0,0,(G29+G32)*Pressupostos!$B$28)</f>
        <v>43001.842548602923</v>
      </c>
    </row>
    <row r="31" spans="1:7" ht="13.5" thickBot="1">
      <c r="A31" s="237" t="s">
        <v>289</v>
      </c>
      <c r="B31" s="56">
        <f t="shared" ref="B31:G31" si="3">+B29-B30</f>
        <v>-112789.59315195394</v>
      </c>
      <c r="C31" s="56">
        <f t="shared" si="3"/>
        <v>-70231.287393366394</v>
      </c>
      <c r="D31" s="56">
        <f t="shared" si="3"/>
        <v>-7971.7813346308321</v>
      </c>
      <c r="E31" s="56">
        <f t="shared" si="3"/>
        <v>38905.578391907868</v>
      </c>
      <c r="F31" s="56">
        <f t="shared" si="3"/>
        <v>140165.76034814978</v>
      </c>
      <c r="G31" s="56">
        <f t="shared" si="3"/>
        <v>140926.85078570226</v>
      </c>
    </row>
    <row r="32" spans="1:7" ht="13.5" thickTop="1">
      <c r="A32" s="165"/>
      <c r="B32" s="238"/>
      <c r="C32" s="238">
        <f>IF(B31&lt;0,B31,0)</f>
        <v>-112789.59315195394</v>
      </c>
      <c r="D32" s="238">
        <f>IF(C31+C32&lt;0,C31+C32,0)</f>
        <v>-183020.88054532034</v>
      </c>
      <c r="E32" s="238">
        <f>IF(D31+D32&lt;0,D31+D32,0)</f>
        <v>-190992.66187995116</v>
      </c>
      <c r="F32" s="238">
        <f>IF(E31+E32&lt;0,E31+E32,0)</f>
        <v>-152087.08348804328</v>
      </c>
      <c r="G32" s="238">
        <f>IF(F31+F32&lt;0,F31+F32,0)</f>
        <v>-11921.323139893502</v>
      </c>
    </row>
    <row r="33" spans="2:7">
      <c r="B33" s="239"/>
      <c r="C33" s="239"/>
      <c r="D33" s="239"/>
      <c r="E33" s="239"/>
      <c r="F33" s="239"/>
      <c r="G33" s="239"/>
    </row>
  </sheetData>
  <sheetProtection password="8318" sheet="1"/>
  <mergeCells count="1">
    <mergeCell ref="A4:G4"/>
  </mergeCells>
  <phoneticPr fontId="2" type="noConversion"/>
  <printOptions horizontalCentered="1"/>
  <pageMargins left="3.937007874015748E-2" right="3.937007874015748E-2" top="0.39370078740157483" bottom="0.39370078740157483" header="0.51181102362204722" footer="0.51181102362204722"/>
  <pageSetup paperSize="9" scale="90" orientation="portrait" r:id="rId1"/>
  <headerFooter alignWithMargins="0">
    <oddFooter>&amp;C&amp;"Arial,Normal"&amp;8IAPMEI&amp;R&amp;"Arial,Normal"&amp;8&amp;P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olha4"/>
  <dimension ref="A1:I39"/>
  <sheetViews>
    <sheetView showGridLines="0" showZeros="0" workbookViewId="0">
      <selection activeCell="H23" sqref="A7:H23"/>
    </sheetView>
  </sheetViews>
  <sheetFormatPr defaultColWidth="8.7109375" defaultRowHeight="10.5"/>
  <cols>
    <col min="1" max="1" width="30.85546875" style="242" customWidth="1"/>
    <col min="2" max="2" width="7.5703125" style="242" customWidth="1"/>
    <col min="3" max="13" width="11.42578125" style="242" customWidth="1"/>
    <col min="14" max="16384" width="8.7109375" style="242"/>
  </cols>
  <sheetData>
    <row r="1" spans="1:8" ht="13.5">
      <c r="A1" s="240"/>
      <c r="B1" s="240"/>
      <c r="C1" s="170"/>
      <c r="D1" s="170"/>
      <c r="E1" s="170"/>
      <c r="F1" s="170"/>
      <c r="G1" s="171" t="s">
        <v>65</v>
      </c>
      <c r="H1" s="241" t="str">
        <f>+Pressupostos!E1</f>
        <v>ALI,Conserva&amp;Limpa, Lda</v>
      </c>
    </row>
    <row r="2" spans="1:8" ht="12.75">
      <c r="A2" s="83"/>
      <c r="B2" s="83"/>
      <c r="C2" s="83"/>
      <c r="D2" s="83"/>
      <c r="E2" s="83"/>
      <c r="F2" s="83"/>
      <c r="G2" s="83"/>
      <c r="H2" s="78" t="str">
        <f>+Pressupostos!B9</f>
        <v>Euros</v>
      </c>
    </row>
    <row r="3" spans="1:8" ht="12.75">
      <c r="A3" s="83"/>
      <c r="B3" s="83"/>
      <c r="C3" s="83"/>
      <c r="D3" s="83"/>
      <c r="E3" s="83"/>
      <c r="F3" s="83"/>
      <c r="G3" s="83"/>
      <c r="H3" s="78"/>
    </row>
    <row r="4" spans="1:8" ht="13.5" customHeight="1">
      <c r="A4" s="462" t="s">
        <v>60</v>
      </c>
      <c r="B4" s="462"/>
      <c r="C4" s="462"/>
      <c r="D4" s="462"/>
      <c r="E4" s="462"/>
      <c r="F4" s="462"/>
      <c r="G4" s="462"/>
      <c r="H4" s="462"/>
    </row>
    <row r="5" spans="1:8" ht="12.75" customHeight="1">
      <c r="A5" s="83"/>
      <c r="B5" s="173"/>
      <c r="C5" s="173"/>
      <c r="D5" s="83"/>
      <c r="E5" s="83"/>
      <c r="F5" s="83"/>
      <c r="G5" s="83"/>
      <c r="H5" s="83"/>
    </row>
    <row r="6" spans="1:8" ht="12.75">
      <c r="A6" s="83"/>
      <c r="B6" s="161"/>
      <c r="C6" s="173"/>
      <c r="D6" s="83"/>
      <c r="E6" s="83"/>
      <c r="F6" s="83"/>
      <c r="G6" s="83"/>
      <c r="H6" s="83"/>
    </row>
    <row r="7" spans="1:8" ht="12.75">
      <c r="A7" s="162"/>
      <c r="B7" s="155"/>
      <c r="C7" s="80">
        <f>+VN!C8</f>
        <v>2011</v>
      </c>
      <c r="D7" s="80">
        <f>+VN!D8</f>
        <v>2012</v>
      </c>
      <c r="E7" s="80">
        <f>+VN!E8</f>
        <v>2013</v>
      </c>
      <c r="F7" s="80">
        <f>+VN!F8</f>
        <v>2014</v>
      </c>
      <c r="G7" s="80">
        <f>+VN!G8</f>
        <v>2015</v>
      </c>
      <c r="H7" s="80">
        <f>+VN!H8</f>
        <v>2016</v>
      </c>
    </row>
    <row r="8" spans="1:8" ht="12.75">
      <c r="A8" s="94" t="s">
        <v>89</v>
      </c>
      <c r="B8" s="155"/>
      <c r="C8" s="80"/>
      <c r="D8" s="80"/>
      <c r="E8" s="80"/>
      <c r="F8" s="80"/>
      <c r="G8" s="80"/>
      <c r="H8" s="80"/>
    </row>
    <row r="9" spans="1:8" ht="12.75">
      <c r="A9" s="243" t="s">
        <v>160</v>
      </c>
      <c r="B9" s="244"/>
      <c r="C9" s="138">
        <f>+DR!B26*(1-Pressupostos!$B$28)</f>
        <v>-78483.904524999947</v>
      </c>
      <c r="D9" s="138">
        <f>+DR!C26*(1-Pressupostos!$B$28)</f>
        <v>-47168.193398499992</v>
      </c>
      <c r="E9" s="138">
        <f>+DR!D26*(1-Pressupostos!$B$28)</f>
        <v>926.61005516840669</v>
      </c>
      <c r="F9" s="138">
        <f>+DR!E26*(1-Pressupostos!$B$28)</f>
        <v>35169.454707321536</v>
      </c>
      <c r="G9" s="138">
        <f>+DR!F26*(1-Pressupostos!$B$28)</f>
        <v>105371.10108111589</v>
      </c>
      <c r="H9" s="138">
        <f>+DR!G26*(1-Pressupostos!$B$28)</f>
        <v>135209.20586682926</v>
      </c>
    </row>
    <row r="10" spans="1:8" ht="12.75">
      <c r="A10" s="84" t="s">
        <v>363</v>
      </c>
      <c r="B10" s="244"/>
      <c r="C10" s="138">
        <f>+DR!B24</f>
        <v>16848.002833333332</v>
      </c>
      <c r="D10" s="138">
        <f>+DR!C24</f>
        <v>17167.252833333332</v>
      </c>
      <c r="E10" s="138">
        <f>+DR!D24</f>
        <v>17167.252833333332</v>
      </c>
      <c r="F10" s="138">
        <f>+DR!E24</f>
        <v>19106.629500000003</v>
      </c>
      <c r="G10" s="138">
        <f>+DR!F24</f>
        <v>7945.2219999999998</v>
      </c>
      <c r="H10" s="138">
        <f>+DR!G24</f>
        <v>4390.2</v>
      </c>
    </row>
    <row r="11" spans="1:8" ht="12.75">
      <c r="A11" s="84" t="s">
        <v>210</v>
      </c>
      <c r="B11" s="244"/>
      <c r="C11" s="138">
        <f>+DR!B25</f>
        <v>0</v>
      </c>
      <c r="D11" s="138">
        <f>+DR!C25</f>
        <v>0</v>
      </c>
      <c r="E11" s="138">
        <f>+DR!D25</f>
        <v>0</v>
      </c>
      <c r="F11" s="138">
        <f>+DR!E25</f>
        <v>0</v>
      </c>
      <c r="G11" s="138">
        <f>+DR!F25</f>
        <v>0</v>
      </c>
      <c r="H11" s="138">
        <f>+DR!G25</f>
        <v>0</v>
      </c>
    </row>
    <row r="12" spans="1:8" ht="13.5" thickBot="1">
      <c r="A12" s="84"/>
      <c r="B12" s="151"/>
      <c r="C12" s="181">
        <f t="shared" ref="C12:H12" si="0">SUM(C9:C11)</f>
        <v>-61635.901691666615</v>
      </c>
      <c r="D12" s="181">
        <f t="shared" si="0"/>
        <v>-30000.94056516666</v>
      </c>
      <c r="E12" s="181">
        <f t="shared" si="0"/>
        <v>18093.862888501739</v>
      </c>
      <c r="F12" s="181">
        <f t="shared" si="0"/>
        <v>54276.084207321539</v>
      </c>
      <c r="G12" s="181">
        <f t="shared" si="0"/>
        <v>113316.32308111589</v>
      </c>
      <c r="H12" s="181">
        <f t="shared" si="0"/>
        <v>139599.40586682927</v>
      </c>
    </row>
    <row r="13" spans="1:8" ht="13.5" thickTop="1">
      <c r="A13" s="94" t="s">
        <v>161</v>
      </c>
      <c r="B13" s="245"/>
      <c r="C13" s="246"/>
      <c r="D13" s="246"/>
      <c r="E13" s="246"/>
      <c r="F13" s="246"/>
      <c r="G13" s="246"/>
      <c r="H13" s="246"/>
    </row>
    <row r="14" spans="1:8" ht="12.75">
      <c r="A14" s="243" t="s">
        <v>90</v>
      </c>
      <c r="B14" s="247"/>
      <c r="C14" s="138">
        <f>-FundoManeio!C24</f>
        <v>-74067.978631666643</v>
      </c>
      <c r="D14" s="138">
        <f>-FundoManeio!D24</f>
        <v>-20291.922292916701</v>
      </c>
      <c r="E14" s="138">
        <f>-FundoManeio!E24</f>
        <v>-25923.693973086454</v>
      </c>
      <c r="F14" s="138">
        <f>-FundoManeio!F24</f>
        <v>-26591.044063187437</v>
      </c>
      <c r="G14" s="138">
        <f>-FundoManeio!G24</f>
        <v>-28513.61647749535</v>
      </c>
      <c r="H14" s="138">
        <f>-FundoManeio!H24</f>
        <v>-14189.999158354418</v>
      </c>
    </row>
    <row r="15" spans="1:8">
      <c r="A15" s="248"/>
      <c r="B15" s="248"/>
      <c r="C15" s="248"/>
      <c r="D15" s="248"/>
      <c r="E15" s="248"/>
      <c r="F15" s="248"/>
      <c r="G15" s="248"/>
      <c r="H15" s="248"/>
    </row>
    <row r="16" spans="1:8" ht="13.5" thickBot="1">
      <c r="A16" s="185" t="s">
        <v>93</v>
      </c>
      <c r="B16" s="249"/>
      <c r="C16" s="181">
        <f t="shared" ref="C16:H16" si="1">+SUM(C12:C14)</f>
        <v>-135703.88032333326</v>
      </c>
      <c r="D16" s="181">
        <f t="shared" si="1"/>
        <v>-50292.862858083361</v>
      </c>
      <c r="E16" s="181">
        <f t="shared" si="1"/>
        <v>-7829.8310845847154</v>
      </c>
      <c r="F16" s="181">
        <f t="shared" si="1"/>
        <v>27685.040144134102</v>
      </c>
      <c r="G16" s="181">
        <f t="shared" si="1"/>
        <v>84802.706603620536</v>
      </c>
      <c r="H16" s="181">
        <f t="shared" si="1"/>
        <v>125409.40670847485</v>
      </c>
    </row>
    <row r="17" spans="1:9" ht="13.5" thickTop="1">
      <c r="A17" s="250"/>
      <c r="B17" s="251"/>
      <c r="C17" s="252"/>
      <c r="D17" s="252"/>
      <c r="E17" s="252"/>
      <c r="F17" s="252"/>
      <c r="G17" s="252"/>
      <c r="H17" s="252"/>
    </row>
    <row r="18" spans="1:9" ht="12.75">
      <c r="A18" s="94" t="s">
        <v>162</v>
      </c>
      <c r="B18" s="245"/>
      <c r="C18" s="246"/>
      <c r="D18" s="246"/>
      <c r="E18" s="246"/>
      <c r="F18" s="246"/>
      <c r="G18" s="246"/>
      <c r="H18" s="246"/>
    </row>
    <row r="19" spans="1:9" ht="12.75">
      <c r="A19" s="84" t="s">
        <v>91</v>
      </c>
      <c r="B19" s="244"/>
      <c r="C19" s="138">
        <f>-Investimento!C29</f>
        <v>-68176.959999999992</v>
      </c>
      <c r="D19" s="138">
        <f>-Investimento!D29</f>
        <v>-1277</v>
      </c>
      <c r="E19" s="138">
        <f>-Investimento!E29</f>
        <v>0</v>
      </c>
      <c r="F19" s="138">
        <f>-Investimento!F29</f>
        <v>-21951</v>
      </c>
      <c r="G19" s="138">
        <f>-Investimento!G29</f>
        <v>0</v>
      </c>
      <c r="H19" s="138">
        <f>-Investimento!H29</f>
        <v>0</v>
      </c>
    </row>
    <row r="20" spans="1:9" ht="12.75">
      <c r="A20" s="173"/>
      <c r="B20" s="251"/>
      <c r="C20" s="252"/>
      <c r="D20" s="252"/>
      <c r="E20" s="252"/>
      <c r="F20" s="252"/>
      <c r="G20" s="252"/>
      <c r="H20" s="252"/>
    </row>
    <row r="21" spans="1:9" ht="13.5" thickBot="1">
      <c r="A21" s="185" t="s">
        <v>128</v>
      </c>
      <c r="B21" s="249"/>
      <c r="C21" s="181">
        <f t="shared" ref="C21:H21" si="2">+C12+C14+C19</f>
        <v>-203880.84032333325</v>
      </c>
      <c r="D21" s="181">
        <f t="shared" si="2"/>
        <v>-51569.862858083361</v>
      </c>
      <c r="E21" s="181">
        <f t="shared" si="2"/>
        <v>-7829.8310845847154</v>
      </c>
      <c r="F21" s="181">
        <f t="shared" si="2"/>
        <v>5734.0401441341019</v>
      </c>
      <c r="G21" s="181">
        <f t="shared" si="2"/>
        <v>84802.706603620536</v>
      </c>
      <c r="H21" s="181">
        <f t="shared" si="2"/>
        <v>125409.40670847485</v>
      </c>
    </row>
    <row r="22" spans="1:9" ht="13.5" thickTop="1">
      <c r="A22" s="250"/>
      <c r="B22" s="251"/>
      <c r="C22" s="252"/>
      <c r="D22" s="252"/>
      <c r="E22" s="252"/>
      <c r="F22" s="252"/>
      <c r="G22" s="252"/>
      <c r="H22" s="252"/>
    </row>
    <row r="23" spans="1:9" ht="13.5" thickBot="1">
      <c r="A23" s="185" t="s">
        <v>114</v>
      </c>
      <c r="B23" s="249"/>
      <c r="C23" s="181">
        <f>+SUM(C21)</f>
        <v>-203880.84032333325</v>
      </c>
      <c r="D23" s="181">
        <f>+SUM($C$21:D21)</f>
        <v>-255450.70318141661</v>
      </c>
      <c r="E23" s="181">
        <f>+SUM($C$21:E21)</f>
        <v>-263280.53426600131</v>
      </c>
      <c r="F23" s="181">
        <f>+SUM($C$21:F21)</f>
        <v>-257546.4941218672</v>
      </c>
      <c r="G23" s="181">
        <f>+SUM($C$21:G21)</f>
        <v>-172743.78751824668</v>
      </c>
      <c r="H23" s="181">
        <f>+SUM($C$21:H21)</f>
        <v>-47334.380809771828</v>
      </c>
    </row>
    <row r="24" spans="1:9" ht="13.5" thickTop="1">
      <c r="A24" s="101"/>
      <c r="B24" s="253"/>
      <c r="C24" s="254"/>
      <c r="D24" s="254"/>
      <c r="E24" s="254"/>
      <c r="F24" s="254"/>
      <c r="G24" s="254"/>
      <c r="H24" s="254"/>
    </row>
    <row r="25" spans="1:9" ht="12.75">
      <c r="A25" s="255"/>
      <c r="B25" s="256"/>
      <c r="C25" s="257"/>
      <c r="D25" s="257"/>
      <c r="E25" s="257"/>
      <c r="F25" s="257"/>
      <c r="G25" s="257"/>
      <c r="H25" s="257"/>
      <c r="I25" s="258"/>
    </row>
    <row r="26" spans="1:9" ht="12.75">
      <c r="A26" s="259"/>
      <c r="B26" s="256"/>
      <c r="C26" s="254"/>
      <c r="D26" s="254"/>
      <c r="E26" s="254"/>
      <c r="F26" s="254"/>
      <c r="G26" s="254"/>
      <c r="H26" s="254"/>
    </row>
    <row r="27" spans="1:9" ht="12.75">
      <c r="A27" s="259"/>
      <c r="B27" s="256"/>
      <c r="C27" s="254"/>
      <c r="D27" s="254"/>
      <c r="E27" s="254"/>
      <c r="F27" s="254"/>
      <c r="G27" s="254"/>
      <c r="H27" s="254"/>
    </row>
    <row r="28" spans="1:9" ht="12.75">
      <c r="A28" s="259"/>
      <c r="B28" s="256"/>
      <c r="C28" s="254"/>
      <c r="D28" s="254"/>
      <c r="E28" s="254"/>
      <c r="F28" s="254"/>
      <c r="G28" s="254"/>
      <c r="H28" s="254"/>
    </row>
    <row r="29" spans="1:9" ht="12.75">
      <c r="A29" s="259"/>
      <c r="B29" s="256"/>
      <c r="C29" s="254"/>
      <c r="D29" s="254"/>
      <c r="E29" s="254"/>
      <c r="F29" s="254"/>
      <c r="G29" s="254"/>
      <c r="H29" s="254"/>
    </row>
    <row r="30" spans="1:9" ht="12.75">
      <c r="A30" s="259"/>
      <c r="B30" s="256"/>
      <c r="C30" s="254"/>
      <c r="D30" s="254"/>
      <c r="E30" s="254"/>
      <c r="F30" s="254"/>
      <c r="G30" s="254"/>
      <c r="H30" s="254"/>
    </row>
    <row r="31" spans="1:9" ht="12.75">
      <c r="A31" s="259"/>
      <c r="B31" s="256"/>
      <c r="C31" s="254"/>
      <c r="D31" s="254"/>
      <c r="E31" s="254"/>
      <c r="F31" s="254"/>
      <c r="G31" s="254"/>
      <c r="H31" s="254"/>
    </row>
    <row r="32" spans="1:9" ht="12.75">
      <c r="A32" s="259"/>
      <c r="B32" s="256"/>
      <c r="C32" s="254"/>
      <c r="D32" s="254"/>
      <c r="E32" s="254"/>
      <c r="F32" s="254"/>
      <c r="G32" s="254"/>
      <c r="H32" s="254"/>
    </row>
    <row r="33" spans="1:8" ht="12.75">
      <c r="A33" s="259"/>
      <c r="B33" s="256"/>
      <c r="C33" s="254"/>
      <c r="D33" s="254"/>
      <c r="E33" s="254"/>
      <c r="F33" s="254"/>
      <c r="G33" s="254"/>
      <c r="H33" s="254"/>
    </row>
    <row r="34" spans="1:8" ht="12.75">
      <c r="A34" s="259"/>
      <c r="B34" s="256"/>
      <c r="C34" s="254"/>
      <c r="D34" s="254"/>
      <c r="E34" s="254"/>
      <c r="F34" s="254"/>
      <c r="G34" s="254"/>
      <c r="H34" s="254"/>
    </row>
    <row r="35" spans="1:8" ht="12.75">
      <c r="A35" s="259"/>
      <c r="B35" s="256"/>
      <c r="C35" s="254"/>
      <c r="D35" s="254"/>
      <c r="E35" s="254"/>
      <c r="F35" s="254"/>
      <c r="G35" s="254"/>
      <c r="H35" s="254"/>
    </row>
    <row r="36" spans="1:8" ht="12.75">
      <c r="A36" s="255"/>
      <c r="B36" s="256"/>
      <c r="C36" s="257"/>
      <c r="D36" s="257"/>
      <c r="E36" s="257"/>
      <c r="F36" s="257"/>
      <c r="G36" s="257"/>
      <c r="H36" s="257"/>
    </row>
    <row r="37" spans="1:8" ht="12.75">
      <c r="A37" s="260"/>
      <c r="B37" s="256"/>
      <c r="C37" s="261"/>
      <c r="D37" s="101"/>
      <c r="E37" s="101"/>
      <c r="F37" s="101"/>
      <c r="G37" s="101"/>
      <c r="H37" s="101"/>
    </row>
    <row r="38" spans="1:8" ht="12.75">
      <c r="A38" s="93"/>
      <c r="B38" s="93"/>
      <c r="C38" s="101"/>
      <c r="D38" s="101"/>
      <c r="E38" s="101"/>
      <c r="F38" s="101"/>
      <c r="G38" s="101"/>
      <c r="H38" s="101"/>
    </row>
    <row r="39" spans="1:8">
      <c r="C39" s="262"/>
      <c r="D39" s="262"/>
      <c r="E39" s="262"/>
      <c r="F39" s="262"/>
      <c r="G39" s="262"/>
      <c r="H39" s="262"/>
    </row>
  </sheetData>
  <sheetProtection password="8318" sheet="1" objects="1" scenarios="1"/>
  <mergeCells count="1">
    <mergeCell ref="A4:H4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90" orientation="portrait" r:id="rId1"/>
  <headerFooter alignWithMargins="0">
    <oddFooter>&amp;C&amp;"Arial,Normal"&amp;8IAPMEI&amp;R&amp;"Arial,Normal"&amp;8&amp;P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olha5"/>
  <dimension ref="A1:H35"/>
  <sheetViews>
    <sheetView showGridLines="0" showZeros="0" tabSelected="1" topLeftCell="A16" workbookViewId="0">
      <selection activeCell="E31" sqref="E31"/>
    </sheetView>
  </sheetViews>
  <sheetFormatPr defaultColWidth="8.7109375" defaultRowHeight="12.75"/>
  <cols>
    <col min="1" max="1" width="30.5703125" style="93" customWidth="1"/>
    <col min="2" max="2" width="3.140625" style="93" customWidth="1"/>
    <col min="3" max="3" width="13.5703125" style="93" customWidth="1"/>
    <col min="4" max="4" width="12.140625" style="93" customWidth="1"/>
    <col min="5" max="8" width="11.7109375" style="93" customWidth="1"/>
    <col min="9" max="16384" width="8.7109375" style="93"/>
  </cols>
  <sheetData>
    <row r="1" spans="1:8" ht="13.5">
      <c r="A1" s="83"/>
      <c r="B1" s="83"/>
      <c r="C1" s="73"/>
      <c r="D1" s="73"/>
      <c r="E1" s="73"/>
      <c r="F1" s="73"/>
      <c r="G1" s="74" t="s">
        <v>65</v>
      </c>
      <c r="H1" s="119" t="str">
        <f>+Pressupostos!E1</f>
        <v>ALI,Conserva&amp;Limpa, Lda</v>
      </c>
    </row>
    <row r="2" spans="1:8">
      <c r="A2" s="83"/>
      <c r="B2" s="83"/>
      <c r="C2" s="83"/>
      <c r="D2" s="83"/>
      <c r="E2" s="83"/>
      <c r="F2" s="83"/>
      <c r="G2" s="83"/>
      <c r="H2" s="78" t="str">
        <f>+Pressupostos!B9</f>
        <v>Euros</v>
      </c>
    </row>
    <row r="3" spans="1:8">
      <c r="A3" s="83"/>
      <c r="B3" s="83"/>
      <c r="C3" s="83"/>
      <c r="D3" s="83"/>
      <c r="E3" s="83"/>
      <c r="F3" s="83"/>
      <c r="G3" s="83"/>
      <c r="H3" s="78"/>
    </row>
    <row r="4" spans="1:8" ht="15.75">
      <c r="A4" s="462" t="s">
        <v>164</v>
      </c>
      <c r="B4" s="462"/>
      <c r="C4" s="462"/>
      <c r="D4" s="462"/>
      <c r="E4" s="462"/>
      <c r="F4" s="462"/>
      <c r="G4" s="462"/>
      <c r="H4" s="462"/>
    </row>
    <row r="5" spans="1:8">
      <c r="A5" s="83"/>
      <c r="B5" s="83"/>
      <c r="C5" s="83"/>
      <c r="D5" s="83"/>
      <c r="E5" s="83"/>
      <c r="F5" s="83"/>
      <c r="G5" s="83"/>
      <c r="H5" s="83"/>
    </row>
    <row r="6" spans="1:8">
      <c r="A6" s="83"/>
      <c r="B6" s="83"/>
      <c r="C6" s="83"/>
      <c r="D6" s="83"/>
      <c r="E6" s="83"/>
      <c r="F6" s="83"/>
      <c r="G6" s="83"/>
      <c r="H6" s="83"/>
    </row>
    <row r="7" spans="1:8">
      <c r="A7" s="81"/>
      <c r="B7" s="104"/>
      <c r="C7" s="80">
        <f>+VN!C8</f>
        <v>2011</v>
      </c>
      <c r="D7" s="80">
        <f>+VN!D8</f>
        <v>2012</v>
      </c>
      <c r="E7" s="80">
        <f>+VN!E8</f>
        <v>2013</v>
      </c>
      <c r="F7" s="80">
        <f>+VN!F8</f>
        <v>2014</v>
      </c>
      <c r="G7" s="80">
        <f>+VN!G8</f>
        <v>2015</v>
      </c>
      <c r="H7" s="80">
        <f>+VN!H8</f>
        <v>2016</v>
      </c>
    </row>
    <row r="8" spans="1:8">
      <c r="A8" s="505" t="s">
        <v>107</v>
      </c>
      <c r="B8" s="506"/>
      <c r="C8" s="138"/>
      <c r="D8" s="138"/>
      <c r="E8" s="138"/>
      <c r="F8" s="138"/>
      <c r="G8" s="138"/>
      <c r="H8" s="138"/>
    </row>
    <row r="9" spans="1:8">
      <c r="A9" s="149" t="s">
        <v>97</v>
      </c>
      <c r="B9" s="124"/>
      <c r="C9" s="263">
        <f>+DR!B26+DR!B24+DR!B25</f>
        <v>-87797.203199999931</v>
      </c>
      <c r="D9" s="263">
        <f>+DR!C26+DR!C24+DR!C25</f>
        <v>-45723.671697999991</v>
      </c>
      <c r="E9" s="263">
        <f>+DR!D26+DR!D24+DR!D25</f>
        <v>18402.732906891208</v>
      </c>
      <c r="F9" s="263">
        <f>+DR!E26+DR!E24+DR!E25</f>
        <v>65999.235776428715</v>
      </c>
      <c r="G9" s="263">
        <f>+DR!F26+DR!F24+DR!F25</f>
        <v>148440.02344148787</v>
      </c>
      <c r="H9" s="263">
        <f>+DR!G26+DR!G24+DR!G25</f>
        <v>184669.14115577238</v>
      </c>
    </row>
    <row r="10" spans="1:8">
      <c r="A10" s="149" t="s">
        <v>167</v>
      </c>
      <c r="B10" s="124"/>
      <c r="C10" s="263">
        <f>+Financiamento!C15</f>
        <v>100000</v>
      </c>
      <c r="D10" s="263">
        <f>+Financiamento!D15</f>
        <v>0</v>
      </c>
      <c r="E10" s="263">
        <f>+Financiamento!E15</f>
        <v>0</v>
      </c>
      <c r="F10" s="263">
        <f>+Financiamento!F15</f>
        <v>0</v>
      </c>
      <c r="G10" s="263">
        <f>+Financiamento!G15</f>
        <v>0</v>
      </c>
      <c r="H10" s="263">
        <f>+Financiamento!H15</f>
        <v>0</v>
      </c>
    </row>
    <row r="11" spans="1:8">
      <c r="A11" s="149" t="s">
        <v>386</v>
      </c>
      <c r="B11" s="124"/>
      <c r="C11" s="263">
        <f>+Financiamento!C16+Financiamento!C17+Financiamento!C19</f>
        <v>19900</v>
      </c>
      <c r="D11" s="263">
        <f>+Financiamento!D16+Financiamento!D17+Financiamento!D19</f>
        <v>90000</v>
      </c>
      <c r="E11" s="263">
        <f>+Financiamento!E16+Financiamento!E17+Financiamento!E19</f>
        <v>0</v>
      </c>
      <c r="F11" s="263">
        <f>+Financiamento!F16+Financiamento!F17+Financiamento!F19</f>
        <v>0</v>
      </c>
      <c r="G11" s="263">
        <f>+Financiamento!G16+Financiamento!G17+Financiamento!G19</f>
        <v>0</v>
      </c>
      <c r="H11" s="263">
        <f>+Financiamento!H16+Financiamento!H17+Financiamento!H19</f>
        <v>0</v>
      </c>
    </row>
    <row r="12" spans="1:8">
      <c r="A12" s="149" t="s">
        <v>168</v>
      </c>
      <c r="B12" s="124"/>
      <c r="C12" s="263">
        <f>+Financiamento!C18</f>
        <v>25200</v>
      </c>
      <c r="D12" s="263">
        <f>+Financiamento!D18</f>
        <v>0</v>
      </c>
      <c r="E12" s="263">
        <f>+Financiamento!E18</f>
        <v>8306</v>
      </c>
      <c r="F12" s="263">
        <f>+Financiamento!F18</f>
        <v>0</v>
      </c>
      <c r="G12" s="263">
        <f>+Financiamento!G18</f>
        <v>0</v>
      </c>
      <c r="H12" s="263">
        <f>+Financiamento!H18</f>
        <v>0</v>
      </c>
    </row>
    <row r="13" spans="1:8">
      <c r="A13" s="149" t="s">
        <v>98</v>
      </c>
      <c r="B13" s="124"/>
      <c r="C13" s="263"/>
      <c r="D13" s="263"/>
      <c r="E13" s="263"/>
      <c r="F13" s="263"/>
      <c r="G13" s="263"/>
      <c r="H13" s="263"/>
    </row>
    <row r="14" spans="1:8">
      <c r="A14" s="149" t="s">
        <v>99</v>
      </c>
      <c r="B14" s="124"/>
      <c r="C14" s="263">
        <f>+IF(FundoManeio!C24&lt;0,-FundoManeio!C24,0)</f>
        <v>0</v>
      </c>
      <c r="D14" s="263">
        <f>+IF(FundoManeio!D24&lt;0,-FundoManeio!D24,0)</f>
        <v>0</v>
      </c>
      <c r="E14" s="263">
        <f>+IF(FundoManeio!E24&lt;0,-FundoManeio!E24,0)</f>
        <v>0</v>
      </c>
      <c r="F14" s="263">
        <f>+IF(FundoManeio!F24&lt;0,-FundoManeio!F24,0)</f>
        <v>0</v>
      </c>
      <c r="G14" s="263">
        <f>+IF(FundoManeio!G24&lt;0,-FundoManeio!G24,0)</f>
        <v>0</v>
      </c>
      <c r="H14" s="263">
        <f>+IF(FundoManeio!H24&lt;0,-FundoManeio!H24,0)</f>
        <v>0</v>
      </c>
    </row>
    <row r="15" spans="1:8">
      <c r="A15" s="149" t="s">
        <v>49</v>
      </c>
      <c r="B15" s="124"/>
      <c r="C15" s="263">
        <f>+DR!B27</f>
        <v>0</v>
      </c>
      <c r="D15" s="263">
        <f>+DR!C27</f>
        <v>0</v>
      </c>
      <c r="E15" s="263">
        <f>+DR!D27</f>
        <v>0</v>
      </c>
      <c r="F15" s="263">
        <f>+DR!E27</f>
        <v>0</v>
      </c>
      <c r="G15" s="263">
        <f>+DR!F27</f>
        <v>392.03170666191795</v>
      </c>
      <c r="H15" s="263">
        <f>+DR!G27</f>
        <v>4130.467378532835</v>
      </c>
    </row>
    <row r="16" spans="1:8">
      <c r="A16" s="499"/>
      <c r="B16" s="500"/>
      <c r="C16" s="264"/>
      <c r="D16" s="264"/>
      <c r="E16" s="264"/>
      <c r="F16" s="264"/>
      <c r="G16" s="264"/>
      <c r="H16" s="264"/>
    </row>
    <row r="17" spans="1:8">
      <c r="A17" s="503" t="s">
        <v>100</v>
      </c>
      <c r="B17" s="504"/>
      <c r="C17" s="265">
        <f t="shared" ref="C17:H17" si="0">+SUM(C9:C16)</f>
        <v>57302.796800000069</v>
      </c>
      <c r="D17" s="265">
        <f t="shared" si="0"/>
        <v>44276.328302000009</v>
      </c>
      <c r="E17" s="265">
        <f t="shared" si="0"/>
        <v>26708.732906891208</v>
      </c>
      <c r="F17" s="265">
        <f t="shared" si="0"/>
        <v>65999.235776428715</v>
      </c>
      <c r="G17" s="265">
        <f t="shared" si="0"/>
        <v>148832.05514814978</v>
      </c>
      <c r="H17" s="265">
        <f t="shared" si="0"/>
        <v>188799.60853430521</v>
      </c>
    </row>
    <row r="18" spans="1:8" ht="14.25" customHeight="1">
      <c r="A18" s="505" t="s">
        <v>108</v>
      </c>
      <c r="B18" s="506"/>
      <c r="C18" s="266"/>
      <c r="D18" s="266"/>
      <c r="E18" s="266"/>
      <c r="F18" s="266"/>
      <c r="G18" s="266"/>
      <c r="H18" s="266"/>
    </row>
    <row r="19" spans="1:8">
      <c r="A19" s="149" t="s">
        <v>101</v>
      </c>
      <c r="B19" s="104"/>
      <c r="C19" s="263">
        <f>+Investimento!C29</f>
        <v>68176.959999999992</v>
      </c>
      <c r="D19" s="263">
        <f>+Investimento!D29</f>
        <v>1277</v>
      </c>
      <c r="E19" s="263">
        <f>+Investimento!E29</f>
        <v>0</v>
      </c>
      <c r="F19" s="263">
        <f>+Investimento!F29</f>
        <v>21951</v>
      </c>
      <c r="G19" s="263">
        <f>+Investimento!G29</f>
        <v>0</v>
      </c>
      <c r="H19" s="263">
        <f>+Investimento!H29</f>
        <v>0</v>
      </c>
    </row>
    <row r="20" spans="1:8">
      <c r="A20" s="149" t="s">
        <v>102</v>
      </c>
      <c r="B20" s="104"/>
      <c r="C20" s="263">
        <f>+IF(FundoManeio!C24&gt;0,FundoManeio!C24,0)</f>
        <v>74067.978631666643</v>
      </c>
      <c r="D20" s="263">
        <f>+IF(FundoManeio!D24&gt;0,FundoManeio!D24,0)</f>
        <v>20291.922292916701</v>
      </c>
      <c r="E20" s="263">
        <f>+IF(FundoManeio!E24&gt;0,FundoManeio!E24,0)</f>
        <v>25923.693973086454</v>
      </c>
      <c r="F20" s="263">
        <f>+IF(FundoManeio!F24&gt;0,FundoManeio!F24,0)</f>
        <v>26591.044063187437</v>
      </c>
      <c r="G20" s="263">
        <f>+IF(FundoManeio!G24&gt;0,FundoManeio!G24,0)</f>
        <v>28513.61647749535</v>
      </c>
      <c r="H20" s="263">
        <f>+IF(FundoManeio!H24&gt;0,FundoManeio!H24,0)</f>
        <v>14189.999158354418</v>
      </c>
    </row>
    <row r="21" spans="1:8">
      <c r="A21" s="149" t="s">
        <v>165</v>
      </c>
      <c r="B21" s="104"/>
      <c r="C21" s="263"/>
      <c r="D21" s="263">
        <f>+DR!B30</f>
        <v>0</v>
      </c>
      <c r="E21" s="263">
        <f>+DR!C30</f>
        <v>0</v>
      </c>
      <c r="F21" s="263">
        <f>+DR!D30</f>
        <v>0</v>
      </c>
      <c r="G21" s="263">
        <f>+DR!E30</f>
        <v>0</v>
      </c>
      <c r="H21" s="263">
        <f>+DR!F30</f>
        <v>0</v>
      </c>
    </row>
    <row r="22" spans="1:8">
      <c r="A22" s="149" t="s">
        <v>166</v>
      </c>
      <c r="B22" s="104"/>
      <c r="C22" s="263"/>
      <c r="D22" s="263"/>
      <c r="E22" s="263"/>
      <c r="F22" s="263"/>
      <c r="G22" s="263"/>
      <c r="H22" s="263"/>
    </row>
    <row r="23" spans="1:8">
      <c r="A23" s="149" t="s">
        <v>103</v>
      </c>
      <c r="B23" s="104"/>
      <c r="C23" s="263">
        <f>+Financiamento!C98</f>
        <v>0</v>
      </c>
      <c r="D23" s="263">
        <f>+Financiamento!D98</f>
        <v>4200</v>
      </c>
      <c r="E23" s="263">
        <f>+Financiamento!E98</f>
        <v>12506</v>
      </c>
      <c r="F23" s="263">
        <f>+Financiamento!F98</f>
        <v>4200</v>
      </c>
      <c r="G23" s="263">
        <f>+Financiamento!G98</f>
        <v>4200</v>
      </c>
      <c r="H23" s="263">
        <f>+Financiamento!H98</f>
        <v>4200</v>
      </c>
    </row>
    <row r="24" spans="1:8">
      <c r="A24" s="149" t="s">
        <v>104</v>
      </c>
      <c r="B24" s="104"/>
      <c r="C24" s="263">
        <f>+DR!B28</f>
        <v>8144.3871186206834</v>
      </c>
      <c r="D24" s="263">
        <f>+DR!C28</f>
        <v>7340.3628620330674</v>
      </c>
      <c r="E24" s="263">
        <f>+DR!D28</f>
        <v>9207.2614081887077</v>
      </c>
      <c r="F24" s="263">
        <f>+DR!E28</f>
        <v>7987.0278845208422</v>
      </c>
      <c r="G24" s="263">
        <f>+DR!F28</f>
        <v>721.07280000000003</v>
      </c>
      <c r="H24" s="263">
        <f>+DR!G28</f>
        <v>480.71520000000004</v>
      </c>
    </row>
    <row r="25" spans="1:8">
      <c r="A25" s="499"/>
      <c r="B25" s="500"/>
      <c r="C25" s="264"/>
      <c r="D25" s="264"/>
      <c r="E25" s="264"/>
      <c r="F25" s="264"/>
      <c r="G25" s="264"/>
      <c r="H25" s="264"/>
    </row>
    <row r="26" spans="1:8">
      <c r="A26" s="503" t="s">
        <v>105</v>
      </c>
      <c r="B26" s="504"/>
      <c r="C26" s="265">
        <f t="shared" ref="C26:H26" si="1">+SUM(C19:C25)</f>
        <v>150389.32575028733</v>
      </c>
      <c r="D26" s="265">
        <f t="shared" si="1"/>
        <v>33109.285154949772</v>
      </c>
      <c r="E26" s="265">
        <f t="shared" si="1"/>
        <v>47636.955381275162</v>
      </c>
      <c r="F26" s="265">
        <f t="shared" si="1"/>
        <v>60729.071947708282</v>
      </c>
      <c r="G26" s="265">
        <f t="shared" si="1"/>
        <v>33434.689277495352</v>
      </c>
      <c r="H26" s="265">
        <f t="shared" si="1"/>
        <v>18870.714358354417</v>
      </c>
    </row>
    <row r="27" spans="1:8">
      <c r="A27" s="501" t="s">
        <v>106</v>
      </c>
      <c r="B27" s="502"/>
      <c r="C27" s="265">
        <f t="shared" ref="C27:H27" si="2">+C17-C26</f>
        <v>-93086.528950287262</v>
      </c>
      <c r="D27" s="265">
        <f t="shared" si="2"/>
        <v>11167.043147050237</v>
      </c>
      <c r="E27" s="265">
        <f t="shared" si="2"/>
        <v>-20928.222474383954</v>
      </c>
      <c r="F27" s="265">
        <f t="shared" si="2"/>
        <v>5270.1638287204332</v>
      </c>
      <c r="G27" s="265">
        <f t="shared" si="2"/>
        <v>115397.36587065444</v>
      </c>
      <c r="H27" s="265">
        <f t="shared" si="2"/>
        <v>169928.89417595079</v>
      </c>
    </row>
    <row r="28" spans="1:8">
      <c r="A28" s="501" t="s">
        <v>115</v>
      </c>
      <c r="B28" s="502"/>
      <c r="C28" s="265">
        <f>+C27</f>
        <v>-93086.528950287262</v>
      </c>
      <c r="D28" s="265">
        <f>+C28+D27</f>
        <v>-81919.485803237025</v>
      </c>
      <c r="E28" s="265">
        <f>+D28+E27</f>
        <v>-102847.70827762099</v>
      </c>
      <c r="F28" s="265">
        <f>+E28+F27</f>
        <v>-97577.54444890056</v>
      </c>
      <c r="G28" s="265">
        <f>+F28+G27</f>
        <v>17819.821421753877</v>
      </c>
      <c r="H28" s="265">
        <f>+G28+H27</f>
        <v>187748.71559770466</v>
      </c>
    </row>
    <row r="29" spans="1:8">
      <c r="A29" s="501" t="s">
        <v>211</v>
      </c>
      <c r="B29" s="502"/>
      <c r="C29" s="68">
        <v>-93086.687758620596</v>
      </c>
      <c r="D29" s="68">
        <v>-81919.684194903719</v>
      </c>
      <c r="E29" s="68">
        <v>-102847.90666928762</v>
      </c>
      <c r="F29" s="68">
        <v>-97577.742840567254</v>
      </c>
      <c r="G29" s="68">
        <v>17819.623030087179</v>
      </c>
      <c r="H29" s="68">
        <v>187748.51720603797</v>
      </c>
    </row>
    <row r="30" spans="1:8">
      <c r="A30" s="501" t="s">
        <v>116</v>
      </c>
      <c r="B30" s="502"/>
      <c r="C30" s="68">
        <f>C28-C29</f>
        <v>0.15880833333358169</v>
      </c>
      <c r="D30" s="68">
        <f t="shared" ref="D30:H30" si="3">+D28-D29</f>
        <v>0.19839166669407859</v>
      </c>
      <c r="E30" s="68">
        <f t="shared" si="3"/>
        <v>0.19839166663587093</v>
      </c>
      <c r="F30" s="68">
        <f t="shared" si="3"/>
        <v>0.19839166669407859</v>
      </c>
      <c r="G30" s="68">
        <f t="shared" si="3"/>
        <v>0.19839166669771657</v>
      </c>
      <c r="H30" s="68">
        <f t="shared" si="3"/>
        <v>0.19839166669407859</v>
      </c>
    </row>
    <row r="31" spans="1:8">
      <c r="A31" s="83"/>
      <c r="B31" s="83"/>
      <c r="C31" s="83"/>
      <c r="D31" s="83"/>
      <c r="E31" s="83"/>
      <c r="F31" s="83"/>
      <c r="G31" s="83"/>
      <c r="H31" s="83"/>
    </row>
    <row r="32" spans="1:8">
      <c r="A32" s="83"/>
      <c r="B32" s="83"/>
      <c r="C32" s="83"/>
      <c r="D32" s="83"/>
      <c r="E32" s="83"/>
      <c r="F32" s="83"/>
      <c r="G32" s="83"/>
      <c r="H32" s="83"/>
    </row>
    <row r="33" spans="1:8">
      <c r="A33" s="83"/>
      <c r="B33" s="83"/>
      <c r="C33" s="83"/>
      <c r="D33" s="83"/>
      <c r="E33" s="83"/>
      <c r="F33" s="83"/>
      <c r="G33" s="83"/>
      <c r="H33" s="83"/>
    </row>
    <row r="34" spans="1:8">
      <c r="A34" s="189"/>
      <c r="B34" s="83"/>
      <c r="C34" s="83"/>
      <c r="D34" s="83"/>
      <c r="E34" s="232"/>
      <c r="F34" s="83"/>
      <c r="G34" s="83"/>
      <c r="H34" s="83"/>
    </row>
    <row r="35" spans="1:8">
      <c r="A35" s="83"/>
      <c r="B35" s="83"/>
      <c r="C35" s="83"/>
      <c r="D35" s="83"/>
      <c r="E35" s="83"/>
      <c r="F35" s="83"/>
      <c r="G35" s="83"/>
      <c r="H35" s="83"/>
    </row>
  </sheetData>
  <sheetProtection password="8318" sheet="1"/>
  <mergeCells count="11">
    <mergeCell ref="A4:H4"/>
    <mergeCell ref="A18:B18"/>
    <mergeCell ref="A8:B8"/>
    <mergeCell ref="A17:B17"/>
    <mergeCell ref="A16:B16"/>
    <mergeCell ref="A25:B25"/>
    <mergeCell ref="A30:B30"/>
    <mergeCell ref="A29:B29"/>
    <mergeCell ref="A28:B28"/>
    <mergeCell ref="A26:B26"/>
    <mergeCell ref="A27:B27"/>
  </mergeCells>
  <phoneticPr fontId="2" type="noConversion"/>
  <pageMargins left="0.75" right="0.75" top="0.39370078740157483" bottom="0.39370078740157483" header="0.51181102362204722" footer="0.51181102362204722"/>
  <pageSetup paperSize="9" scale="90" orientation="portrait" r:id="rId1"/>
  <headerFooter alignWithMargins="0">
    <oddFooter>&amp;C&amp;"Arial,Normal"&amp;8IAPMEI&amp;R&amp;"Arial,Normal"&amp;8&amp;P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9">
    <pageSetUpPr fitToPage="1"/>
  </sheetPr>
  <dimension ref="A1:J59"/>
  <sheetViews>
    <sheetView showGridLines="0" showZeros="0" topLeftCell="A37" workbookViewId="0">
      <selection activeCell="H51" sqref="A7:H51"/>
    </sheetView>
  </sheetViews>
  <sheetFormatPr defaultColWidth="8.7109375" defaultRowHeight="12.75"/>
  <cols>
    <col min="1" max="1" width="26.42578125" style="93" customWidth="1"/>
    <col min="2" max="2" width="7.5703125" style="93" customWidth="1"/>
    <col min="3" max="12" width="11.42578125" style="93" customWidth="1"/>
    <col min="13" max="16384" width="8.7109375" style="93"/>
  </cols>
  <sheetData>
    <row r="1" spans="1:10">
      <c r="A1" s="83"/>
      <c r="B1" s="83"/>
      <c r="C1" s="267"/>
      <c r="D1" s="267"/>
      <c r="E1" s="267"/>
      <c r="F1" s="267"/>
      <c r="G1" s="268" t="s">
        <v>65</v>
      </c>
      <c r="H1" s="269" t="str">
        <f>+Pressupostos!E1</f>
        <v>ALI,Conserva&amp;Limpa, Lda</v>
      </c>
    </row>
    <row r="2" spans="1:10" s="272" customFormat="1">
      <c r="A2" s="270"/>
      <c r="B2" s="270"/>
      <c r="C2" s="270"/>
      <c r="D2" s="270"/>
      <c r="E2" s="270"/>
      <c r="F2" s="270"/>
      <c r="G2" s="270"/>
      <c r="H2" s="271" t="str">
        <f>+Pressupostos!B9</f>
        <v>Euros</v>
      </c>
    </row>
    <row r="3" spans="1:10" s="272" customFormat="1">
      <c r="A3" s="270"/>
      <c r="B3" s="270"/>
      <c r="C3" s="270"/>
      <c r="D3" s="270"/>
      <c r="E3" s="270"/>
      <c r="F3" s="270"/>
      <c r="G3" s="270"/>
      <c r="H3" s="271"/>
    </row>
    <row r="4" spans="1:10" ht="15.75">
      <c r="A4" s="462" t="s">
        <v>59</v>
      </c>
      <c r="B4" s="462"/>
      <c r="C4" s="462"/>
      <c r="D4" s="462"/>
      <c r="E4" s="462"/>
      <c r="F4" s="462"/>
      <c r="G4" s="462"/>
      <c r="H4" s="462"/>
    </row>
    <row r="5" spans="1:10">
      <c r="A5" s="83"/>
      <c r="B5" s="83"/>
      <c r="C5" s="173"/>
      <c r="D5" s="83"/>
      <c r="E5" s="83"/>
      <c r="F5" s="83"/>
      <c r="G5" s="83"/>
      <c r="H5" s="83"/>
    </row>
    <row r="6" spans="1:10">
      <c r="A6" s="83"/>
      <c r="B6" s="83"/>
      <c r="C6" s="173"/>
      <c r="D6" s="83"/>
      <c r="E6" s="83"/>
      <c r="F6" s="83"/>
      <c r="G6" s="83"/>
      <c r="H6" s="83"/>
    </row>
    <row r="7" spans="1:10">
      <c r="A7" s="81"/>
      <c r="B7" s="104"/>
      <c r="C7" s="80">
        <f>+VN!C8</f>
        <v>2011</v>
      </c>
      <c r="D7" s="80">
        <f>+VN!D8</f>
        <v>2012</v>
      </c>
      <c r="E7" s="80">
        <f>+VN!E8</f>
        <v>2013</v>
      </c>
      <c r="F7" s="80">
        <f>+VN!F8</f>
        <v>2014</v>
      </c>
      <c r="G7" s="80">
        <f>+VN!G8</f>
        <v>2015</v>
      </c>
      <c r="H7" s="80">
        <f>+VN!H8</f>
        <v>2016</v>
      </c>
    </row>
    <row r="8" spans="1:10">
      <c r="A8" s="507" t="s">
        <v>50</v>
      </c>
      <c r="B8" s="508"/>
      <c r="C8" s="273"/>
      <c r="D8" s="273"/>
      <c r="E8" s="273"/>
      <c r="F8" s="273"/>
      <c r="G8" s="273"/>
      <c r="H8" s="273"/>
    </row>
    <row r="9" spans="1:10">
      <c r="A9" s="174" t="s">
        <v>322</v>
      </c>
      <c r="B9" s="155"/>
      <c r="C9" s="177">
        <f t="shared" ref="C9:H9" si="0">SUM(C10:C13)</f>
        <v>51328.957166666667</v>
      </c>
      <c r="D9" s="177">
        <f t="shared" si="0"/>
        <v>35438.704333333328</v>
      </c>
      <c r="E9" s="177">
        <f t="shared" si="0"/>
        <v>18271.451499999996</v>
      </c>
      <c r="F9" s="177">
        <f t="shared" si="0"/>
        <v>21115.822</v>
      </c>
      <c r="G9" s="177">
        <f t="shared" si="0"/>
        <v>13170.600000000006</v>
      </c>
      <c r="H9" s="177">
        <f t="shared" si="0"/>
        <v>8780.4000000000087</v>
      </c>
    </row>
    <row r="10" spans="1:10">
      <c r="A10" s="84" t="s">
        <v>274</v>
      </c>
      <c r="B10" s="155"/>
      <c r="C10" s="138">
        <f>+Investimento!C178</f>
        <v>46427.3105</v>
      </c>
      <c r="D10" s="138">
        <f>+Investimento!D178</f>
        <v>32987.880999999994</v>
      </c>
      <c r="E10" s="138">
        <f>+Investimento!E178</f>
        <v>18271.451499999996</v>
      </c>
      <c r="F10" s="138">
        <f>+Investimento!F178</f>
        <v>21115.822</v>
      </c>
      <c r="G10" s="138">
        <f>+Investimento!G178</f>
        <v>13170.600000000006</v>
      </c>
      <c r="H10" s="138">
        <f>+Investimento!H178</f>
        <v>8780.4000000000087</v>
      </c>
    </row>
    <row r="11" spans="1:10">
      <c r="A11" s="84" t="s">
        <v>269</v>
      </c>
      <c r="B11" s="155"/>
      <c r="C11" s="138">
        <f>+Investimento!C177</f>
        <v>0</v>
      </c>
      <c r="D11" s="138">
        <f>+Investimento!D177</f>
        <v>0</v>
      </c>
      <c r="E11" s="138">
        <f>+Investimento!E177</f>
        <v>0</v>
      </c>
      <c r="F11" s="138">
        <f>+Investimento!F177</f>
        <v>0</v>
      </c>
      <c r="G11" s="138">
        <f>+Investimento!G177</f>
        <v>0</v>
      </c>
      <c r="H11" s="138">
        <f>+Investimento!H177</f>
        <v>0</v>
      </c>
    </row>
    <row r="12" spans="1:10">
      <c r="A12" s="84" t="s">
        <v>323</v>
      </c>
      <c r="B12" s="155"/>
      <c r="C12" s="138">
        <f>+Investimento!C179</f>
        <v>4901.6466666666674</v>
      </c>
      <c r="D12" s="138">
        <f>+Investimento!D179</f>
        <v>2450.8233333333337</v>
      </c>
      <c r="E12" s="138">
        <f>+Investimento!E179</f>
        <v>0</v>
      </c>
      <c r="F12" s="138">
        <f>+Investimento!F179</f>
        <v>0</v>
      </c>
      <c r="G12" s="138">
        <f>+Investimento!G179</f>
        <v>0</v>
      </c>
      <c r="H12" s="138">
        <f>+Investimento!H179</f>
        <v>0</v>
      </c>
    </row>
    <row r="13" spans="1:10">
      <c r="A13" s="84" t="s">
        <v>324</v>
      </c>
      <c r="B13" s="155"/>
      <c r="C13" s="138"/>
      <c r="D13" s="138"/>
      <c r="E13" s="138"/>
      <c r="F13" s="138"/>
      <c r="G13" s="138"/>
      <c r="H13" s="138"/>
    </row>
    <row r="14" spans="1:10">
      <c r="A14" s="84"/>
      <c r="B14" s="155"/>
      <c r="C14" s="138"/>
      <c r="D14" s="138"/>
      <c r="E14" s="138"/>
      <c r="F14" s="138"/>
      <c r="G14" s="138"/>
      <c r="H14" s="138"/>
    </row>
    <row r="15" spans="1:10">
      <c r="A15" s="174" t="s">
        <v>325</v>
      </c>
      <c r="B15" s="155"/>
      <c r="C15" s="177">
        <f t="shared" ref="C15:H15" si="1">SUM(C16:C22)</f>
        <v>197406.32937333331</v>
      </c>
      <c r="D15" s="177">
        <f t="shared" si="1"/>
        <v>252421.23454135002</v>
      </c>
      <c r="E15" s="177">
        <f t="shared" si="1"/>
        <v>314473.77973964304</v>
      </c>
      <c r="F15" s="177">
        <f t="shared" si="1"/>
        <v>381588.41964445519</v>
      </c>
      <c r="G15" s="177">
        <f t="shared" si="1"/>
        <v>466705.12942511053</v>
      </c>
      <c r="H15" s="177">
        <f t="shared" si="1"/>
        <v>670864.52912863204</v>
      </c>
      <c r="I15" s="191"/>
      <c r="J15" s="191"/>
    </row>
    <row r="16" spans="1:10">
      <c r="A16" s="84" t="s">
        <v>326</v>
      </c>
      <c r="B16" s="155"/>
      <c r="C16" s="138">
        <f>+FundoManeio!C11</f>
        <v>13997.659833333331</v>
      </c>
      <c r="D16" s="138">
        <f>+FundoManeio!D11</f>
        <v>18670.840410750003</v>
      </c>
      <c r="E16" s="138">
        <f>+FundoManeio!E11</f>
        <v>23963.308028613708</v>
      </c>
      <c r="F16" s="138">
        <f>+FundoManeio!F11</f>
        <v>29915.397522540923</v>
      </c>
      <c r="G16" s="138">
        <f>+FundoManeio!G11</f>
        <v>35666.292841050155</v>
      </c>
      <c r="H16" s="138">
        <f>+FundoManeio!H11</f>
        <v>38573.849056379084</v>
      </c>
      <c r="I16" s="191"/>
      <c r="J16" s="191"/>
    </row>
    <row r="17" spans="1:10">
      <c r="A17" s="84" t="s">
        <v>51</v>
      </c>
      <c r="B17" s="155"/>
      <c r="C17" s="138">
        <f>+FundoManeio!C10-VN!C87</f>
        <v>154436.13819999999</v>
      </c>
      <c r="D17" s="138">
        <f>+FundoManeio!D10-SUM(VN!C87:D87)</f>
        <v>204777.86279060002</v>
      </c>
      <c r="E17" s="138">
        <f>+FundoManeio!E10-SUM(VN!C87:E87)</f>
        <v>261537.94037102934</v>
      </c>
      <c r="F17" s="138">
        <f>+FundoManeio!F10-SUM(VN!C87:F87)</f>
        <v>322700.49078191427</v>
      </c>
      <c r="G17" s="138">
        <f>+FundoManeio!G10-SUM(VN!C87:G87)</f>
        <v>384246.6822139732</v>
      </c>
      <c r="H17" s="138">
        <f>+FundoManeio!H10-SUM(VN!C87:H87)</f>
        <v>415569.63152621494</v>
      </c>
      <c r="I17" s="191"/>
      <c r="J17" s="191"/>
    </row>
    <row r="18" spans="1:10">
      <c r="A18" s="84" t="s">
        <v>212</v>
      </c>
      <c r="B18" s="155"/>
      <c r="C18" s="138">
        <f>+FundoManeio!C12</f>
        <v>0</v>
      </c>
      <c r="D18" s="138">
        <f>+FundoManeio!D12</f>
        <v>0</v>
      </c>
      <c r="E18" s="138">
        <f>+FundoManeio!E12</f>
        <v>0</v>
      </c>
      <c r="F18" s="138">
        <f>+FundoManeio!F12</f>
        <v>0</v>
      </c>
      <c r="G18" s="138">
        <f>+FundoManeio!G12</f>
        <v>0</v>
      </c>
      <c r="H18" s="138">
        <f>+FundoManeio!H12</f>
        <v>0</v>
      </c>
      <c r="I18" s="191"/>
      <c r="J18" s="191"/>
    </row>
    <row r="19" spans="1:10">
      <c r="A19" s="84" t="s">
        <v>319</v>
      </c>
      <c r="B19" s="155"/>
      <c r="C19" s="138"/>
      <c r="D19" s="138"/>
      <c r="E19" s="138"/>
      <c r="F19" s="138"/>
      <c r="G19" s="138"/>
      <c r="H19" s="138"/>
      <c r="I19" s="191"/>
      <c r="J19" s="191"/>
    </row>
    <row r="20" spans="1:10">
      <c r="A20" s="84" t="s">
        <v>327</v>
      </c>
      <c r="B20" s="155"/>
      <c r="C20" s="138"/>
      <c r="D20" s="138"/>
      <c r="E20" s="138"/>
      <c r="F20" s="138"/>
      <c r="G20" s="138"/>
      <c r="H20" s="138"/>
      <c r="I20" s="191"/>
      <c r="J20" s="191"/>
    </row>
    <row r="21" spans="1:10">
      <c r="A21" s="84" t="s">
        <v>328</v>
      </c>
      <c r="B21" s="155"/>
      <c r="C21" s="138"/>
      <c r="D21" s="138"/>
      <c r="E21" s="138"/>
      <c r="F21" s="138"/>
      <c r="G21" s="138"/>
      <c r="H21" s="138"/>
      <c r="I21" s="191"/>
      <c r="J21" s="191"/>
    </row>
    <row r="22" spans="1:10">
      <c r="A22" s="84" t="s">
        <v>329</v>
      </c>
      <c r="B22" s="155"/>
      <c r="C22" s="138">
        <f>+IF(PlanoFinanceiro!C29&gt;0,PlanoFinanceiro!C29,0)+FundoManeio!C9</f>
        <v>28972.531339999998</v>
      </c>
      <c r="D22" s="138">
        <f>+IF(PlanoFinanceiro!D29&gt;0,PlanoFinanceiro!D29,0)+FundoManeio!D9</f>
        <v>28972.531339999998</v>
      </c>
      <c r="E22" s="138">
        <f>+IF(PlanoFinanceiro!E29&gt;0,PlanoFinanceiro!E29,0)+FundoManeio!E9</f>
        <v>28972.531339999998</v>
      </c>
      <c r="F22" s="138">
        <f>+IF(PlanoFinanceiro!F29&gt;0,PlanoFinanceiro!F29,0)+FundoManeio!F9</f>
        <v>28972.531339999998</v>
      </c>
      <c r="G22" s="138">
        <f>+IF(PlanoFinanceiro!G29&gt;0,PlanoFinanceiro!G29,0)+FundoManeio!G9</f>
        <v>46792.154370087177</v>
      </c>
      <c r="H22" s="138">
        <f>+IF(PlanoFinanceiro!H29&gt;0,PlanoFinanceiro!H29,0)+FundoManeio!H9</f>
        <v>216721.04854603796</v>
      </c>
      <c r="I22" s="191"/>
      <c r="J22" s="191"/>
    </row>
    <row r="23" spans="1:10" ht="13.5" thickBot="1">
      <c r="A23" s="471" t="s">
        <v>53</v>
      </c>
      <c r="B23" s="472"/>
      <c r="C23" s="274">
        <f t="shared" ref="C23:H23" si="2">+C15+C9</f>
        <v>248735.28653999997</v>
      </c>
      <c r="D23" s="274">
        <f t="shared" si="2"/>
        <v>287859.93887468334</v>
      </c>
      <c r="E23" s="274">
        <f t="shared" si="2"/>
        <v>332745.23123964306</v>
      </c>
      <c r="F23" s="274">
        <f t="shared" si="2"/>
        <v>402704.24164445518</v>
      </c>
      <c r="G23" s="274">
        <f t="shared" si="2"/>
        <v>479875.7294251105</v>
      </c>
      <c r="H23" s="274">
        <f t="shared" si="2"/>
        <v>679644.92912863207</v>
      </c>
      <c r="I23" s="191"/>
      <c r="J23" s="191"/>
    </row>
    <row r="24" spans="1:10" ht="13.5" thickTop="1">
      <c r="A24" s="218"/>
      <c r="B24" s="83"/>
      <c r="C24" s="147"/>
      <c r="D24" s="275"/>
      <c r="E24" s="275"/>
      <c r="F24" s="275"/>
      <c r="G24" s="275"/>
      <c r="H24" s="83"/>
      <c r="I24" s="191"/>
      <c r="J24" s="191"/>
    </row>
    <row r="25" spans="1:10">
      <c r="A25" s="484" t="s">
        <v>213</v>
      </c>
      <c r="B25" s="509"/>
      <c r="C25" s="273"/>
      <c r="D25" s="273"/>
      <c r="E25" s="273"/>
      <c r="F25" s="273"/>
      <c r="G25" s="273"/>
      <c r="H25" s="273"/>
      <c r="I25" s="191"/>
      <c r="J25" s="191"/>
    </row>
    <row r="26" spans="1:10">
      <c r="A26" s="162" t="s">
        <v>307</v>
      </c>
      <c r="B26" s="155"/>
      <c r="C26" s="138">
        <f>+Financiamento!C15</f>
        <v>100000</v>
      </c>
      <c r="D26" s="138">
        <f>+C26+Financiamento!D15</f>
        <v>100000</v>
      </c>
      <c r="E26" s="138">
        <f>+D26+Financiamento!E15</f>
        <v>100000</v>
      </c>
      <c r="F26" s="138">
        <f>+E26+Financiamento!F15</f>
        <v>100000</v>
      </c>
      <c r="G26" s="138">
        <f>+F26+Financiamento!G15</f>
        <v>100000</v>
      </c>
      <c r="H26" s="138">
        <f>+G26+Financiamento!H15</f>
        <v>100000</v>
      </c>
      <c r="I26" s="191"/>
      <c r="J26" s="191"/>
    </row>
    <row r="27" spans="1:10">
      <c r="A27" s="162" t="s">
        <v>308</v>
      </c>
      <c r="B27" s="155"/>
      <c r="C27" s="138"/>
      <c r="D27" s="138"/>
      <c r="E27" s="138"/>
      <c r="F27" s="138"/>
      <c r="G27" s="138"/>
      <c r="H27" s="138"/>
      <c r="I27" s="191"/>
      <c r="J27" s="191"/>
    </row>
    <row r="28" spans="1:10">
      <c r="A28" s="162" t="s">
        <v>309</v>
      </c>
      <c r="B28" s="155"/>
      <c r="C28" s="138">
        <f>+Financiamento!C16</f>
        <v>0</v>
      </c>
      <c r="D28" s="138">
        <f>+C28+Financiamento!D16</f>
        <v>90000</v>
      </c>
      <c r="E28" s="138">
        <f>+D28+Financiamento!E16</f>
        <v>90000</v>
      </c>
      <c r="F28" s="138">
        <f>+E28+Financiamento!F16</f>
        <v>90000</v>
      </c>
      <c r="G28" s="138">
        <f>+F28+Financiamento!G16</f>
        <v>90000</v>
      </c>
      <c r="H28" s="138">
        <f>+G28+Financiamento!H16</f>
        <v>90000</v>
      </c>
      <c r="I28" s="191"/>
      <c r="J28" s="191"/>
    </row>
    <row r="29" spans="1:10">
      <c r="A29" s="162" t="s">
        <v>380</v>
      </c>
      <c r="B29" s="155"/>
      <c r="C29" s="138"/>
      <c r="D29" s="138">
        <f>+C32</f>
        <v>-112789.59315195394</v>
      </c>
      <c r="E29" s="138">
        <f>+D29+D32</f>
        <v>-183020.88054532034</v>
      </c>
      <c r="F29" s="138">
        <f>+E29+E32</f>
        <v>-190992.66187995116</v>
      </c>
      <c r="G29" s="138">
        <f>+F29+F32</f>
        <v>-152087.08348804328</v>
      </c>
      <c r="H29" s="138">
        <f>+G29+G32</f>
        <v>-11921.323139893502</v>
      </c>
      <c r="I29" s="191"/>
      <c r="J29" s="191"/>
    </row>
    <row r="30" spans="1:10">
      <c r="A30" s="162" t="s">
        <v>310</v>
      </c>
      <c r="B30" s="155"/>
      <c r="C30" s="138"/>
      <c r="D30" s="138"/>
      <c r="E30" s="138"/>
      <c r="F30" s="138"/>
      <c r="G30" s="138"/>
      <c r="H30" s="138"/>
      <c r="I30" s="191"/>
      <c r="J30" s="191"/>
    </row>
    <row r="31" spans="1:10">
      <c r="A31" s="162" t="s">
        <v>311</v>
      </c>
      <c r="B31" s="155"/>
      <c r="C31" s="138">
        <f>+Financiamento!C19</f>
        <v>19900</v>
      </c>
      <c r="D31" s="138">
        <f>+C31+Financiamento!D19</f>
        <v>19900</v>
      </c>
      <c r="E31" s="138">
        <f>+D31+Financiamento!E19</f>
        <v>19900</v>
      </c>
      <c r="F31" s="138">
        <f>+E31+Financiamento!F19</f>
        <v>19900</v>
      </c>
      <c r="G31" s="138">
        <f>+F31+Financiamento!G19</f>
        <v>19900</v>
      </c>
      <c r="H31" s="138">
        <f>+G31+Financiamento!H19</f>
        <v>19900</v>
      </c>
      <c r="I31" s="191"/>
      <c r="J31" s="191"/>
    </row>
    <row r="32" spans="1:10">
      <c r="A32" s="162" t="s">
        <v>312</v>
      </c>
      <c r="B32" s="155"/>
      <c r="C32" s="138">
        <f>+DR!B31</f>
        <v>-112789.59315195394</v>
      </c>
      <c r="D32" s="138">
        <f>+DR!C31</f>
        <v>-70231.287393366394</v>
      </c>
      <c r="E32" s="138">
        <f>+DR!D31</f>
        <v>-7971.7813346308321</v>
      </c>
      <c r="F32" s="138">
        <f>+DR!E31</f>
        <v>38905.578391907868</v>
      </c>
      <c r="G32" s="138">
        <f>+DR!F31</f>
        <v>140165.76034814978</v>
      </c>
      <c r="H32" s="138">
        <f>+DR!G31</f>
        <v>140926.85078570226</v>
      </c>
      <c r="I32" s="191"/>
      <c r="J32" s="191"/>
    </row>
    <row r="33" spans="1:10" ht="13.5" thickBot="1">
      <c r="A33" s="471" t="s">
        <v>313</v>
      </c>
      <c r="B33" s="473"/>
      <c r="C33" s="349">
        <f t="shared" ref="C33:H33" si="3">SUM(C26:C32)</f>
        <v>7110.4068480460555</v>
      </c>
      <c r="D33" s="349">
        <f t="shared" si="3"/>
        <v>26879.119454679661</v>
      </c>
      <c r="E33" s="349">
        <f t="shared" si="3"/>
        <v>18907.338120048829</v>
      </c>
      <c r="F33" s="349">
        <f t="shared" si="3"/>
        <v>57812.916511956704</v>
      </c>
      <c r="G33" s="349">
        <f t="shared" si="3"/>
        <v>197978.6768601065</v>
      </c>
      <c r="H33" s="349">
        <f t="shared" si="3"/>
        <v>338905.52764580876</v>
      </c>
      <c r="I33" s="191"/>
      <c r="J33" s="191"/>
    </row>
    <row r="34" spans="1:10" ht="13.5" thickTop="1">
      <c r="A34" s="83"/>
      <c r="B34" s="83"/>
      <c r="C34" s="252"/>
      <c r="D34" s="252"/>
      <c r="E34" s="252"/>
      <c r="F34" s="252"/>
      <c r="G34" s="252"/>
      <c r="H34" s="252"/>
      <c r="I34" s="191"/>
      <c r="J34" s="191"/>
    </row>
    <row r="35" spans="1:10">
      <c r="A35" s="510" t="s">
        <v>54</v>
      </c>
      <c r="B35" s="511"/>
      <c r="C35" s="347"/>
      <c r="D35" s="347"/>
      <c r="E35" s="347"/>
      <c r="F35" s="347"/>
      <c r="G35" s="347"/>
      <c r="H35" s="347"/>
      <c r="I35" s="191"/>
      <c r="J35" s="191"/>
    </row>
    <row r="36" spans="1:10">
      <c r="A36" s="174"/>
      <c r="B36" s="155"/>
      <c r="C36" s="348"/>
      <c r="D36" s="348"/>
      <c r="E36" s="348"/>
      <c r="F36" s="348"/>
      <c r="G36" s="348"/>
      <c r="H36" s="348"/>
      <c r="I36" s="191"/>
      <c r="J36" s="191"/>
    </row>
    <row r="37" spans="1:10">
      <c r="A37" s="174" t="s">
        <v>314</v>
      </c>
      <c r="B37" s="155"/>
      <c r="C37" s="177">
        <f t="shared" ref="C37:H37" si="4">SUM(C38:C40)</f>
        <v>25200</v>
      </c>
      <c r="D37" s="177">
        <f t="shared" si="4"/>
        <v>21000</v>
      </c>
      <c r="E37" s="177">
        <f t="shared" si="4"/>
        <v>16800</v>
      </c>
      <c r="F37" s="177">
        <f t="shared" si="4"/>
        <v>12600</v>
      </c>
      <c r="G37" s="177">
        <f t="shared" si="4"/>
        <v>8400</v>
      </c>
      <c r="H37" s="177">
        <f t="shared" si="4"/>
        <v>4200</v>
      </c>
      <c r="I37" s="191"/>
      <c r="J37" s="191"/>
    </row>
    <row r="38" spans="1:10">
      <c r="A38" s="84" t="s">
        <v>315</v>
      </c>
      <c r="B38" s="155"/>
      <c r="C38" s="138"/>
      <c r="D38" s="138"/>
      <c r="E38" s="138"/>
      <c r="F38" s="138"/>
      <c r="G38" s="138"/>
      <c r="H38" s="138"/>
      <c r="I38" s="191"/>
      <c r="J38" s="191"/>
    </row>
    <row r="39" spans="1:10">
      <c r="A39" s="84" t="s">
        <v>316</v>
      </c>
      <c r="B39" s="155"/>
      <c r="C39" s="138">
        <f>+Financiamento!C95</f>
        <v>25200</v>
      </c>
      <c r="D39" s="138">
        <f>+Financiamento!D95</f>
        <v>21000</v>
      </c>
      <c r="E39" s="138">
        <f>+Financiamento!E95</f>
        <v>16800</v>
      </c>
      <c r="F39" s="138">
        <f>+Financiamento!F95</f>
        <v>12600</v>
      </c>
      <c r="G39" s="138">
        <f>+Financiamento!G95</f>
        <v>8400</v>
      </c>
      <c r="H39" s="138">
        <f>+Financiamento!H95</f>
        <v>4200</v>
      </c>
      <c r="I39" s="191"/>
      <c r="J39" s="191"/>
    </row>
    <row r="40" spans="1:10">
      <c r="A40" s="84" t="s">
        <v>317</v>
      </c>
      <c r="B40" s="155"/>
      <c r="C40" s="276"/>
      <c r="D40" s="276"/>
      <c r="E40" s="276"/>
      <c r="F40" s="276"/>
      <c r="G40" s="276"/>
      <c r="H40" s="276"/>
      <c r="I40" s="191"/>
      <c r="J40" s="191"/>
    </row>
    <row r="41" spans="1:10">
      <c r="A41" s="84"/>
      <c r="B41" s="155"/>
      <c r="C41" s="276"/>
      <c r="D41" s="276"/>
      <c r="E41" s="276"/>
      <c r="F41" s="276"/>
      <c r="G41" s="276"/>
      <c r="H41" s="276"/>
      <c r="I41" s="191"/>
      <c r="J41" s="191"/>
    </row>
    <row r="42" spans="1:10">
      <c r="A42" s="174" t="s">
        <v>318</v>
      </c>
      <c r="B42" s="155"/>
      <c r="C42" s="385">
        <f t="shared" ref="C42:H42" si="5">SUM(C43:C47)</f>
        <v>216425.03850028728</v>
      </c>
      <c r="D42" s="385">
        <f t="shared" si="5"/>
        <v>239981.01781167038</v>
      </c>
      <c r="E42" s="385">
        <f t="shared" si="5"/>
        <v>297038.09151126083</v>
      </c>
      <c r="F42" s="385">
        <f t="shared" si="5"/>
        <v>332291.52352416521</v>
      </c>
      <c r="G42" s="385">
        <f t="shared" si="5"/>
        <v>273497.25095667073</v>
      </c>
      <c r="H42" s="385">
        <f t="shared" si="5"/>
        <v>336539.59987448994</v>
      </c>
      <c r="I42" s="191"/>
      <c r="J42" s="191"/>
    </row>
    <row r="43" spans="1:10">
      <c r="A43" s="84" t="s">
        <v>18</v>
      </c>
      <c r="B43" s="155"/>
      <c r="C43" s="276">
        <f>+FundoManeio!C17</f>
        <v>117224.54624</v>
      </c>
      <c r="D43" s="276">
        <f>+FundoManeio!D17</f>
        <v>147509.96330637002</v>
      </c>
      <c r="E43" s="276">
        <f>+FundoManeio!E17</f>
        <v>181745.32572186319</v>
      </c>
      <c r="F43" s="276">
        <f>+FundoManeio!F17</f>
        <v>219972.56533778165</v>
      </c>
      <c r="G43" s="276">
        <f>+FundoManeio!G17</f>
        <v>257118.19727264062</v>
      </c>
      <c r="H43" s="276">
        <f>+FundoManeio!H17</f>
        <v>276200.89751816512</v>
      </c>
      <c r="I43" s="191"/>
      <c r="J43" s="191"/>
    </row>
    <row r="44" spans="1:10">
      <c r="A44" s="84" t="s">
        <v>212</v>
      </c>
      <c r="B44" s="155"/>
      <c r="C44" s="276">
        <f>+FundoManeio!C18+DR!B30</f>
        <v>6113.8045016666674</v>
      </c>
      <c r="D44" s="276">
        <f>+FundoManeio!D18+DR!C30</f>
        <v>10551.370310396665</v>
      </c>
      <c r="E44" s="276">
        <f>+FundoManeio!E18+DR!D30</f>
        <v>12444.859120110035</v>
      </c>
      <c r="F44" s="276">
        <f>+FundoManeio!F18+DR!E30</f>
        <v>14741.215345816316</v>
      </c>
      <c r="G44" s="276">
        <f>+FundoManeio!G18+DR!F30</f>
        <v>16379.053684030096</v>
      </c>
      <c r="H44" s="276">
        <f>+FundoManeio!H18+DR!G30</f>
        <v>60338.702356324837</v>
      </c>
      <c r="I44" s="191"/>
      <c r="J44" s="191"/>
    </row>
    <row r="45" spans="1:10">
      <c r="A45" s="84" t="s">
        <v>319</v>
      </c>
      <c r="B45" s="155"/>
      <c r="C45" s="276">
        <f>+Financiamento!C17</f>
        <v>0</v>
      </c>
      <c r="D45" s="276">
        <f>+C45+Financiamento!D17</f>
        <v>0</v>
      </c>
      <c r="E45" s="276">
        <f>+D45+Financiamento!E17</f>
        <v>0</v>
      </c>
      <c r="F45" s="276">
        <f>+E45+Financiamento!F17</f>
        <v>0</v>
      </c>
      <c r="G45" s="276">
        <f>+F45+Financiamento!G17</f>
        <v>0</v>
      </c>
      <c r="H45" s="276">
        <f>+G45+Financiamento!H17</f>
        <v>0</v>
      </c>
      <c r="I45" s="191"/>
      <c r="J45" s="191"/>
    </row>
    <row r="46" spans="1:10">
      <c r="A46" s="84" t="s">
        <v>320</v>
      </c>
      <c r="B46" s="155"/>
      <c r="C46" s="276">
        <f>+IF(PlanoFinanceiro!C29&lt;0,-PlanoFinanceiro!C29,0)</f>
        <v>93086.687758620596</v>
      </c>
      <c r="D46" s="276">
        <f>+IF(PlanoFinanceiro!D29&lt;0,-PlanoFinanceiro!D29,0)</f>
        <v>81919.684194903719</v>
      </c>
      <c r="E46" s="276">
        <f>+IF(PlanoFinanceiro!E29&lt;0,-PlanoFinanceiro!E29,0)</f>
        <v>102847.90666928762</v>
      </c>
      <c r="F46" s="276">
        <f>+IF(PlanoFinanceiro!F29&lt;0,-PlanoFinanceiro!F29,0)</f>
        <v>97577.742840567254</v>
      </c>
      <c r="G46" s="276">
        <f>+IF(PlanoFinanceiro!G29&lt;0,-PlanoFinanceiro!G29,0)</f>
        <v>0</v>
      </c>
      <c r="H46" s="276">
        <f>+IF(PlanoFinanceiro!H29&lt;0,-PlanoFinanceiro!H29,0)</f>
        <v>0</v>
      </c>
      <c r="I46" s="191"/>
      <c r="J46" s="191"/>
    </row>
    <row r="47" spans="1:10">
      <c r="A47" s="84" t="s">
        <v>321</v>
      </c>
      <c r="B47" s="155"/>
      <c r="C47" s="276"/>
      <c r="D47" s="276"/>
      <c r="E47" s="276"/>
      <c r="F47" s="276"/>
      <c r="G47" s="276"/>
      <c r="H47" s="276"/>
      <c r="I47" s="191"/>
      <c r="J47" s="191"/>
    </row>
    <row r="48" spans="1:10">
      <c r="A48" s="174"/>
      <c r="B48" s="155"/>
      <c r="C48" s="276"/>
      <c r="D48" s="276"/>
      <c r="E48" s="276"/>
      <c r="F48" s="276"/>
      <c r="G48" s="276"/>
      <c r="H48" s="276"/>
      <c r="I48" s="191"/>
      <c r="J48" s="191"/>
    </row>
    <row r="49" spans="1:10" ht="13.5" thickBot="1">
      <c r="A49" s="471" t="s">
        <v>55</v>
      </c>
      <c r="B49" s="473"/>
      <c r="C49" s="349">
        <f t="shared" ref="C49:H49" si="6">+C42+C37</f>
        <v>241625.03850028728</v>
      </c>
      <c r="D49" s="349">
        <f t="shared" si="6"/>
        <v>260981.01781167038</v>
      </c>
      <c r="E49" s="349">
        <f t="shared" si="6"/>
        <v>313838.09151126083</v>
      </c>
      <c r="F49" s="349">
        <f t="shared" si="6"/>
        <v>344891.52352416521</v>
      </c>
      <c r="G49" s="349">
        <f t="shared" si="6"/>
        <v>281897.25095667073</v>
      </c>
      <c r="H49" s="349">
        <f t="shared" si="6"/>
        <v>340739.59987448994</v>
      </c>
      <c r="I49" s="191"/>
      <c r="J49" s="191"/>
    </row>
    <row r="50" spans="1:10" ht="13.5" thickTop="1">
      <c r="A50" s="142"/>
      <c r="B50" s="142"/>
      <c r="C50" s="252"/>
      <c r="D50" s="83"/>
      <c r="E50" s="83"/>
      <c r="F50" s="83"/>
      <c r="G50" s="83"/>
      <c r="H50" s="83"/>
      <c r="I50" s="191"/>
      <c r="J50" s="191"/>
    </row>
    <row r="51" spans="1:10" ht="13.5" thickBot="1">
      <c r="A51" s="472" t="s">
        <v>214</v>
      </c>
      <c r="B51" s="472"/>
      <c r="C51" s="56">
        <f t="shared" ref="C51:H51" si="7">+C49+C33</f>
        <v>248735.44534833333</v>
      </c>
      <c r="D51" s="56">
        <f t="shared" si="7"/>
        <v>287860.13726635004</v>
      </c>
      <c r="E51" s="56">
        <f t="shared" si="7"/>
        <v>332745.42963130964</v>
      </c>
      <c r="F51" s="56">
        <f t="shared" si="7"/>
        <v>402704.44003612193</v>
      </c>
      <c r="G51" s="56">
        <f t="shared" si="7"/>
        <v>479875.92781677726</v>
      </c>
      <c r="H51" s="56">
        <f t="shared" si="7"/>
        <v>679645.1275202987</v>
      </c>
      <c r="I51" s="191"/>
      <c r="J51" s="191"/>
    </row>
    <row r="52" spans="1:10" ht="13.5" thickTop="1">
      <c r="C52" s="277"/>
      <c r="D52" s="277"/>
      <c r="E52" s="277"/>
      <c r="F52" s="277"/>
      <c r="G52" s="277"/>
      <c r="H52" s="277"/>
    </row>
    <row r="53" spans="1:10">
      <c r="C53" s="312">
        <f t="shared" ref="C53:H53" si="8">+C23-C51</f>
        <v>-0.15880833336268552</v>
      </c>
      <c r="D53" s="312">
        <f t="shared" si="8"/>
        <v>-0.19839166669407859</v>
      </c>
      <c r="E53" s="312">
        <f t="shared" si="8"/>
        <v>-0.19839166657766327</v>
      </c>
      <c r="F53" s="312">
        <f t="shared" si="8"/>
        <v>-0.19839166675228626</v>
      </c>
      <c r="G53" s="312">
        <f t="shared" si="8"/>
        <v>-0.19839166675228626</v>
      </c>
      <c r="H53" s="312">
        <f t="shared" si="8"/>
        <v>-0.19839166663587093</v>
      </c>
    </row>
    <row r="54" spans="1:10">
      <c r="C54" s="277"/>
      <c r="D54" s="279">
        <f>+D53-C53</f>
        <v>-3.9583333331393078E-2</v>
      </c>
      <c r="E54" s="279">
        <f>+E53-D53</f>
        <v>1.1641532182693481E-10</v>
      </c>
      <c r="F54" s="279">
        <f>+F53-E53</f>
        <v>-1.7462298274040222E-10</v>
      </c>
      <c r="G54" s="279">
        <f>+G53-F53</f>
        <v>0</v>
      </c>
      <c r="H54" s="279">
        <f>+H53-G53</f>
        <v>1.1641532182693481E-10</v>
      </c>
    </row>
    <row r="55" spans="1:10">
      <c r="C55" s="277"/>
      <c r="D55" s="277"/>
      <c r="E55" s="277"/>
      <c r="F55" s="277"/>
      <c r="G55" s="277"/>
      <c r="H55" s="277"/>
    </row>
    <row r="56" spans="1:10">
      <c r="C56" s="277"/>
      <c r="D56" s="278"/>
      <c r="E56" s="280"/>
      <c r="F56" s="280"/>
      <c r="G56" s="277"/>
      <c r="H56" s="277"/>
    </row>
    <row r="57" spans="1:10">
      <c r="C57" s="272"/>
      <c r="D57" s="272"/>
      <c r="E57" s="272"/>
      <c r="F57" s="272"/>
      <c r="G57" s="272"/>
      <c r="H57" s="272"/>
    </row>
    <row r="58" spans="1:10">
      <c r="C58" s="272"/>
      <c r="D58" s="272"/>
      <c r="E58" s="272"/>
      <c r="F58" s="272"/>
      <c r="G58" s="272"/>
      <c r="H58" s="272"/>
    </row>
    <row r="59" spans="1:10">
      <c r="C59" s="272"/>
      <c r="D59" s="272"/>
      <c r="E59" s="272"/>
      <c r="F59" s="272"/>
      <c r="G59" s="272"/>
      <c r="H59" s="272"/>
    </row>
  </sheetData>
  <sheetProtection password="8318" sheet="1"/>
  <mergeCells count="8">
    <mergeCell ref="A51:B51"/>
    <mergeCell ref="A33:B33"/>
    <mergeCell ref="A4:H4"/>
    <mergeCell ref="A8:B8"/>
    <mergeCell ref="A23:B23"/>
    <mergeCell ref="A25:B25"/>
    <mergeCell ref="A35:B35"/>
    <mergeCell ref="A49:B49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97" orientation="portrait" r:id="rId1"/>
  <headerFooter alignWithMargins="0">
    <oddFooter>&amp;C&amp;"Arial,Normal"&amp;8IAPMEI&amp;R&amp;"Arial,Normal"&amp;8&amp;P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1">
    <pageSetUpPr fitToPage="1"/>
  </sheetPr>
  <dimension ref="A1:G28"/>
  <sheetViews>
    <sheetView showGridLines="0" topLeftCell="A3" workbookViewId="0">
      <selection activeCell="A6" sqref="A6:G28"/>
    </sheetView>
  </sheetViews>
  <sheetFormatPr defaultColWidth="8.7109375" defaultRowHeight="12.75"/>
  <cols>
    <col min="1" max="1" width="42.85546875" style="93" bestFit="1" customWidth="1"/>
    <col min="2" max="11" width="11.42578125" style="93" customWidth="1"/>
    <col min="12" max="16384" width="8.7109375" style="93"/>
  </cols>
  <sheetData>
    <row r="1" spans="1:7" ht="13.5">
      <c r="A1" s="83"/>
      <c r="B1" s="83"/>
      <c r="C1" s="77"/>
      <c r="D1" s="77"/>
      <c r="E1" s="77"/>
      <c r="F1" s="74" t="str">
        <f>+VN!G1</f>
        <v>Empresa:</v>
      </c>
      <c r="G1" s="119" t="str">
        <f>+Pressupostos!E1</f>
        <v>ALI,Conserva&amp;Limpa, Lda</v>
      </c>
    </row>
    <row r="2" spans="1:7">
      <c r="A2" s="83"/>
      <c r="B2" s="83"/>
      <c r="C2" s="83"/>
      <c r="D2" s="83"/>
      <c r="E2" s="83"/>
      <c r="F2" s="83"/>
      <c r="G2" s="83"/>
    </row>
    <row r="3" spans="1:7">
      <c r="A3" s="83"/>
      <c r="B3" s="83"/>
      <c r="C3" s="83"/>
      <c r="D3" s="83"/>
      <c r="E3" s="83"/>
      <c r="F3" s="83"/>
      <c r="G3" s="83"/>
    </row>
    <row r="4" spans="1:7" ht="15.75">
      <c r="A4" s="462" t="s">
        <v>61</v>
      </c>
      <c r="B4" s="462"/>
      <c r="C4" s="462"/>
      <c r="D4" s="462"/>
      <c r="E4" s="462"/>
      <c r="F4" s="462"/>
      <c r="G4" s="462"/>
    </row>
    <row r="5" spans="1:7" ht="13.5" thickBot="1">
      <c r="A5" s="83"/>
      <c r="B5" s="83"/>
      <c r="C5" s="83"/>
      <c r="D5" s="83"/>
      <c r="E5" s="83"/>
      <c r="F5" s="83"/>
      <c r="G5" s="83"/>
    </row>
    <row r="6" spans="1:7" ht="13.5" thickBot="1">
      <c r="A6" s="387" t="s">
        <v>120</v>
      </c>
      <c r="B6" s="388">
        <f>+VN!C8</f>
        <v>2011</v>
      </c>
      <c r="C6" s="388">
        <f>+VN!D8</f>
        <v>2012</v>
      </c>
      <c r="D6" s="388">
        <f>+VN!E8</f>
        <v>2013</v>
      </c>
      <c r="E6" s="388">
        <f>+VN!F8</f>
        <v>2014</v>
      </c>
      <c r="F6" s="388">
        <f>+VN!G8</f>
        <v>2015</v>
      </c>
      <c r="G6" s="389">
        <f>+VN!H8</f>
        <v>2016</v>
      </c>
    </row>
    <row r="7" spans="1:7">
      <c r="A7" s="402" t="s">
        <v>118</v>
      </c>
      <c r="B7" s="221"/>
      <c r="C7" s="221">
        <f>+(DR!C8/DR!B8)-1</f>
        <v>0.32597114365425139</v>
      </c>
      <c r="D7" s="221">
        <f>+(DR!D8/DR!C8)-1</f>
        <v>0.27717877707548189</v>
      </c>
      <c r="E7" s="221">
        <f>+(DR!E8/DR!D8)-1</f>
        <v>0.23467866123923931</v>
      </c>
      <c r="F7" s="221">
        <f>+(DR!F8/DR!E8)-1</f>
        <v>0.19068393552687524</v>
      </c>
      <c r="G7" s="391">
        <f>+(DR!G8/DR!F8)-1</f>
        <v>8.1517802050591559E-2</v>
      </c>
    </row>
    <row r="8" spans="1:7" ht="13.5" thickBot="1">
      <c r="A8" s="402" t="s">
        <v>403</v>
      </c>
      <c r="B8" s="392">
        <f>DR!B31/DR!B8</f>
        <v>-0.19353787613207615</v>
      </c>
      <c r="C8" s="392">
        <f>DR!C31/DR!C8</f>
        <v>-9.0885269069701485E-2</v>
      </c>
      <c r="D8" s="392">
        <f>DR!D31/DR!D8</f>
        <v>-8.0773063008764724E-3</v>
      </c>
      <c r="E8" s="392">
        <f>DR!E31/DR!E8</f>
        <v>3.1927808389053805E-2</v>
      </c>
      <c r="F8" s="392">
        <f>DR!F31/DR!F8</f>
        <v>9.660568298922094E-2</v>
      </c>
      <c r="G8" s="393">
        <f>DR!G31/DR!G8</f>
        <v>8.9809196870159189E-2</v>
      </c>
    </row>
    <row r="9" spans="1:7" ht="13.5" thickBot="1">
      <c r="A9" s="83"/>
      <c r="B9" s="83"/>
      <c r="C9" s="83"/>
      <c r="D9" s="83"/>
      <c r="E9" s="83"/>
      <c r="F9" s="83"/>
      <c r="G9" s="83"/>
    </row>
    <row r="10" spans="1:7" ht="13.5" thickBot="1">
      <c r="A10" s="387" t="s">
        <v>119</v>
      </c>
      <c r="B10" s="388">
        <f t="shared" ref="B10:G10" si="0">+B6</f>
        <v>2011</v>
      </c>
      <c r="C10" s="388">
        <f t="shared" si="0"/>
        <v>2012</v>
      </c>
      <c r="D10" s="388">
        <f t="shared" si="0"/>
        <v>2013</v>
      </c>
      <c r="E10" s="388">
        <f t="shared" si="0"/>
        <v>2014</v>
      </c>
      <c r="F10" s="388">
        <f t="shared" si="0"/>
        <v>2015</v>
      </c>
      <c r="G10" s="389">
        <f t="shared" si="0"/>
        <v>2016</v>
      </c>
    </row>
    <row r="11" spans="1:7">
      <c r="A11" s="402" t="s">
        <v>123</v>
      </c>
      <c r="B11" s="221">
        <f>DR!B31/Balanço!C23</f>
        <v>-0.45345232162633209</v>
      </c>
      <c r="C11" s="221">
        <f>DR!C31/Balanço!D23</f>
        <v>-0.24397728863529292</v>
      </c>
      <c r="D11" s="221">
        <f>DR!D31/Balanço!E23</f>
        <v>-2.3957612570229613E-2</v>
      </c>
      <c r="E11" s="221">
        <f>DR!E31/Balanço!F23</f>
        <v>9.6610798617456181E-2</v>
      </c>
      <c r="F11" s="221">
        <f>DR!F31/Balanço!G23</f>
        <v>0.29208762134327543</v>
      </c>
      <c r="G11" s="391">
        <f>DR!G31/Balanço!H23</f>
        <v>0.2073536412114243</v>
      </c>
    </row>
    <row r="12" spans="1:7">
      <c r="A12" s="402" t="s">
        <v>124</v>
      </c>
      <c r="B12" s="221">
        <f>+DR!B26/Balanço!C23</f>
        <v>-0.42070913013182354</v>
      </c>
      <c r="C12" s="221">
        <f>+DR!C26/Balanço!D23</f>
        <v>-0.21847751645188876</v>
      </c>
      <c r="D12" s="221">
        <f>+DR!D26/Balanço!E23</f>
        <v>3.7129910741473047E-3</v>
      </c>
      <c r="E12" s="221">
        <f>+DR!E26/Balanço!F23</f>
        <v>0.11644428199946767</v>
      </c>
      <c r="F12" s="221">
        <f>+DR!F26/Balanço!G23</f>
        <v>0.29277330114152711</v>
      </c>
      <c r="G12" s="391">
        <f>+DR!G26/Balanço!H23</f>
        <v>0.26525459608284979</v>
      </c>
    </row>
    <row r="13" spans="1:7">
      <c r="A13" s="402" t="s">
        <v>125</v>
      </c>
      <c r="B13" s="221">
        <f>DR!B8/Balanço!C23</f>
        <v>2.3429642336101817</v>
      </c>
      <c r="C13" s="221">
        <f>DR!C8/Balanço!D23</f>
        <v>2.6844536098383833</v>
      </c>
      <c r="D13" s="221">
        <f>DR!D8/Balanço!E23</f>
        <v>2.9660398749060639</v>
      </c>
      <c r="E13" s="221">
        <f>DR!E8/Balanço!F23</f>
        <v>3.0259138817238207</v>
      </c>
      <c r="F13" s="221">
        <f>DR!F8/Balanço!G23</f>
        <v>3.0235035073026291</v>
      </c>
      <c r="G13" s="391">
        <f>DR!G8/Balanço!H23</f>
        <v>2.3088241342499018</v>
      </c>
    </row>
    <row r="14" spans="1:7" ht="13.5" thickBot="1">
      <c r="A14" s="402" t="s">
        <v>126</v>
      </c>
      <c r="B14" s="392">
        <f>+DR!B31/Balanço!C33</f>
        <v>-15.86260752195194</v>
      </c>
      <c r="C14" s="392">
        <f>+DR!C31/Balanço!D33</f>
        <v>-2.6128567013432842</v>
      </c>
      <c r="D14" s="392">
        <f>+DR!D31/Balanço!E33</f>
        <v>-0.42162367246068189</v>
      </c>
      <c r="E14" s="392">
        <f>+DR!E31/Balanço!F33</f>
        <v>0.67295650763201897</v>
      </c>
      <c r="F14" s="392">
        <f>+DR!F31/Balanço!G33</f>
        <v>0.70798412521562692</v>
      </c>
      <c r="G14" s="393">
        <f>+DR!G31/Balanço!H33</f>
        <v>0.41582930725457318</v>
      </c>
    </row>
    <row r="15" spans="1:7" ht="13.5" thickBot="1">
      <c r="A15" s="83"/>
      <c r="B15" s="83"/>
      <c r="C15" s="83"/>
      <c r="D15" s="83"/>
      <c r="E15" s="83"/>
      <c r="F15" s="83"/>
      <c r="G15" s="83"/>
    </row>
    <row r="16" spans="1:7" ht="13.5" thickBot="1">
      <c r="A16" s="387" t="s">
        <v>121</v>
      </c>
      <c r="B16" s="397">
        <f t="shared" ref="B16:G16" si="1">+B6</f>
        <v>2011</v>
      </c>
      <c r="C16" s="397">
        <f t="shared" si="1"/>
        <v>2012</v>
      </c>
      <c r="D16" s="397">
        <f t="shared" si="1"/>
        <v>2013</v>
      </c>
      <c r="E16" s="397">
        <f t="shared" si="1"/>
        <v>2014</v>
      </c>
      <c r="F16" s="397">
        <f t="shared" si="1"/>
        <v>2015</v>
      </c>
      <c r="G16" s="398">
        <f t="shared" si="1"/>
        <v>2016</v>
      </c>
    </row>
    <row r="17" spans="1:7">
      <c r="A17" s="402" t="s">
        <v>19</v>
      </c>
      <c r="B17" s="221">
        <f>Balanço!C33/Balanço!C23</f>
        <v>2.8586241007275043E-2</v>
      </c>
      <c r="C17" s="221">
        <f>Balanço!D33/Balanço!D23</f>
        <v>9.3375686661217525E-2</v>
      </c>
      <c r="D17" s="221">
        <f>Balanço!E33/Balanço!E23</f>
        <v>5.6822266241380835E-2</v>
      </c>
      <c r="E17" s="221">
        <f>Balanço!F33/Balanço!F23</f>
        <v>0.14356172727626576</v>
      </c>
      <c r="F17" s="221">
        <f>Balanço!G33/Balanço!G23</f>
        <v>0.41256238796924422</v>
      </c>
      <c r="G17" s="399">
        <f>Balanço!H33/Balanço!H23</f>
        <v>0.4986508588835013</v>
      </c>
    </row>
    <row r="18" spans="1:7">
      <c r="A18" s="402" t="s">
        <v>16</v>
      </c>
      <c r="B18" s="221">
        <f>Balanço!C23/Balanço!C49</f>
        <v>1.0294267849219783</v>
      </c>
      <c r="C18" s="221">
        <f>Balanço!D23/Balanço!D49</f>
        <v>1.1029918623522628</v>
      </c>
      <c r="D18" s="221">
        <f>Balanço!E23/Balanço!E49</f>
        <v>1.0602448849893793</v>
      </c>
      <c r="E18" s="221">
        <f>Balanço!F23/Balanço!F49</f>
        <v>1.1676258016710557</v>
      </c>
      <c r="F18" s="221">
        <f>Balanço!G23/Balanço!G49</f>
        <v>1.7023072335631617</v>
      </c>
      <c r="G18" s="399">
        <f>Balanço!H23/Balanço!H49</f>
        <v>1.9946167964597497</v>
      </c>
    </row>
    <row r="19" spans="1:7" ht="13.5" thickBot="1">
      <c r="A19" s="402" t="s">
        <v>404</v>
      </c>
      <c r="B19" s="400">
        <f>+DR!B26/DR!B28</f>
        <v>-12.848751478681647</v>
      </c>
      <c r="C19" s="400">
        <f>+DR!C26/DR!C28</f>
        <v>-8.5678222879998547</v>
      </c>
      <c r="D19" s="400">
        <f>+DR!D26/DR!D28</f>
        <v>0.13418540201965706</v>
      </c>
      <c r="E19" s="400">
        <f>+DR!E26/DR!E28</f>
        <v>5.8710958512250011</v>
      </c>
      <c r="F19" s="400">
        <f>+DR!F26/DR!F28</f>
        <v>194.84135504970905</v>
      </c>
      <c r="G19" s="401">
        <f>+DR!G26/DR!G28</f>
        <v>375.02234411512751</v>
      </c>
    </row>
    <row r="20" spans="1:7" ht="13.5" thickBot="1">
      <c r="A20" s="83"/>
      <c r="B20" s="83"/>
      <c r="C20" s="83"/>
      <c r="D20" s="83"/>
      <c r="E20" s="83"/>
      <c r="F20" s="83"/>
      <c r="G20" s="83"/>
    </row>
    <row r="21" spans="1:7" ht="13.5" thickBot="1">
      <c r="A21" s="387" t="s">
        <v>122</v>
      </c>
      <c r="B21" s="388">
        <f t="shared" ref="B21:G21" si="2">+B6</f>
        <v>2011</v>
      </c>
      <c r="C21" s="388">
        <f t="shared" si="2"/>
        <v>2012</v>
      </c>
      <c r="D21" s="388">
        <f t="shared" si="2"/>
        <v>2013</v>
      </c>
      <c r="E21" s="388">
        <f t="shared" si="2"/>
        <v>2014</v>
      </c>
      <c r="F21" s="388">
        <f t="shared" si="2"/>
        <v>2015</v>
      </c>
      <c r="G21" s="389">
        <f t="shared" si="2"/>
        <v>2016</v>
      </c>
    </row>
    <row r="22" spans="1:7">
      <c r="A22" s="402" t="s">
        <v>402</v>
      </c>
      <c r="B22" s="386">
        <f>Balanço!C15/Balanço!C42</f>
        <v>0.91212334183353405</v>
      </c>
      <c r="C22" s="386">
        <f>Balanço!D15/Balanço!D42</f>
        <v>1.0518383363947656</v>
      </c>
      <c r="D22" s="386">
        <f>Balanço!E15/Balanço!E42</f>
        <v>1.0586984926400296</v>
      </c>
      <c r="E22" s="386">
        <f>Balanço!F15/Balanço!F42</f>
        <v>1.1483543594415673</v>
      </c>
      <c r="F22" s="386">
        <f>Balanço!G15/Balanço!G42</f>
        <v>1.7064344441950134</v>
      </c>
      <c r="G22" s="394">
        <f>Balanço!H15/Balanço!H42</f>
        <v>1.9934192867015537</v>
      </c>
    </row>
    <row r="23" spans="1:7" ht="13.5" thickBot="1">
      <c r="A23" s="402" t="s">
        <v>17</v>
      </c>
      <c r="B23" s="395">
        <f>(Balanço!C17+Balanço!C18+Balanço!C19+Balanço!C20+Balanço!C21+Balanço!C22)/Balanço!C42</f>
        <v>0.84744663007074628</v>
      </c>
      <c r="C23" s="395">
        <f>(Balanço!D17+Balanço!D18+Balanço!D19+Balanço!D20+Balanço!D21+Balanço!D22)/Balanço!D42</f>
        <v>0.97403701451937352</v>
      </c>
      <c r="D23" s="395">
        <f>(Balanço!E17+Balanço!E18+Balanço!E19+Balanço!E20+Balanço!E21+Balanço!E22)/Balanço!E42</f>
        <v>0.97802430063087042</v>
      </c>
      <c r="E23" s="395">
        <f>(Balanço!F17+Balanço!F18+Balanço!F19+Balanço!F20+Balanço!F21+Balanço!F22)/Balanço!F42</f>
        <v>1.0583267920655808</v>
      </c>
      <c r="F23" s="395">
        <f>(Balanço!G17+Balanço!G18+Balanço!G19+Balanço!G20+Balanço!G21+Balanço!G22)/Balanço!G42</f>
        <v>1.5760262126084348</v>
      </c>
      <c r="G23" s="396">
        <f>(Balanço!H17+Balanço!H18+Balanço!H19+Balanço!H20+Balanço!H21+Balanço!H22)/Balanço!H42</f>
        <v>1.8788002372025794</v>
      </c>
    </row>
    <row r="24" spans="1:7" ht="13.5" thickBot="1">
      <c r="A24" s="83"/>
      <c r="B24" s="83"/>
      <c r="C24" s="83"/>
      <c r="D24" s="83"/>
      <c r="E24" s="83"/>
      <c r="F24" s="83"/>
      <c r="G24" s="83"/>
    </row>
    <row r="25" spans="1:7" ht="13.5" thickBot="1">
      <c r="A25" s="387" t="s">
        <v>127</v>
      </c>
      <c r="B25" s="388">
        <f t="shared" ref="B25:G25" si="3">+B6</f>
        <v>2011</v>
      </c>
      <c r="C25" s="388">
        <f t="shared" si="3"/>
        <v>2012</v>
      </c>
      <c r="D25" s="388">
        <f t="shared" si="3"/>
        <v>2013</v>
      </c>
      <c r="E25" s="388">
        <f t="shared" si="3"/>
        <v>2014</v>
      </c>
      <c r="F25" s="388">
        <f t="shared" si="3"/>
        <v>2015</v>
      </c>
      <c r="G25" s="389">
        <f t="shared" si="3"/>
        <v>2016</v>
      </c>
    </row>
    <row r="26" spans="1:7">
      <c r="A26" s="402" t="s">
        <v>68</v>
      </c>
      <c r="B26" s="263">
        <f>DR!B8-DR!B11-DR!B13-DR!B14</f>
        <v>136645.36400000006</v>
      </c>
      <c r="C26" s="263">
        <f>DR!C8-DR!C11-DR!C13-DR!C14</f>
        <v>212254.028582</v>
      </c>
      <c r="D26" s="263">
        <f>DR!D8-DR!D11-DR!D13-DR!D14</f>
        <v>297175.92868289119</v>
      </c>
      <c r="E26" s="263">
        <f>DR!E8-DR!E11-DR!E13-DR!E14</f>
        <v>383645.70575459872</v>
      </c>
      <c r="F26" s="263">
        <f>DR!F8-DR!F11-DR!F13-DR!F14</f>
        <v>475643.15190107655</v>
      </c>
      <c r="G26" s="390">
        <f>DR!G8-DR!G11-DR!G13-DR!G14</f>
        <v>521751.03142170416</v>
      </c>
    </row>
    <row r="27" spans="1:7">
      <c r="A27" s="402" t="s">
        <v>215</v>
      </c>
      <c r="B27" s="221">
        <f>+B26/DR!B26</f>
        <v>-1.3057966932233245</v>
      </c>
      <c r="C27" s="221">
        <f>+C26/DR!C26</f>
        <v>-3.3749548152412907</v>
      </c>
      <c r="D27" s="221">
        <f>+D26/DR!D26</f>
        <v>240.53478080556846</v>
      </c>
      <c r="E27" s="221">
        <f>+E26/DR!E26</f>
        <v>8.1813687960322241</v>
      </c>
      <c r="F27" s="221">
        <f>+F26/DR!F26</f>
        <v>3.3854857761350594</v>
      </c>
      <c r="G27" s="391">
        <f>+G26/DR!G26</f>
        <v>2.8941318829406613</v>
      </c>
    </row>
    <row r="28" spans="1:7" ht="13.5" thickBot="1">
      <c r="A28" s="402" t="s">
        <v>405</v>
      </c>
      <c r="B28" s="392">
        <f>+DR!B26/DR!B29</f>
        <v>0.92779132461584213</v>
      </c>
      <c r="C28" s="392">
        <f>+DR!C26/DR!C29</f>
        <v>0.89548300857821961</v>
      </c>
      <c r="D28" s="392">
        <f>+DR!D26/DR!D29</f>
        <v>-0.15498168121982109</v>
      </c>
      <c r="E28" s="392">
        <f>+DR!E26/DR!E29</f>
        <v>1.20529261392968</v>
      </c>
      <c r="F28" s="392">
        <f>+DR!F26/DR!F29</f>
        <v>1.0023475140613569</v>
      </c>
      <c r="G28" s="393">
        <f>+DR!G26/DR!G29</f>
        <v>0.98015670033658586</v>
      </c>
    </row>
  </sheetData>
  <sheetProtection password="8318" sheet="1" objects="1" scenarios="1"/>
  <mergeCells count="1">
    <mergeCell ref="A4:G4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9" orientation="portrait" r:id="rId1"/>
  <headerFooter alignWithMargins="0">
    <oddFooter>&amp;C&amp;"Arial,Normal"&amp;8IAPMEI&amp;R&amp;"Arial,Normal"&amp;8&amp;P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3">
    <pageSetUpPr fitToPage="1"/>
  </sheetPr>
  <dimension ref="A1:O62"/>
  <sheetViews>
    <sheetView showGridLines="0" workbookViewId="0">
      <selection activeCell="A7" sqref="A7:I60"/>
    </sheetView>
  </sheetViews>
  <sheetFormatPr defaultColWidth="8.7109375" defaultRowHeight="12.75"/>
  <cols>
    <col min="1" max="1" width="31.42578125" style="93" customWidth="1"/>
    <col min="2" max="9" width="11.42578125" style="93" customWidth="1"/>
    <col min="10" max="10" width="8.7109375" style="93" customWidth="1"/>
    <col min="11" max="11" width="11.85546875" style="93" customWidth="1"/>
    <col min="12" max="13" width="8.7109375" style="93" customWidth="1"/>
    <col min="14" max="14" width="14.85546875" style="93" customWidth="1"/>
    <col min="15" max="15" width="13.140625" style="93" customWidth="1"/>
    <col min="16" max="16384" width="8.7109375" style="93"/>
  </cols>
  <sheetData>
    <row r="1" spans="1:14" ht="13.5">
      <c r="A1" s="83"/>
      <c r="B1" s="83"/>
      <c r="C1" s="77"/>
      <c r="D1" s="77"/>
      <c r="E1" s="77"/>
      <c r="F1" s="77"/>
      <c r="G1" s="77"/>
      <c r="H1" s="74" t="str">
        <f>+VN!G1</f>
        <v>Empresa:</v>
      </c>
      <c r="I1" s="75" t="str">
        <f>+Pressupostos!E1</f>
        <v>ALI,Conserva&amp;Limpa, Lda</v>
      </c>
      <c r="J1" s="281"/>
    </row>
    <row r="2" spans="1:14">
      <c r="A2" s="83"/>
      <c r="B2" s="83"/>
      <c r="C2" s="83"/>
      <c r="D2" s="83"/>
      <c r="E2" s="83"/>
      <c r="F2" s="83"/>
      <c r="G2" s="83"/>
      <c r="H2" s="83"/>
      <c r="I2" s="83"/>
    </row>
    <row r="3" spans="1:14">
      <c r="A3" s="83"/>
      <c r="B3" s="83"/>
      <c r="C3" s="83"/>
      <c r="D3" s="83"/>
      <c r="E3" s="83"/>
      <c r="F3" s="83"/>
      <c r="G3" s="83"/>
      <c r="H3" s="83"/>
      <c r="I3" s="83"/>
    </row>
    <row r="4" spans="1:14">
      <c r="A4" s="514" t="s">
        <v>171</v>
      </c>
      <c r="B4" s="514"/>
      <c r="C4" s="514"/>
      <c r="D4" s="514"/>
      <c r="E4" s="514"/>
      <c r="F4" s="514"/>
      <c r="G4" s="514"/>
      <c r="H4" s="514"/>
      <c r="I4" s="514"/>
    </row>
    <row r="5" spans="1:14">
      <c r="A5" s="83"/>
      <c r="B5" s="83"/>
      <c r="C5" s="83"/>
      <c r="D5" s="83"/>
      <c r="E5" s="83"/>
      <c r="F5" s="83"/>
      <c r="G5" s="83"/>
      <c r="H5" s="83"/>
      <c r="I5" s="83"/>
    </row>
    <row r="6" spans="1:14">
      <c r="A6" s="83"/>
      <c r="B6" s="83"/>
      <c r="C6" s="83"/>
      <c r="D6" s="83"/>
      <c r="E6" s="83"/>
      <c r="F6" s="83"/>
      <c r="G6" s="83"/>
      <c r="H6" s="83"/>
      <c r="I6" s="83"/>
    </row>
    <row r="7" spans="1:14">
      <c r="A7" s="512" t="s">
        <v>8</v>
      </c>
      <c r="B7" s="513"/>
      <c r="C7" s="80">
        <f>+VN!C8</f>
        <v>2011</v>
      </c>
      <c r="D7" s="80">
        <f>+VN!D8</f>
        <v>2012</v>
      </c>
      <c r="E7" s="80">
        <f>+VN!E8</f>
        <v>2013</v>
      </c>
      <c r="F7" s="80">
        <f>+VN!F8</f>
        <v>2014</v>
      </c>
      <c r="G7" s="80">
        <f>+VN!G8</f>
        <v>2015</v>
      </c>
      <c r="H7" s="80">
        <f>+VN!H8</f>
        <v>2016</v>
      </c>
      <c r="I7" s="80">
        <f>H7+1</f>
        <v>2017</v>
      </c>
    </row>
    <row r="8" spans="1:14">
      <c r="A8" s="83"/>
      <c r="B8" s="173"/>
      <c r="C8" s="283"/>
      <c r="D8" s="283"/>
      <c r="E8" s="283"/>
      <c r="F8" s="283"/>
      <c r="G8" s="283"/>
      <c r="H8" s="283"/>
      <c r="I8" s="283"/>
    </row>
    <row r="9" spans="1:14">
      <c r="A9" s="94" t="s">
        <v>132</v>
      </c>
      <c r="B9" s="104"/>
      <c r="C9" s="286">
        <f>+'Cash Flow'!C21+PlanoFinanceiro!C12-PlanoFinanceiro!C23-DR!B28</f>
        <v>-186825.22744195393</v>
      </c>
      <c r="D9" s="286">
        <f>+'Cash Flow'!D21+PlanoFinanceiro!D12-PlanoFinanceiro!D23-DR!C28</f>
        <v>-63110.225720116432</v>
      </c>
      <c r="E9" s="286">
        <f>+'Cash Flow'!E21+PlanoFinanceiro!E12-PlanoFinanceiro!E23-DR!D28</f>
        <v>-21237.092492773423</v>
      </c>
      <c r="F9" s="286">
        <f>+'Cash Flow'!F21+PlanoFinanceiro!F12-PlanoFinanceiro!F23-DR!E28</f>
        <v>-6452.9877403867404</v>
      </c>
      <c r="G9" s="286">
        <f>+'Cash Flow'!G21+PlanoFinanceiro!G12-PlanoFinanceiro!G23-DR!F28</f>
        <v>79881.633803620542</v>
      </c>
      <c r="H9" s="286">
        <f>+'Cash Flow'!H21+PlanoFinanceiro!H12-PlanoFinanceiro!H23-DR!G28</f>
        <v>120728.69150847485</v>
      </c>
      <c r="I9" s="286">
        <f>+(H9*(1+Pressupostos!B37))/(I13-Pressupostos!B37)</f>
        <v>1277170.559239587</v>
      </c>
      <c r="K9" s="101"/>
      <c r="L9" s="101"/>
      <c r="M9" s="101"/>
      <c r="N9" s="101"/>
    </row>
    <row r="10" spans="1:14">
      <c r="A10" s="83"/>
      <c r="B10" s="296"/>
      <c r="C10" s="296"/>
      <c r="D10" s="296"/>
      <c r="E10" s="296"/>
      <c r="F10" s="296"/>
      <c r="G10" s="296"/>
      <c r="H10" s="296"/>
      <c r="I10" s="296"/>
      <c r="K10" s="282"/>
      <c r="L10" s="282" t="s">
        <v>3</v>
      </c>
      <c r="M10" s="282" t="s">
        <v>4</v>
      </c>
      <c r="N10" s="282"/>
    </row>
    <row r="11" spans="1:14">
      <c r="A11" s="162" t="s">
        <v>111</v>
      </c>
      <c r="B11" s="290"/>
      <c r="C11" s="291">
        <f>+Pressupostos!B34</f>
        <v>3.7499999999999999E-2</v>
      </c>
      <c r="D11" s="291">
        <f>+C11*(1+VN!D9)</f>
        <v>3.8625E-2</v>
      </c>
      <c r="E11" s="291">
        <f>+D11*(1+VN!E9)</f>
        <v>3.978375E-2</v>
      </c>
      <c r="F11" s="291">
        <f>+E11*(1+VN!F9)</f>
        <v>4.09772625E-2</v>
      </c>
      <c r="G11" s="291">
        <f>+F11*(1+VN!G9)</f>
        <v>4.2206580375000004E-2</v>
      </c>
      <c r="H11" s="291">
        <f>+G11*(1+VN!H9)</f>
        <v>4.3472777786250007E-2</v>
      </c>
      <c r="I11" s="291">
        <f>+H11*(1+VN!H9)</f>
        <v>4.4776961119837505E-2</v>
      </c>
      <c r="K11" s="282" t="s">
        <v>24</v>
      </c>
      <c r="L11" s="284">
        <f>+C16</f>
        <v>-186825.22744195393</v>
      </c>
      <c r="M11" s="284">
        <f>+L11</f>
        <v>-186825.22744195393</v>
      </c>
      <c r="N11" s="285" t="b">
        <f t="shared" ref="N11:N17" si="0">IF(M11&gt;0,M11/L11*12)</f>
        <v>0</v>
      </c>
    </row>
    <row r="12" spans="1:14">
      <c r="A12" s="162" t="s">
        <v>112</v>
      </c>
      <c r="B12" s="290"/>
      <c r="C12" s="291">
        <f>+Pressupostos!B35</f>
        <v>0.1</v>
      </c>
      <c r="D12" s="291">
        <f t="shared" ref="D12:I12" si="1">+C12</f>
        <v>0.1</v>
      </c>
      <c r="E12" s="291">
        <f t="shared" si="1"/>
        <v>0.1</v>
      </c>
      <c r="F12" s="291">
        <f t="shared" si="1"/>
        <v>0.1</v>
      </c>
      <c r="G12" s="291">
        <f t="shared" si="1"/>
        <v>0.1</v>
      </c>
      <c r="H12" s="291">
        <f t="shared" si="1"/>
        <v>0.1</v>
      </c>
      <c r="I12" s="291">
        <f t="shared" si="1"/>
        <v>0.1</v>
      </c>
      <c r="K12" s="282" t="s">
        <v>25</v>
      </c>
      <c r="L12" s="284">
        <f>+D16</f>
        <v>-55239.313970714276</v>
      </c>
      <c r="M12" s="284">
        <f t="shared" ref="M12:M17" si="2">+M11+L12</f>
        <v>-242064.54141266822</v>
      </c>
      <c r="N12" s="306" t="b">
        <f t="shared" si="0"/>
        <v>0</v>
      </c>
    </row>
    <row r="13" spans="1:14">
      <c r="A13" s="162" t="s">
        <v>129</v>
      </c>
      <c r="B13" s="290"/>
      <c r="C13" s="291">
        <f t="shared" ref="C13:I13" si="3">+(1+C11)*(1+C12)-1</f>
        <v>0.1412500000000001</v>
      </c>
      <c r="D13" s="291">
        <f t="shared" si="3"/>
        <v>0.1424875000000001</v>
      </c>
      <c r="E13" s="291">
        <f t="shared" si="3"/>
        <v>0.14376212500000007</v>
      </c>
      <c r="F13" s="291">
        <f t="shared" si="3"/>
        <v>0.14507498875000002</v>
      </c>
      <c r="G13" s="291">
        <f t="shared" si="3"/>
        <v>0.14642723841250005</v>
      </c>
      <c r="H13" s="291">
        <f t="shared" si="3"/>
        <v>0.14782005556487521</v>
      </c>
      <c r="I13" s="291">
        <f t="shared" si="3"/>
        <v>0.14925465723182119</v>
      </c>
      <c r="K13" s="282" t="s">
        <v>26</v>
      </c>
      <c r="L13" s="284">
        <f>+E16</f>
        <v>-16252.040291018027</v>
      </c>
      <c r="M13" s="284">
        <f t="shared" si="2"/>
        <v>-258316.58170368624</v>
      </c>
      <c r="N13" s="306" t="b">
        <f t="shared" si="0"/>
        <v>0</v>
      </c>
    </row>
    <row r="14" spans="1:14">
      <c r="A14" s="162" t="s">
        <v>130</v>
      </c>
      <c r="B14" s="290"/>
      <c r="C14" s="294">
        <v>1</v>
      </c>
      <c r="D14" s="295">
        <f t="shared" ref="D14:I14" si="4">+C14*(1+D13)</f>
        <v>1.1424875000000001</v>
      </c>
      <c r="E14" s="295">
        <f t="shared" si="4"/>
        <v>1.3067339307859378</v>
      </c>
      <c r="F14" s="295">
        <f t="shared" si="4"/>
        <v>1.4963083410939511</v>
      </c>
      <c r="G14" s="295">
        <f t="shared" si="4"/>
        <v>1.7154086392939274</v>
      </c>
      <c r="H14" s="295">
        <f t="shared" si="4"/>
        <v>1.9689804396708228</v>
      </c>
      <c r="I14" s="295">
        <f t="shared" si="4"/>
        <v>2.2628599402900522</v>
      </c>
      <c r="K14" s="282" t="s">
        <v>27</v>
      </c>
      <c r="L14" s="284">
        <f>+F16</f>
        <v>-4312.6056061873987</v>
      </c>
      <c r="M14" s="284">
        <f t="shared" si="2"/>
        <v>-262629.18730987364</v>
      </c>
      <c r="N14" s="292" t="b">
        <f t="shared" si="0"/>
        <v>0</v>
      </c>
    </row>
    <row r="15" spans="1:14">
      <c r="A15" s="83"/>
      <c r="B15" s="296"/>
      <c r="C15" s="307"/>
      <c r="D15" s="308"/>
      <c r="E15" s="308"/>
      <c r="F15" s="308"/>
      <c r="G15" s="308"/>
      <c r="H15" s="308"/>
      <c r="I15" s="308"/>
      <c r="K15" s="282" t="s">
        <v>28</v>
      </c>
      <c r="L15" s="284">
        <f>+G16</f>
        <v>46567.116414022668</v>
      </c>
      <c r="M15" s="284">
        <f t="shared" si="2"/>
        <v>-216062.07089585098</v>
      </c>
      <c r="N15" s="292" t="b">
        <f>IF(M15&gt;0,M15/L15*12)</f>
        <v>0</v>
      </c>
    </row>
    <row r="16" spans="1:14">
      <c r="A16" s="94" t="s">
        <v>131</v>
      </c>
      <c r="B16" s="104"/>
      <c r="C16" s="286">
        <f>+C9/C14</f>
        <v>-186825.22744195393</v>
      </c>
      <c r="D16" s="286">
        <f t="shared" ref="D16:I16" si="5">+D9/D14</f>
        <v>-55239.313970714276</v>
      </c>
      <c r="E16" s="286">
        <f t="shared" si="5"/>
        <v>-16252.040291018027</v>
      </c>
      <c r="F16" s="286">
        <f t="shared" si="5"/>
        <v>-4312.6056061873987</v>
      </c>
      <c r="G16" s="286">
        <f t="shared" si="5"/>
        <v>46567.116414022668</v>
      </c>
      <c r="H16" s="286">
        <f t="shared" si="5"/>
        <v>61315.333091200468</v>
      </c>
      <c r="I16" s="286">
        <f t="shared" si="5"/>
        <v>564405.48374190577</v>
      </c>
      <c r="K16" s="282" t="s">
        <v>29</v>
      </c>
      <c r="L16" s="284">
        <f>+H16</f>
        <v>61315.333091200468</v>
      </c>
      <c r="M16" s="284">
        <f t="shared" si="2"/>
        <v>-154746.7378046505</v>
      </c>
      <c r="N16" s="292" t="b">
        <f>IF(M16&gt;0,M16/L16*12)</f>
        <v>0</v>
      </c>
    </row>
    <row r="17" spans="1:15">
      <c r="A17" s="288"/>
      <c r="B17" s="86"/>
      <c r="C17" s="289"/>
      <c r="D17" s="289"/>
      <c r="E17" s="289"/>
      <c r="F17" s="289"/>
      <c r="G17" s="289"/>
      <c r="H17" s="289"/>
      <c r="I17" s="289"/>
      <c r="K17" s="282" t="s">
        <v>144</v>
      </c>
      <c r="L17" s="284">
        <f>+I16</f>
        <v>564405.48374190577</v>
      </c>
      <c r="M17" s="284">
        <f t="shared" si="2"/>
        <v>409658.74593725527</v>
      </c>
      <c r="N17" s="292">
        <f t="shared" si="0"/>
        <v>8.7098816238557895</v>
      </c>
    </row>
    <row r="18" spans="1:15">
      <c r="A18" s="94"/>
      <c r="B18" s="104"/>
      <c r="C18" s="286">
        <f>+C16</f>
        <v>-186825.22744195393</v>
      </c>
      <c r="D18" s="286">
        <f>+SUM($C$16:D16)</f>
        <v>-242064.54141266822</v>
      </c>
      <c r="E18" s="286">
        <f>+SUM($C$16:E16)</f>
        <v>-258316.58170368624</v>
      </c>
      <c r="F18" s="286">
        <f>+SUM($C$16:F16)</f>
        <v>-262629.18730987364</v>
      </c>
      <c r="G18" s="286">
        <f>+SUM($C$16:G16)</f>
        <v>-216062.07089585098</v>
      </c>
      <c r="H18" s="286">
        <f>+SUM($C$16:H16)</f>
        <v>-154746.7378046505</v>
      </c>
      <c r="I18" s="286">
        <f>+SUM($C$16:I16)</f>
        <v>409658.74593725527</v>
      </c>
      <c r="K18" s="101"/>
      <c r="L18" s="101"/>
      <c r="M18" s="101"/>
      <c r="N18" s="101"/>
    </row>
    <row r="19" spans="1:15">
      <c r="A19" s="83"/>
      <c r="B19" s="173"/>
      <c r="C19" s="297"/>
      <c r="D19" s="83"/>
      <c r="E19" s="83"/>
      <c r="F19" s="83"/>
      <c r="G19" s="283"/>
      <c r="H19" s="283"/>
      <c r="I19" s="283"/>
      <c r="K19" s="101"/>
      <c r="L19" s="101"/>
      <c r="M19" s="101"/>
      <c r="N19" s="101"/>
    </row>
    <row r="20" spans="1:15">
      <c r="A20" s="94" t="s">
        <v>216</v>
      </c>
      <c r="B20" s="104"/>
      <c r="C20" s="286">
        <f>I18</f>
        <v>409658.74593725527</v>
      </c>
      <c r="D20" s="298"/>
      <c r="E20" s="283"/>
      <c r="F20" s="299"/>
      <c r="G20" s="300"/>
      <c r="H20" s="298"/>
      <c r="I20" s="298"/>
      <c r="K20" s="101"/>
      <c r="L20" s="101"/>
      <c r="M20" s="101"/>
      <c r="N20" s="101"/>
    </row>
    <row r="21" spans="1:15">
      <c r="A21" s="83"/>
      <c r="B21" s="301"/>
      <c r="C21" s="283"/>
      <c r="D21" s="283"/>
      <c r="E21" s="283"/>
      <c r="F21" s="283"/>
      <c r="G21" s="283"/>
      <c r="H21" s="283"/>
      <c r="I21" s="283"/>
      <c r="J21" s="309"/>
      <c r="K21" s="101"/>
      <c r="L21" s="101"/>
      <c r="M21" s="101"/>
      <c r="N21" s="310"/>
    </row>
    <row r="22" spans="1:15">
      <c r="A22" s="94"/>
      <c r="B22" s="104"/>
      <c r="C22" s="221" t="e">
        <f>+IRR(C9,0.1)</f>
        <v>#NUM!</v>
      </c>
      <c r="D22" s="221" t="e">
        <f>+IRR($C$9:D9,0.1)</f>
        <v>#NUM!</v>
      </c>
      <c r="E22" s="221" t="e">
        <f>+IRR($C$9:E9,0.1)</f>
        <v>#NUM!</v>
      </c>
      <c r="F22" s="221" t="e">
        <f>+IRR($C$9:F9,0.1)</f>
        <v>#NUM!</v>
      </c>
      <c r="G22" s="221" t="e">
        <f>+IRR($C$9:G9,0.1)</f>
        <v>#NUM!</v>
      </c>
      <c r="H22" s="221">
        <f>+IRR($C$9:H9,0.1)</f>
        <v>-7.5492981389827629E-2</v>
      </c>
      <c r="I22" s="221">
        <f>+IRR($C$9:I9,0.1)</f>
        <v>0.36391301361538336</v>
      </c>
      <c r="J22" s="309"/>
      <c r="K22" s="101"/>
      <c r="L22" s="101"/>
      <c r="M22" s="101"/>
      <c r="N22" s="310"/>
    </row>
    <row r="23" spans="1:15">
      <c r="A23" s="83"/>
      <c r="B23" s="301"/>
      <c r="C23" s="283"/>
      <c r="D23" s="283"/>
      <c r="E23" s="283"/>
      <c r="F23" s="283"/>
      <c r="G23" s="283"/>
      <c r="H23" s="283"/>
      <c r="I23" s="283"/>
      <c r="J23" s="309"/>
      <c r="K23" s="101"/>
      <c r="L23" s="101"/>
      <c r="M23" s="101"/>
      <c r="N23" s="310"/>
    </row>
    <row r="24" spans="1:15">
      <c r="A24" s="94" t="s">
        <v>1</v>
      </c>
      <c r="B24" s="104"/>
      <c r="C24" s="302">
        <f>+I22</f>
        <v>0.36391301361538336</v>
      </c>
      <c r="D24" s="303"/>
      <c r="E24" s="303"/>
      <c r="F24" s="303"/>
      <c r="G24" s="303"/>
      <c r="H24" s="283"/>
      <c r="I24" s="283"/>
      <c r="J24" s="309"/>
      <c r="K24" s="101"/>
      <c r="L24" s="101"/>
      <c r="M24" s="101"/>
      <c r="N24" s="310"/>
    </row>
    <row r="25" spans="1:15">
      <c r="A25" s="83"/>
      <c r="B25" s="173"/>
      <c r="C25" s="303"/>
      <c r="D25" s="303"/>
      <c r="E25" s="303"/>
      <c r="F25" s="303"/>
      <c r="G25" s="303"/>
      <c r="H25" s="283"/>
      <c r="I25" s="283"/>
      <c r="J25" s="309"/>
      <c r="K25" s="101"/>
      <c r="L25" s="101"/>
      <c r="M25" s="101"/>
      <c r="N25" s="310"/>
    </row>
    <row r="26" spans="1:15">
      <c r="A26" s="94" t="s">
        <v>2</v>
      </c>
      <c r="B26" s="104"/>
      <c r="C26" s="286">
        <f>COUNTIF(N11:N16,"falso")</f>
        <v>6</v>
      </c>
      <c r="D26" s="304" t="s">
        <v>9</v>
      </c>
      <c r="E26" s="303"/>
      <c r="F26" s="303"/>
      <c r="G26" s="303"/>
      <c r="H26" s="283"/>
      <c r="I26" s="283"/>
      <c r="J26" s="309"/>
      <c r="K26" s="101"/>
      <c r="L26" s="101"/>
      <c r="M26" s="101"/>
      <c r="N26" s="310"/>
    </row>
    <row r="27" spans="1:15">
      <c r="A27" s="83"/>
      <c r="B27" s="83"/>
      <c r="C27" s="83"/>
      <c r="D27" s="83"/>
      <c r="E27" s="83"/>
      <c r="F27" s="83"/>
      <c r="G27" s="83"/>
      <c r="H27" s="83"/>
      <c r="I27" s="83"/>
    </row>
    <row r="28" spans="1:15">
      <c r="A28" s="83"/>
      <c r="B28" s="83"/>
      <c r="C28" s="83"/>
      <c r="D28" s="83"/>
      <c r="E28" s="83"/>
      <c r="F28" s="83"/>
      <c r="G28" s="83"/>
      <c r="H28" s="83"/>
      <c r="I28" s="83"/>
      <c r="K28" s="101"/>
      <c r="L28" s="101"/>
      <c r="M28" s="101"/>
      <c r="N28" s="101"/>
      <c r="O28" s="101"/>
    </row>
    <row r="29" spans="1:15">
      <c r="A29" s="512" t="s">
        <v>7</v>
      </c>
      <c r="B29" s="513"/>
      <c r="C29" s="80">
        <f>+VN!C8</f>
        <v>2011</v>
      </c>
      <c r="D29" s="80">
        <f>+VN!D8</f>
        <v>2012</v>
      </c>
      <c r="E29" s="80">
        <f>+VN!E8</f>
        <v>2013</v>
      </c>
      <c r="F29" s="80">
        <f>+VN!F8</f>
        <v>2014</v>
      </c>
      <c r="G29" s="80">
        <f>+VN!G8</f>
        <v>2015</v>
      </c>
      <c r="H29" s="80">
        <f>+VN!H8</f>
        <v>2016</v>
      </c>
      <c r="I29" s="80">
        <f>+H29+1</f>
        <v>2017</v>
      </c>
      <c r="K29" s="282"/>
      <c r="L29" s="282" t="s">
        <v>3</v>
      </c>
      <c r="M29" s="282" t="s">
        <v>4</v>
      </c>
      <c r="N29" s="282"/>
      <c r="O29" s="101"/>
    </row>
    <row r="30" spans="1:15">
      <c r="A30" s="173"/>
      <c r="B30" s="173"/>
      <c r="C30" s="283"/>
      <c r="D30" s="283"/>
      <c r="E30" s="283"/>
      <c r="F30" s="283"/>
      <c r="G30" s="283"/>
      <c r="H30" s="283"/>
      <c r="I30" s="283"/>
      <c r="K30" s="282" t="s">
        <v>24</v>
      </c>
      <c r="L30" s="284">
        <f>+C36</f>
        <v>-203880.84032333325</v>
      </c>
      <c r="M30" s="284">
        <f>+L30</f>
        <v>-203880.84032333325</v>
      </c>
      <c r="N30" s="285" t="b">
        <f t="shared" ref="N30:N35" si="6">IF(M30&gt;0,M30/L30*12)</f>
        <v>0</v>
      </c>
      <c r="O30" s="101"/>
    </row>
    <row r="31" spans="1:15">
      <c r="A31" s="94" t="s">
        <v>133</v>
      </c>
      <c r="B31" s="104"/>
      <c r="C31" s="286">
        <f>+'Cash Flow'!C21</f>
        <v>-203880.84032333325</v>
      </c>
      <c r="D31" s="286">
        <f>+'Cash Flow'!D21</f>
        <v>-51569.862858083361</v>
      </c>
      <c r="E31" s="286">
        <f>+'Cash Flow'!E21</f>
        <v>-7829.8310845847154</v>
      </c>
      <c r="F31" s="286">
        <f>+'Cash Flow'!F21</f>
        <v>5734.0401441341019</v>
      </c>
      <c r="G31" s="286">
        <f>+'Cash Flow'!G21</f>
        <v>84802.706603620536</v>
      </c>
      <c r="H31" s="286">
        <f>+'Cash Flow'!H21</f>
        <v>125409.40670847485</v>
      </c>
      <c r="I31" s="286">
        <f>(H31*(1+Pressupostos!B37))/(Avaliação!I33-Pressupostos!B37)</f>
        <v>1408751.0841393752</v>
      </c>
      <c r="K31" s="282" t="s">
        <v>25</v>
      </c>
      <c r="L31" s="284">
        <f>+D36</f>
        <v>-48217.595906032882</v>
      </c>
      <c r="M31" s="284">
        <f>+M30+L31</f>
        <v>-252098.43622936614</v>
      </c>
      <c r="N31" s="287" t="b">
        <f t="shared" si="6"/>
        <v>0</v>
      </c>
      <c r="O31" s="101"/>
    </row>
    <row r="32" spans="1:15">
      <c r="A32" s="288"/>
      <c r="B32" s="86"/>
      <c r="C32" s="289"/>
      <c r="D32" s="289"/>
      <c r="E32" s="289"/>
      <c r="F32" s="289"/>
      <c r="G32" s="289"/>
      <c r="H32" s="289"/>
      <c r="I32" s="289"/>
      <c r="K32" s="282" t="s">
        <v>26</v>
      </c>
      <c r="L32" s="284">
        <f>+E36</f>
        <v>-6863.958963355949</v>
      </c>
      <c r="M32" s="284">
        <f>+M31+L32</f>
        <v>-258962.39519272209</v>
      </c>
      <c r="N32" s="287" t="b">
        <f t="shared" si="6"/>
        <v>0</v>
      </c>
      <c r="O32" s="101"/>
    </row>
    <row r="33" spans="1:15">
      <c r="A33" s="162" t="s">
        <v>134</v>
      </c>
      <c r="B33" s="290"/>
      <c r="C33" s="291">
        <f t="shared" ref="C33:H33" si="7">+B60</f>
        <v>5.9395969104307014E-2</v>
      </c>
      <c r="D33" s="291">
        <f t="shared" si="7"/>
        <v>6.9523726537163405E-2</v>
      </c>
      <c r="E33" s="291">
        <f t="shared" si="7"/>
        <v>6.6564909549466783E-2</v>
      </c>
      <c r="F33" s="291">
        <f t="shared" si="7"/>
        <v>0.12994302562466062</v>
      </c>
      <c r="G33" s="291">
        <f t="shared" si="7"/>
        <v>0.14037420297829095</v>
      </c>
      <c r="H33" s="291">
        <f t="shared" si="7"/>
        <v>0.14347277778625001</v>
      </c>
      <c r="I33" s="291">
        <f>+H33</f>
        <v>0.14347277778625001</v>
      </c>
      <c r="K33" s="282" t="s">
        <v>27</v>
      </c>
      <c r="L33" s="284">
        <f>+F36</f>
        <v>4448.6318682505807</v>
      </c>
      <c r="M33" s="284">
        <f>+M32+L33</f>
        <v>-254513.76332447151</v>
      </c>
      <c r="N33" s="292" t="b">
        <f t="shared" si="6"/>
        <v>0</v>
      </c>
      <c r="O33" s="101"/>
    </row>
    <row r="34" spans="1:15">
      <c r="A34" s="224" t="s">
        <v>136</v>
      </c>
      <c r="B34" s="293"/>
      <c r="C34" s="294">
        <v>1</v>
      </c>
      <c r="D34" s="295">
        <f t="shared" ref="D34:I34" si="8">+C34*(1+D33)</f>
        <v>1.0695237265371633</v>
      </c>
      <c r="E34" s="295">
        <f t="shared" si="8"/>
        <v>1.1407164766551181</v>
      </c>
      <c r="F34" s="295">
        <f t="shared" si="8"/>
        <v>1.2889446270115865</v>
      </c>
      <c r="G34" s="295">
        <f t="shared" si="8"/>
        <v>1.4698792017114886</v>
      </c>
      <c r="H34" s="295">
        <f t="shared" si="8"/>
        <v>1.6807668537912717</v>
      </c>
      <c r="I34" s="295">
        <f t="shared" si="8"/>
        <v>1.9219111431157616</v>
      </c>
      <c r="K34" s="282" t="s">
        <v>28</v>
      </c>
      <c r="L34" s="284">
        <f>+G36</f>
        <v>57693.65707391363</v>
      </c>
      <c r="M34" s="284">
        <f>+M33+L34</f>
        <v>-196820.10625055787</v>
      </c>
      <c r="N34" s="292" t="b">
        <f t="shared" si="6"/>
        <v>0</v>
      </c>
      <c r="O34" s="101"/>
    </row>
    <row r="35" spans="1:15">
      <c r="A35" s="83"/>
      <c r="B35" s="296"/>
      <c r="C35" s="296"/>
      <c r="D35" s="296"/>
      <c r="E35" s="296"/>
      <c r="F35" s="296"/>
      <c r="G35" s="296"/>
      <c r="H35" s="296"/>
      <c r="I35" s="296"/>
      <c r="K35" s="282" t="s">
        <v>29</v>
      </c>
      <c r="L35" s="284">
        <f>+H36</f>
        <v>74614.397842027523</v>
      </c>
      <c r="M35" s="284">
        <f>+M34+L35</f>
        <v>-122205.70840853035</v>
      </c>
      <c r="N35" s="292" t="b">
        <f t="shared" si="6"/>
        <v>0</v>
      </c>
      <c r="O35" s="101"/>
    </row>
    <row r="36" spans="1:15">
      <c r="A36" s="94" t="s">
        <v>135</v>
      </c>
      <c r="B36" s="104"/>
      <c r="C36" s="286">
        <f t="shared" ref="C36:I36" si="9">+C31/C34</f>
        <v>-203880.84032333325</v>
      </c>
      <c r="D36" s="286">
        <f t="shared" si="9"/>
        <v>-48217.595906032882</v>
      </c>
      <c r="E36" s="286">
        <f t="shared" si="9"/>
        <v>-6863.958963355949</v>
      </c>
      <c r="F36" s="286">
        <f t="shared" si="9"/>
        <v>4448.6318682505807</v>
      </c>
      <c r="G36" s="286">
        <f t="shared" si="9"/>
        <v>57693.65707391363</v>
      </c>
      <c r="H36" s="286">
        <f t="shared" si="9"/>
        <v>74614.397842027523</v>
      </c>
      <c r="I36" s="286">
        <f t="shared" si="9"/>
        <v>732994.9093564949</v>
      </c>
      <c r="K36" s="101"/>
      <c r="L36" s="101"/>
      <c r="M36" s="101"/>
      <c r="N36" s="101"/>
      <c r="O36" s="101"/>
    </row>
    <row r="37" spans="1:15">
      <c r="A37" s="83"/>
      <c r="B37" s="173"/>
      <c r="C37" s="297"/>
      <c r="D37" s="83"/>
      <c r="E37" s="83"/>
      <c r="F37" s="83"/>
      <c r="G37" s="283"/>
      <c r="H37" s="283"/>
      <c r="I37" s="283"/>
      <c r="K37" s="101"/>
      <c r="L37" s="101"/>
      <c r="M37" s="101"/>
      <c r="N37" s="101"/>
      <c r="O37" s="101"/>
    </row>
    <row r="38" spans="1:15">
      <c r="A38" s="94"/>
      <c r="B38" s="104"/>
      <c r="C38" s="286">
        <f>+C36</f>
        <v>-203880.84032333325</v>
      </c>
      <c r="D38" s="286">
        <f>+SUM($C$36:D36)</f>
        <v>-252098.43622936614</v>
      </c>
      <c r="E38" s="286">
        <f>+SUM($C$36:E36)</f>
        <v>-258962.39519272209</v>
      </c>
      <c r="F38" s="286">
        <f>+SUM($C$36:F36)</f>
        <v>-254513.76332447151</v>
      </c>
      <c r="G38" s="286">
        <f>+SUM($C$36:G36)</f>
        <v>-196820.10625055787</v>
      </c>
      <c r="H38" s="286">
        <f>+SUM($C$36:H36)</f>
        <v>-122205.70840853035</v>
      </c>
      <c r="I38" s="286">
        <f>+SUM($C$36:I36)</f>
        <v>610789.20094796456</v>
      </c>
      <c r="K38" s="101"/>
      <c r="L38" s="101"/>
      <c r="M38" s="101"/>
      <c r="N38" s="101"/>
      <c r="O38" s="101"/>
    </row>
    <row r="39" spans="1:15">
      <c r="A39" s="83"/>
      <c r="B39" s="173"/>
      <c r="C39" s="297"/>
      <c r="D39" s="83"/>
      <c r="E39" s="83"/>
      <c r="F39" s="83"/>
      <c r="G39" s="283"/>
      <c r="H39" s="283"/>
      <c r="I39" s="283"/>
      <c r="K39" s="101"/>
      <c r="L39" s="101"/>
      <c r="M39" s="101"/>
      <c r="N39" s="101"/>
      <c r="O39" s="101"/>
    </row>
    <row r="40" spans="1:15" s="329" customFormat="1">
      <c r="A40" s="322" t="s">
        <v>216</v>
      </c>
      <c r="B40" s="323"/>
      <c r="C40" s="324">
        <f>+I38</f>
        <v>610789.20094796456</v>
      </c>
      <c r="D40" s="325"/>
      <c r="E40" s="326"/>
      <c r="F40" s="327"/>
      <c r="G40" s="328"/>
      <c r="H40" s="325"/>
      <c r="I40" s="325"/>
      <c r="K40" s="330"/>
      <c r="L40" s="330"/>
      <c r="M40" s="330"/>
      <c r="N40" s="330"/>
      <c r="O40" s="330"/>
    </row>
    <row r="41" spans="1:15">
      <c r="A41" s="83"/>
      <c r="B41" s="301"/>
      <c r="C41" s="283"/>
      <c r="D41" s="283"/>
      <c r="E41" s="283"/>
      <c r="F41" s="283"/>
      <c r="G41" s="283"/>
      <c r="H41" s="283"/>
      <c r="I41" s="283"/>
      <c r="K41" s="101"/>
      <c r="L41" s="101"/>
      <c r="M41" s="101"/>
      <c r="N41" s="101"/>
      <c r="O41" s="101"/>
    </row>
    <row r="42" spans="1:15">
      <c r="A42" s="94"/>
      <c r="B42" s="104"/>
      <c r="C42" s="221" t="e">
        <f>+IRR(C31,0.1)</f>
        <v>#NUM!</v>
      </c>
      <c r="D42" s="221" t="e">
        <f>+IRR($C$31:D31,0.1)</f>
        <v>#NUM!</v>
      </c>
      <c r="E42" s="221" t="e">
        <f>+IRR($C$31:E31,0.1)</f>
        <v>#NUM!</v>
      </c>
      <c r="F42" s="221" t="e">
        <f>+IRR($C$31:F31,0.1)</f>
        <v>#NUM!</v>
      </c>
      <c r="G42" s="221" t="e">
        <f>+IRR($C$31:G31,0.1)</f>
        <v>#NUM!</v>
      </c>
      <c r="H42" s="221">
        <f>+IRR($C$31:H31,0.1)</f>
        <v>-4.5046106428527896E-2</v>
      </c>
      <c r="I42" s="221">
        <f>+IRR($C$31:I31,0.1)</f>
        <v>0.38928438012767214</v>
      </c>
    </row>
    <row r="43" spans="1:15">
      <c r="A43" s="83"/>
      <c r="B43" s="301"/>
      <c r="C43" s="283"/>
      <c r="D43" s="283"/>
      <c r="E43" s="283"/>
      <c r="F43" s="283"/>
      <c r="G43" s="283"/>
      <c r="H43" s="283"/>
      <c r="I43" s="283"/>
    </row>
    <row r="44" spans="1:15">
      <c r="A44" s="94" t="s">
        <v>1</v>
      </c>
      <c r="B44" s="104"/>
      <c r="C44" s="302">
        <f>+I42</f>
        <v>0.38928438012767214</v>
      </c>
      <c r="D44" s="303"/>
      <c r="E44" s="303"/>
      <c r="F44" s="303"/>
      <c r="G44" s="303"/>
      <c r="H44" s="283"/>
      <c r="I44" s="283"/>
    </row>
    <row r="45" spans="1:15">
      <c r="A45" s="83"/>
      <c r="B45" s="83"/>
      <c r="C45" s="83"/>
      <c r="D45" s="83"/>
      <c r="E45" s="83"/>
      <c r="F45" s="83"/>
      <c r="G45" s="83"/>
      <c r="H45" s="83"/>
      <c r="I45" s="83"/>
    </row>
    <row r="46" spans="1:15">
      <c r="A46" s="94" t="s">
        <v>2</v>
      </c>
      <c r="B46" s="104"/>
      <c r="C46" s="286">
        <f>COUNTIF(N30:N35,"falso")</f>
        <v>6</v>
      </c>
      <c r="D46" s="304" t="s">
        <v>9</v>
      </c>
      <c r="E46" s="321"/>
      <c r="F46" s="83"/>
      <c r="G46" s="83"/>
      <c r="H46" s="83"/>
      <c r="I46" s="83"/>
    </row>
    <row r="47" spans="1:15">
      <c r="A47" s="83"/>
      <c r="B47" s="83"/>
      <c r="C47" s="83"/>
      <c r="D47" s="83"/>
      <c r="E47" s="83"/>
      <c r="F47" s="83"/>
      <c r="G47" s="83"/>
      <c r="H47" s="83"/>
      <c r="I47" s="83"/>
    </row>
    <row r="48" spans="1:15">
      <c r="A48" s="83"/>
      <c r="B48" s="305"/>
      <c r="C48" s="83"/>
      <c r="D48" s="83"/>
      <c r="E48" s="83"/>
      <c r="F48" s="83"/>
      <c r="G48" s="83"/>
      <c r="H48" s="83"/>
      <c r="I48" s="83"/>
    </row>
    <row r="49" spans="1:9">
      <c r="A49" s="339" t="s">
        <v>255</v>
      </c>
      <c r="B49" s="331">
        <f>+C29</f>
        <v>2011</v>
      </c>
      <c r="C49" s="336">
        <f>+B49+1</f>
        <v>2012</v>
      </c>
      <c r="D49" s="336">
        <f>+C49+1</f>
        <v>2013</v>
      </c>
      <c r="E49" s="336">
        <f>+D49+1</f>
        <v>2014</v>
      </c>
      <c r="F49" s="336">
        <f>+E49+1</f>
        <v>2015</v>
      </c>
      <c r="G49" s="336">
        <f>+F49+1</f>
        <v>2016</v>
      </c>
      <c r="H49" s="83"/>
      <c r="I49" s="83"/>
    </row>
    <row r="50" spans="1:9">
      <c r="A50" s="335" t="s">
        <v>260</v>
      </c>
      <c r="B50" s="337">
        <f>+Balanço!D39+Balanço!D46</f>
        <v>102919.68419490372</v>
      </c>
      <c r="C50" s="337">
        <f>+Balanço!E39+Balanço!E46</f>
        <v>119647.90666928762</v>
      </c>
      <c r="D50" s="337">
        <f>+Balanço!F39+Balanço!F46</f>
        <v>110177.74284056725</v>
      </c>
      <c r="E50" s="337">
        <f>+Balanço!G39+Balanço!G46</f>
        <v>8400</v>
      </c>
      <c r="F50" s="337">
        <f>+Balanço!H39+Balanço!H46</f>
        <v>4200</v>
      </c>
      <c r="G50" s="337">
        <f>+Balanço!I39+Balanço!I46</f>
        <v>0</v>
      </c>
      <c r="H50" s="83"/>
      <c r="I50" s="83"/>
    </row>
    <row r="51" spans="1:9">
      <c r="A51" s="335" t="s">
        <v>217</v>
      </c>
      <c r="B51" s="337">
        <f>+Balanço!C33</f>
        <v>7110.4068480460555</v>
      </c>
      <c r="C51" s="337">
        <f>+Balanço!D33</f>
        <v>26879.119454679661</v>
      </c>
      <c r="D51" s="337">
        <f>+Balanço!E33</f>
        <v>18907.338120048829</v>
      </c>
      <c r="E51" s="337">
        <f>+Balanço!F33</f>
        <v>57812.916511956704</v>
      </c>
      <c r="F51" s="337">
        <f>+Balanço!G33</f>
        <v>197978.6768601065</v>
      </c>
      <c r="G51" s="337">
        <f>+Balanço!H33</f>
        <v>338905.52764580876</v>
      </c>
      <c r="H51" s="83"/>
      <c r="I51" s="83"/>
    </row>
    <row r="52" spans="1:9">
      <c r="A52" s="334" t="s">
        <v>48</v>
      </c>
      <c r="B52" s="337">
        <f t="shared" ref="B52:G52" si="10">+B50+B51</f>
        <v>110030.09104294977</v>
      </c>
      <c r="C52" s="337">
        <f t="shared" si="10"/>
        <v>146527.02612396728</v>
      </c>
      <c r="D52" s="337">
        <f t="shared" si="10"/>
        <v>129085.08096061609</v>
      </c>
      <c r="E52" s="337">
        <f t="shared" si="10"/>
        <v>66212.916511956704</v>
      </c>
      <c r="F52" s="337">
        <f t="shared" si="10"/>
        <v>202178.6768601065</v>
      </c>
      <c r="G52" s="337">
        <f t="shared" si="10"/>
        <v>338905.52764580876</v>
      </c>
      <c r="H52" s="83"/>
      <c r="I52" s="83"/>
    </row>
    <row r="53" spans="1:9">
      <c r="A53" s="335" t="s">
        <v>262</v>
      </c>
      <c r="B53" s="338">
        <f t="shared" ref="B53:G53" si="11">+B50/B52</f>
        <v>0.93537761551728116</v>
      </c>
      <c r="C53" s="338">
        <f t="shared" si="11"/>
        <v>0.81655862289910308</v>
      </c>
      <c r="D53" s="338">
        <f t="shared" si="11"/>
        <v>0.85352809186510503</v>
      </c>
      <c r="E53" s="338">
        <f t="shared" si="11"/>
        <v>0.12686346475136964</v>
      </c>
      <c r="F53" s="338">
        <f t="shared" si="11"/>
        <v>2.0773704058346897E-2</v>
      </c>
      <c r="G53" s="338">
        <f t="shared" si="11"/>
        <v>0</v>
      </c>
      <c r="H53" s="83"/>
      <c r="I53" s="83"/>
    </row>
    <row r="54" spans="1:9">
      <c r="A54" s="335" t="s">
        <v>256</v>
      </c>
      <c r="B54" s="338">
        <f t="shared" ref="B54:G54" si="12">+B51/B52</f>
        <v>6.4622384482718814E-2</v>
      </c>
      <c r="C54" s="338">
        <f t="shared" si="12"/>
        <v>0.18344137710089695</v>
      </c>
      <c r="D54" s="338">
        <f t="shared" si="12"/>
        <v>0.14647190813489488</v>
      </c>
      <c r="E54" s="338">
        <f t="shared" si="12"/>
        <v>0.87313653524863033</v>
      </c>
      <c r="F54" s="338">
        <f t="shared" si="12"/>
        <v>0.97922629594165311</v>
      </c>
      <c r="G54" s="338">
        <f t="shared" si="12"/>
        <v>1</v>
      </c>
      <c r="H54" s="83"/>
      <c r="I54" s="83"/>
    </row>
    <row r="55" spans="1:9">
      <c r="A55" s="83"/>
      <c r="B55" s="305"/>
      <c r="C55" s="83"/>
      <c r="D55" s="83"/>
      <c r="E55" s="83"/>
      <c r="F55" s="83"/>
      <c r="G55" s="83"/>
      <c r="H55" s="83"/>
      <c r="I55" s="83"/>
    </row>
    <row r="56" spans="1:9">
      <c r="A56" s="333" t="s">
        <v>11</v>
      </c>
      <c r="B56" s="305"/>
      <c r="C56" s="83"/>
      <c r="D56" s="83"/>
      <c r="E56" s="83"/>
      <c r="F56" s="83"/>
      <c r="G56" s="83"/>
      <c r="H56" s="83"/>
      <c r="I56" s="83"/>
    </row>
    <row r="57" spans="1:9">
      <c r="A57" s="335" t="s">
        <v>259</v>
      </c>
      <c r="B57" s="338">
        <f>+Pressupostos!$B$32</f>
        <v>7.1999999999999995E-2</v>
      </c>
      <c r="C57" s="338">
        <f>+Pressupostos!$B$32</f>
        <v>7.1999999999999995E-2</v>
      </c>
      <c r="D57" s="338">
        <f>+Pressupostos!$B$32</f>
        <v>7.1999999999999995E-2</v>
      </c>
      <c r="E57" s="338">
        <f>+Pressupostos!$B$32</f>
        <v>7.1999999999999995E-2</v>
      </c>
      <c r="F57" s="338">
        <f>+Pressupostos!$B$32</f>
        <v>7.1999999999999995E-2</v>
      </c>
      <c r="G57" s="338">
        <f>+Pressupostos!$B$32</f>
        <v>7.1999999999999995E-2</v>
      </c>
      <c r="H57" s="83"/>
      <c r="I57" s="83"/>
    </row>
    <row r="58" spans="1:9">
      <c r="A58" s="335" t="s">
        <v>261</v>
      </c>
      <c r="B58" s="338">
        <f>B57*(1-Pressupostos!$B$28)</f>
        <v>5.3999999999999992E-2</v>
      </c>
      <c r="C58" s="338">
        <f>C57*(1-Pressupostos!$B$28)</f>
        <v>5.3999999999999992E-2</v>
      </c>
      <c r="D58" s="338">
        <f>D57*(1-Pressupostos!$B$28)</f>
        <v>5.3999999999999992E-2</v>
      </c>
      <c r="E58" s="338">
        <f>E57*(1-Pressupostos!$B$28)</f>
        <v>5.3999999999999992E-2</v>
      </c>
      <c r="F58" s="338">
        <f>F57*(1-Pressupostos!$B$28)</f>
        <v>5.3999999999999992E-2</v>
      </c>
      <c r="G58" s="338">
        <f>G57*(1-Pressupostos!$B$28)</f>
        <v>5.3999999999999992E-2</v>
      </c>
      <c r="H58" s="83"/>
      <c r="I58" s="83"/>
    </row>
    <row r="59" spans="1:9">
      <c r="A59" s="335" t="s">
        <v>257</v>
      </c>
      <c r="B59" s="338">
        <f>(C11+(Pressupostos!$B$36*Pressupostos!$B$35))</f>
        <v>0.13750000000000001</v>
      </c>
      <c r="C59" s="338">
        <f>(D11+(Pressupostos!$B$36*Pressupostos!$B$35))</f>
        <v>0.138625</v>
      </c>
      <c r="D59" s="338">
        <f>(E11+(Pressupostos!$B$36*Pressupostos!$B$35))</f>
        <v>0.13978375000000001</v>
      </c>
      <c r="E59" s="338">
        <f>(F11+(Pressupostos!$B$36*Pressupostos!$B$35))</f>
        <v>0.14097726250000001</v>
      </c>
      <c r="F59" s="338">
        <f>(G11+(Pressupostos!$B$36*Pressupostos!$B$35))</f>
        <v>0.142206580375</v>
      </c>
      <c r="G59" s="338">
        <f>(H11+(Pressupostos!$B$36*Pressupostos!$B$35))</f>
        <v>0.14347277778625001</v>
      </c>
      <c r="H59" s="83"/>
      <c r="I59" s="83"/>
    </row>
    <row r="60" spans="1:9">
      <c r="A60" s="335" t="s">
        <v>137</v>
      </c>
      <c r="B60" s="403">
        <f t="shared" ref="B60:G60" si="13">(B53*B58)+(B54*B59)</f>
        <v>5.9395969104307014E-2</v>
      </c>
      <c r="C60" s="338">
        <f t="shared" si="13"/>
        <v>6.9523726537163405E-2</v>
      </c>
      <c r="D60" s="338">
        <f t="shared" si="13"/>
        <v>6.6564909549466783E-2</v>
      </c>
      <c r="E60" s="338">
        <f t="shared" si="13"/>
        <v>0.12994302562466062</v>
      </c>
      <c r="F60" s="338">
        <f t="shared" si="13"/>
        <v>0.14037420297829095</v>
      </c>
      <c r="G60" s="338">
        <f t="shared" si="13"/>
        <v>0.14347277778625001</v>
      </c>
      <c r="H60" s="83"/>
      <c r="I60" s="83"/>
    </row>
    <row r="61" spans="1:9">
      <c r="A61" s="83"/>
      <c r="B61" s="216"/>
      <c r="C61" s="216"/>
      <c r="D61" s="216"/>
      <c r="E61" s="216"/>
      <c r="F61" s="216"/>
      <c r="G61" s="216"/>
      <c r="H61" s="83"/>
      <c r="I61" s="83"/>
    </row>
    <row r="62" spans="1:9">
      <c r="A62" s="83"/>
      <c r="B62" s="305"/>
      <c r="C62" s="83"/>
      <c r="D62" s="83"/>
      <c r="E62" s="83"/>
      <c r="F62" s="83"/>
      <c r="G62" s="83"/>
      <c r="H62" s="83"/>
      <c r="I62" s="83"/>
    </row>
  </sheetData>
  <sheetProtection password="8318" sheet="1"/>
  <mergeCells count="3">
    <mergeCell ref="A29:B29"/>
    <mergeCell ref="A4:I4"/>
    <mergeCell ref="A7:B7"/>
  </mergeCells>
  <phoneticPr fontId="2" type="noConversion"/>
  <printOptions horizontalCentered="1"/>
  <pageMargins left="0.75" right="0.75" top="0.39370078740157483" bottom="0.39370078740157483" header="0.51181102362204722" footer="0.51181102362204722"/>
  <pageSetup paperSize="9" scale="85" orientation="portrait" r:id="rId1"/>
  <headerFooter alignWithMargins="0">
    <oddFooter>&amp;C&amp;"Arial,Normal"&amp;8IAPMEI&amp;R&amp;"Arial,Normal"&amp;8&amp;P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9"/>
  <sheetViews>
    <sheetView showGridLines="0" showZeros="0" topLeftCell="A47" workbookViewId="0">
      <selection activeCell="D58" sqref="D58"/>
    </sheetView>
  </sheetViews>
  <sheetFormatPr defaultColWidth="8.7109375" defaultRowHeight="12.75"/>
  <cols>
    <col min="1" max="1" width="42.28515625" style="93" customWidth="1"/>
    <col min="2" max="2" width="13.7109375" style="93" bestFit="1" customWidth="1"/>
    <col min="3" max="3" width="14.42578125" style="93" customWidth="1"/>
    <col min="4" max="4" width="15.85546875" style="93" customWidth="1"/>
    <col min="5" max="10" width="11.42578125" style="93" customWidth="1"/>
    <col min="11" max="16384" width="8.7109375" style="93"/>
  </cols>
  <sheetData>
    <row r="1" spans="1:8">
      <c r="A1" s="83"/>
      <c r="B1" s="83"/>
      <c r="C1" s="267"/>
      <c r="D1" s="267"/>
      <c r="E1" s="268" t="s">
        <v>65</v>
      </c>
      <c r="F1" s="268"/>
      <c r="G1" s="268"/>
      <c r="H1" s="382" t="str">
        <f>+Pressupostos!E1</f>
        <v>ALI,Conserva&amp;Limpa, Lda</v>
      </c>
    </row>
    <row r="2" spans="1:8" s="272" customFormat="1">
      <c r="A2" s="270"/>
      <c r="B2" s="270"/>
      <c r="C2" s="270"/>
      <c r="D2" s="270"/>
      <c r="E2" s="73"/>
      <c r="F2" s="73"/>
      <c r="G2" s="73"/>
      <c r="H2" s="271"/>
    </row>
    <row r="3" spans="1:8" s="272" customFormat="1">
      <c r="A3" s="270"/>
      <c r="B3" s="270"/>
      <c r="C3" s="270"/>
      <c r="D3" s="270"/>
      <c r="E3" s="73"/>
      <c r="F3" s="73"/>
      <c r="G3" s="73"/>
      <c r="H3" s="271"/>
    </row>
    <row r="4" spans="1:8" ht="15.75">
      <c r="A4" s="462" t="s">
        <v>389</v>
      </c>
      <c r="B4" s="462"/>
      <c r="C4" s="462"/>
      <c r="D4" s="462"/>
      <c r="E4" s="462"/>
      <c r="F4" s="462"/>
      <c r="G4" s="462"/>
      <c r="H4" s="462"/>
    </row>
    <row r="5" spans="1:8">
      <c r="A5" s="83"/>
      <c r="B5" s="83"/>
      <c r="C5" s="83"/>
      <c r="D5" s="83"/>
      <c r="E5" s="83"/>
      <c r="F5" s="83"/>
      <c r="G5" s="83"/>
      <c r="H5" s="83"/>
    </row>
    <row r="6" spans="1:8">
      <c r="A6" s="383" t="s">
        <v>390</v>
      </c>
      <c r="B6" s="173"/>
      <c r="C6" s="83"/>
      <c r="D6" s="83"/>
      <c r="E6" s="83"/>
      <c r="F6" s="83"/>
      <c r="G6" s="83"/>
      <c r="H6" s="83"/>
    </row>
    <row r="7" spans="1:8" ht="51">
      <c r="A7" s="428" t="s">
        <v>391</v>
      </c>
      <c r="B7" s="428" t="s">
        <v>392</v>
      </c>
      <c r="C7" s="433" t="s">
        <v>455</v>
      </c>
      <c r="D7" s="433" t="s">
        <v>456</v>
      </c>
      <c r="E7" s="83"/>
      <c r="F7" s="83"/>
      <c r="G7" s="83"/>
      <c r="H7" s="83"/>
    </row>
    <row r="8" spans="1:8">
      <c r="A8" s="432" t="s">
        <v>454</v>
      </c>
      <c r="B8" s="428"/>
      <c r="C8" s="433"/>
      <c r="D8" s="433"/>
      <c r="E8" s="83"/>
      <c r="F8" s="83"/>
      <c r="G8" s="83"/>
      <c r="H8" s="83"/>
    </row>
    <row r="9" spans="1:8">
      <c r="A9" s="434" t="s">
        <v>425</v>
      </c>
      <c r="B9" s="435" t="s">
        <v>426</v>
      </c>
      <c r="C9" s="435">
        <v>4</v>
      </c>
      <c r="D9" s="435">
        <v>5</v>
      </c>
      <c r="E9" s="232"/>
      <c r="F9" s="232"/>
      <c r="G9" s="232"/>
      <c r="H9" s="83"/>
    </row>
    <row r="10" spans="1:8">
      <c r="A10" s="434" t="s">
        <v>427</v>
      </c>
      <c r="B10" s="435" t="s">
        <v>426</v>
      </c>
      <c r="C10" s="435">
        <v>1</v>
      </c>
      <c r="D10" s="435">
        <v>1</v>
      </c>
      <c r="E10" s="83"/>
      <c r="F10" s="83"/>
      <c r="G10" s="83"/>
      <c r="H10" s="83"/>
    </row>
    <row r="11" spans="1:8">
      <c r="A11" s="434" t="s">
        <v>428</v>
      </c>
      <c r="B11" s="435" t="s">
        <v>429</v>
      </c>
      <c r="C11" s="435"/>
      <c r="D11" s="435">
        <v>0.15</v>
      </c>
      <c r="E11" s="83"/>
      <c r="F11" s="83"/>
      <c r="G11" s="83"/>
      <c r="H11" s="83"/>
    </row>
    <row r="12" spans="1:8">
      <c r="A12" s="434" t="s">
        <v>430</v>
      </c>
      <c r="B12" s="435" t="s">
        <v>429</v>
      </c>
      <c r="C12" s="435">
        <v>0.3</v>
      </c>
      <c r="D12" s="435">
        <v>0.15</v>
      </c>
      <c r="E12" s="232"/>
      <c r="F12" s="232"/>
      <c r="G12" s="232"/>
      <c r="H12" s="232"/>
    </row>
    <row r="13" spans="1:8">
      <c r="A13" s="434" t="s">
        <v>431</v>
      </c>
      <c r="B13" s="435" t="s">
        <v>429</v>
      </c>
      <c r="C13" s="435"/>
      <c r="D13" s="435">
        <v>0.1</v>
      </c>
      <c r="E13" s="232"/>
      <c r="F13" s="232"/>
      <c r="G13" s="232"/>
      <c r="H13" s="232"/>
    </row>
    <row r="14" spans="1:8">
      <c r="A14" s="434" t="s">
        <v>432</v>
      </c>
      <c r="B14" s="435" t="s">
        <v>429</v>
      </c>
      <c r="C14" s="435">
        <v>0.01</v>
      </c>
      <c r="D14" s="435">
        <v>0.01</v>
      </c>
      <c r="E14" s="232"/>
      <c r="F14" s="232"/>
      <c r="G14" s="232"/>
      <c r="H14" s="232"/>
    </row>
    <row r="15" spans="1:8">
      <c r="A15" s="434" t="s">
        <v>433</v>
      </c>
      <c r="B15" s="435" t="s">
        <v>429</v>
      </c>
      <c r="C15" s="435">
        <v>2.5000000000000001E-2</v>
      </c>
      <c r="D15" s="435"/>
      <c r="E15" s="232"/>
      <c r="F15" s="232"/>
      <c r="G15" s="232"/>
      <c r="H15" s="232"/>
    </row>
    <row r="16" spans="1:8">
      <c r="A16" s="434" t="s">
        <v>434</v>
      </c>
      <c r="B16" s="435" t="s">
        <v>429</v>
      </c>
      <c r="C16" s="435">
        <v>3.0000000000000001E-3</v>
      </c>
      <c r="D16" s="435"/>
      <c r="E16" s="232"/>
      <c r="F16" s="232"/>
      <c r="G16" s="232"/>
      <c r="H16" s="232"/>
    </row>
    <row r="17" spans="1:8">
      <c r="A17" s="434" t="s">
        <v>435</v>
      </c>
      <c r="B17" s="435" t="s">
        <v>436</v>
      </c>
      <c r="C17" s="435">
        <v>0.125</v>
      </c>
      <c r="D17" s="435"/>
      <c r="E17" s="232"/>
      <c r="F17" s="232"/>
      <c r="G17" s="232"/>
      <c r="H17" s="232"/>
    </row>
    <row r="18" spans="1:8">
      <c r="A18" s="432" t="s">
        <v>437</v>
      </c>
      <c r="B18" s="435" t="s">
        <v>429</v>
      </c>
      <c r="C18" s="435">
        <v>0.05</v>
      </c>
      <c r="D18" s="435"/>
      <c r="E18" s="232"/>
      <c r="F18" s="232"/>
      <c r="G18" s="232"/>
      <c r="H18" s="232"/>
    </row>
    <row r="19" spans="1:8">
      <c r="A19" s="432" t="s">
        <v>457</v>
      </c>
      <c r="B19" s="435"/>
      <c r="C19" s="435"/>
      <c r="D19" s="435"/>
      <c r="E19" s="232"/>
      <c r="F19" s="232"/>
      <c r="G19" s="232"/>
      <c r="H19" s="232"/>
    </row>
    <row r="20" spans="1:8">
      <c r="A20" s="434" t="s">
        <v>438</v>
      </c>
      <c r="B20" s="435" t="s">
        <v>429</v>
      </c>
      <c r="C20" s="435">
        <v>0.1</v>
      </c>
      <c r="D20" s="435"/>
      <c r="E20" s="232"/>
      <c r="F20" s="232"/>
      <c r="G20" s="232"/>
      <c r="H20" s="232"/>
    </row>
    <row r="21" spans="1:8">
      <c r="A21" s="434" t="s">
        <v>439</v>
      </c>
      <c r="B21" s="435" t="s">
        <v>429</v>
      </c>
      <c r="C21" s="435">
        <v>0.1</v>
      </c>
      <c r="D21" s="435"/>
      <c r="E21" s="232"/>
      <c r="F21" s="232"/>
      <c r="G21" s="232"/>
      <c r="H21" s="232"/>
    </row>
    <row r="22" spans="1:8">
      <c r="A22" s="434" t="s">
        <v>440</v>
      </c>
      <c r="B22" s="435" t="s">
        <v>429</v>
      </c>
      <c r="C22" s="435">
        <v>2.4E-2</v>
      </c>
      <c r="D22" s="435"/>
      <c r="E22" s="232"/>
      <c r="F22" s="232"/>
      <c r="G22" s="232"/>
      <c r="H22" s="232"/>
    </row>
    <row r="23" spans="1:8">
      <c r="A23" s="434" t="s">
        <v>441</v>
      </c>
      <c r="B23" s="435" t="s">
        <v>436</v>
      </c>
      <c r="C23" s="435">
        <v>0.05</v>
      </c>
      <c r="D23" s="435"/>
      <c r="E23" s="232"/>
      <c r="F23" s="232"/>
      <c r="G23" s="232"/>
      <c r="H23" s="232"/>
    </row>
    <row r="24" spans="1:8">
      <c r="A24" s="434" t="s">
        <v>442</v>
      </c>
      <c r="B24" s="435" t="s">
        <v>436</v>
      </c>
      <c r="C24" s="435">
        <v>0.05</v>
      </c>
      <c r="D24" s="435"/>
      <c r="E24" s="232"/>
      <c r="F24" s="232"/>
      <c r="G24" s="232"/>
      <c r="H24" s="232"/>
    </row>
    <row r="25" spans="1:8">
      <c r="A25" s="432" t="s">
        <v>458</v>
      </c>
      <c r="B25" s="435"/>
      <c r="C25" s="435"/>
      <c r="D25" s="435"/>
      <c r="E25" s="232"/>
      <c r="F25" s="232"/>
      <c r="G25" s="232"/>
      <c r="H25" s="232"/>
    </row>
    <row r="26" spans="1:8">
      <c r="A26" s="434" t="s">
        <v>443</v>
      </c>
      <c r="B26" s="435" t="s">
        <v>429</v>
      </c>
      <c r="C26" s="435">
        <v>3.0000000000000001E-3</v>
      </c>
      <c r="D26" s="435"/>
      <c r="E26" s="232"/>
      <c r="F26" s="232"/>
      <c r="G26" s="232"/>
      <c r="H26" s="232"/>
    </row>
    <row r="27" spans="1:8">
      <c r="A27" s="434" t="s">
        <v>444</v>
      </c>
      <c r="B27" s="435" t="s">
        <v>429</v>
      </c>
      <c r="C27" s="435">
        <v>0.125</v>
      </c>
      <c r="D27" s="435"/>
      <c r="E27" s="232"/>
      <c r="F27" s="232"/>
      <c r="G27" s="232"/>
      <c r="H27" s="232"/>
    </row>
    <row r="28" spans="1:8">
      <c r="A28" s="434" t="s">
        <v>441</v>
      </c>
      <c r="B28" s="435" t="s">
        <v>436</v>
      </c>
      <c r="C28" s="435">
        <v>0.05</v>
      </c>
      <c r="D28" s="435"/>
      <c r="E28" s="232"/>
      <c r="F28" s="232"/>
      <c r="G28" s="232"/>
      <c r="H28" s="232"/>
    </row>
    <row r="29" spans="1:8">
      <c r="A29" s="432" t="s">
        <v>466</v>
      </c>
      <c r="B29" s="435"/>
      <c r="C29" s="435"/>
      <c r="D29" s="435"/>
      <c r="E29" s="232"/>
      <c r="F29" s="232"/>
      <c r="G29" s="232"/>
      <c r="H29" s="232"/>
    </row>
    <row r="30" spans="1:8">
      <c r="A30" s="434" t="s">
        <v>445</v>
      </c>
      <c r="B30" s="435" t="s">
        <v>429</v>
      </c>
      <c r="C30" s="435"/>
      <c r="D30" s="435">
        <v>0.15</v>
      </c>
      <c r="E30" s="232"/>
      <c r="F30" s="232"/>
      <c r="G30" s="232"/>
      <c r="H30" s="232"/>
    </row>
    <row r="31" spans="1:8">
      <c r="A31" s="434" t="s">
        <v>433</v>
      </c>
      <c r="B31" s="435" t="s">
        <v>429</v>
      </c>
      <c r="C31" s="435"/>
      <c r="D31" s="435">
        <v>0.04</v>
      </c>
      <c r="E31" s="232"/>
      <c r="F31" s="232"/>
      <c r="G31" s="232"/>
      <c r="H31" s="232"/>
    </row>
    <row r="32" spans="1:8">
      <c r="A32" s="434" t="s">
        <v>446</v>
      </c>
      <c r="B32" s="435" t="s">
        <v>429</v>
      </c>
      <c r="C32" s="435"/>
      <c r="D32" s="435">
        <v>0.05</v>
      </c>
      <c r="E32" s="232"/>
      <c r="F32" s="232"/>
      <c r="G32" s="232"/>
      <c r="H32" s="232"/>
    </row>
    <row r="33" spans="1:8">
      <c r="A33" s="434" t="s">
        <v>447</v>
      </c>
      <c r="B33" s="435" t="s">
        <v>429</v>
      </c>
      <c r="C33" s="435"/>
      <c r="D33" s="435">
        <v>0.08</v>
      </c>
      <c r="E33" s="232"/>
      <c r="F33" s="232"/>
      <c r="G33" s="232"/>
      <c r="H33" s="232"/>
    </row>
    <row r="34" spans="1:8">
      <c r="A34" s="432" t="s">
        <v>460</v>
      </c>
      <c r="B34" s="435"/>
      <c r="C34" s="435"/>
      <c r="D34" s="435"/>
      <c r="E34" s="232"/>
      <c r="F34" s="232"/>
      <c r="G34" s="232"/>
      <c r="H34" s="232"/>
    </row>
    <row r="35" spans="1:8">
      <c r="A35" s="434" t="s">
        <v>448</v>
      </c>
      <c r="B35" s="435" t="s">
        <v>436</v>
      </c>
      <c r="C35" s="435"/>
      <c r="D35" s="435">
        <v>0.125</v>
      </c>
      <c r="E35" s="232"/>
      <c r="F35" s="232"/>
      <c r="G35" s="232"/>
      <c r="H35" s="232"/>
    </row>
    <row r="36" spans="1:8">
      <c r="A36" s="434" t="s">
        <v>449</v>
      </c>
      <c r="B36" s="435" t="s">
        <v>429</v>
      </c>
      <c r="C36" s="435"/>
      <c r="D36" s="435">
        <v>0.115</v>
      </c>
      <c r="E36" s="232"/>
      <c r="F36" s="232"/>
      <c r="G36" s="232"/>
      <c r="H36" s="232"/>
    </row>
    <row r="37" spans="1:8">
      <c r="A37" s="434" t="s">
        <v>450</v>
      </c>
      <c r="B37" s="435" t="s">
        <v>452</v>
      </c>
      <c r="C37" s="435"/>
      <c r="D37" s="435">
        <v>10</v>
      </c>
      <c r="E37" s="232"/>
      <c r="F37" s="232"/>
      <c r="G37" s="232"/>
      <c r="H37" s="232"/>
    </row>
    <row r="38" spans="1:8">
      <c r="A38" s="434" t="s">
        <v>451</v>
      </c>
      <c r="B38" s="435" t="s">
        <v>429</v>
      </c>
      <c r="C38" s="435"/>
      <c r="D38" s="435">
        <v>0.02</v>
      </c>
      <c r="E38" s="232"/>
      <c r="F38" s="232"/>
      <c r="G38" s="232"/>
      <c r="H38" s="232"/>
    </row>
    <row r="39" spans="1:8">
      <c r="A39" s="432" t="s">
        <v>462</v>
      </c>
      <c r="B39" s="435"/>
      <c r="C39" s="435"/>
      <c r="D39" s="435"/>
      <c r="E39" s="232"/>
      <c r="F39" s="232"/>
      <c r="G39" s="232"/>
      <c r="H39" s="232"/>
    </row>
    <row r="40" spans="1:8">
      <c r="A40" s="434" t="s">
        <v>461</v>
      </c>
      <c r="B40" s="435" t="s">
        <v>426</v>
      </c>
      <c r="C40" s="435">
        <v>1</v>
      </c>
      <c r="D40" s="435">
        <v>1</v>
      </c>
      <c r="E40" s="232"/>
      <c r="F40" s="232"/>
      <c r="G40" s="232"/>
      <c r="H40" s="232"/>
    </row>
    <row r="41" spans="1:8" ht="15.75">
      <c r="A41" s="425"/>
      <c r="B41" s="426"/>
      <c r="C41" s="427"/>
      <c r="D41" s="427"/>
      <c r="E41" s="232"/>
      <c r="F41" s="232"/>
      <c r="G41" s="232"/>
      <c r="H41" s="232"/>
    </row>
    <row r="42" spans="1:8">
      <c r="A42" s="383" t="s">
        <v>393</v>
      </c>
      <c r="B42" s="173"/>
      <c r="C42" s="83"/>
      <c r="D42" s="83"/>
      <c r="E42" s="232"/>
      <c r="F42" s="232"/>
      <c r="G42" s="232"/>
      <c r="H42" s="232" t="s">
        <v>394</v>
      </c>
    </row>
    <row r="43" spans="1:8">
      <c r="A43" s="516" t="s">
        <v>395</v>
      </c>
      <c r="B43" s="516"/>
      <c r="C43" s="428">
        <f>+Pressupostos!B11</f>
        <v>2011</v>
      </c>
      <c r="D43" s="428">
        <f>+C43+1</f>
        <v>2012</v>
      </c>
      <c r="E43" s="428">
        <v>2013</v>
      </c>
      <c r="F43" s="428">
        <v>2014</v>
      </c>
      <c r="G43" s="428">
        <v>2015</v>
      </c>
      <c r="H43" s="428">
        <v>2016</v>
      </c>
    </row>
    <row r="44" spans="1:8">
      <c r="A44" s="518" t="s">
        <v>463</v>
      </c>
      <c r="B44" s="518"/>
      <c r="C44" s="429">
        <v>1839</v>
      </c>
      <c r="D44" s="429">
        <v>2022.9</v>
      </c>
      <c r="E44" s="429">
        <v>2165</v>
      </c>
      <c r="F44" s="429">
        <v>2316</v>
      </c>
      <c r="G44" s="429">
        <v>2478</v>
      </c>
      <c r="H44" s="429">
        <v>2602</v>
      </c>
    </row>
    <row r="45" spans="1:8">
      <c r="A45" s="518" t="s">
        <v>453</v>
      </c>
      <c r="B45" s="518"/>
      <c r="C45" s="430">
        <v>868</v>
      </c>
      <c r="D45" s="430">
        <v>954.80000000000007</v>
      </c>
      <c r="E45" s="430">
        <v>1003</v>
      </c>
      <c r="F45" s="430">
        <v>1093</v>
      </c>
      <c r="G45" s="430">
        <v>1213</v>
      </c>
      <c r="H45" s="430">
        <v>1274</v>
      </c>
    </row>
    <row r="46" spans="1:8">
      <c r="A46" s="516" t="s">
        <v>48</v>
      </c>
      <c r="B46" s="516"/>
      <c r="C46" s="431">
        <f>+SUM(C44:C45)</f>
        <v>2707</v>
      </c>
      <c r="D46" s="431">
        <f>+SUM(D44:D45)</f>
        <v>2977.7000000000003</v>
      </c>
      <c r="E46" s="431">
        <f>+SUM(E44:E45)</f>
        <v>3168</v>
      </c>
      <c r="F46" s="431">
        <f t="shared" ref="F46:G46" si="0">+SUM(F44:F45)</f>
        <v>3409</v>
      </c>
      <c r="G46" s="431">
        <f t="shared" si="0"/>
        <v>3691</v>
      </c>
      <c r="H46" s="431">
        <f>+SUM(H44:H45)</f>
        <v>3876</v>
      </c>
    </row>
    <row r="47" spans="1:8">
      <c r="A47" s="182"/>
      <c r="B47" s="384"/>
      <c r="C47" s="190"/>
      <c r="D47" s="190"/>
      <c r="E47" s="232"/>
      <c r="F47" s="232"/>
      <c r="G47" s="232"/>
      <c r="H47" s="232"/>
    </row>
    <row r="48" spans="1:8">
      <c r="A48" s="383" t="s">
        <v>396</v>
      </c>
      <c r="B48" s="173"/>
      <c r="C48" s="83"/>
      <c r="D48" s="83"/>
      <c r="E48" s="232"/>
      <c r="F48" s="232"/>
      <c r="G48" s="232"/>
      <c r="H48" s="232" t="s">
        <v>394</v>
      </c>
    </row>
    <row r="49" spans="1:8">
      <c r="A49" s="516" t="s">
        <v>397</v>
      </c>
      <c r="B49" s="516"/>
      <c r="C49" s="428">
        <f>+C43</f>
        <v>2011</v>
      </c>
      <c r="D49" s="428">
        <f>+D43</f>
        <v>2012</v>
      </c>
      <c r="E49" s="428">
        <f>+E43</f>
        <v>2013</v>
      </c>
      <c r="F49" s="428">
        <v>2014</v>
      </c>
      <c r="G49" s="428">
        <v>2015</v>
      </c>
      <c r="H49" s="428">
        <f>+H43</f>
        <v>2016</v>
      </c>
    </row>
    <row r="50" spans="1:8">
      <c r="A50" s="516" t="s">
        <v>464</v>
      </c>
      <c r="B50" s="516"/>
      <c r="C50" s="429"/>
      <c r="D50" s="429"/>
      <c r="E50" s="429"/>
      <c r="F50" s="429"/>
      <c r="G50" s="429"/>
      <c r="H50" s="429"/>
    </row>
    <row r="51" spans="1:8">
      <c r="A51" s="515" t="s">
        <v>425</v>
      </c>
      <c r="B51" s="515"/>
      <c r="C51" s="437">
        <f>$C$44*C9+$C$45*D9</f>
        <v>11696</v>
      </c>
      <c r="D51" s="437">
        <f>$D$44*D9+$D$45*E9</f>
        <v>10114.5</v>
      </c>
      <c r="E51" s="437">
        <f>$E$44*C9+$E$45*D9</f>
        <v>13675</v>
      </c>
      <c r="F51" s="437">
        <f>$F$44*C9+$F$45*D9</f>
        <v>14729</v>
      </c>
      <c r="G51" s="437">
        <f>$G$44*C9+$G$45*D9</f>
        <v>15977</v>
      </c>
      <c r="H51" s="437">
        <f>$H$44*C9+$H$45*D9</f>
        <v>16778</v>
      </c>
    </row>
    <row r="52" spans="1:8">
      <c r="A52" s="515" t="s">
        <v>427</v>
      </c>
      <c r="B52" s="515"/>
      <c r="C52" s="437">
        <f t="shared" ref="C52:C82" si="1">$C$44*C10+$C$45*D10</f>
        <v>2707</v>
      </c>
      <c r="D52" s="437">
        <f t="shared" ref="D52:D82" si="2">$D$44*D10+$D$45*E10</f>
        <v>2022.9</v>
      </c>
      <c r="E52" s="437">
        <f t="shared" ref="E52:E82" si="3">$E$44*C10+$E$45*D10</f>
        <v>3168</v>
      </c>
      <c r="F52" s="437">
        <f t="shared" ref="F52:F82" si="4">$F$44*C10+$F$45*D10</f>
        <v>3409</v>
      </c>
      <c r="G52" s="437">
        <f t="shared" ref="G52:G82" si="5">$G$44*C10+$G$45*D10</f>
        <v>3691</v>
      </c>
      <c r="H52" s="437">
        <f t="shared" ref="H52:H82" si="6">$H$44*C10+$H$45*D10</f>
        <v>3876</v>
      </c>
    </row>
    <row r="53" spans="1:8">
      <c r="A53" s="515" t="s">
        <v>428</v>
      </c>
      <c r="B53" s="515"/>
      <c r="C53" s="437">
        <f t="shared" si="1"/>
        <v>130.19999999999999</v>
      </c>
      <c r="D53" s="437">
        <f t="shared" si="2"/>
        <v>303.435</v>
      </c>
      <c r="E53" s="437">
        <f t="shared" si="3"/>
        <v>150.44999999999999</v>
      </c>
      <c r="F53" s="437">
        <f t="shared" si="4"/>
        <v>163.95</v>
      </c>
      <c r="G53" s="437">
        <f t="shared" si="5"/>
        <v>181.95</v>
      </c>
      <c r="H53" s="437">
        <f t="shared" si="6"/>
        <v>191.1</v>
      </c>
    </row>
    <row r="54" spans="1:8">
      <c r="A54" s="515" t="s">
        <v>430</v>
      </c>
      <c r="B54" s="515"/>
      <c r="C54" s="437">
        <f t="shared" si="1"/>
        <v>681.89999999999986</v>
      </c>
      <c r="D54" s="437">
        <f t="shared" si="2"/>
        <v>303.435</v>
      </c>
      <c r="E54" s="437">
        <f t="shared" si="3"/>
        <v>799.95</v>
      </c>
      <c r="F54" s="437">
        <f t="shared" si="4"/>
        <v>858.75</v>
      </c>
      <c r="G54" s="437">
        <f t="shared" si="5"/>
        <v>925.34999999999991</v>
      </c>
      <c r="H54" s="437">
        <f t="shared" si="6"/>
        <v>971.7</v>
      </c>
    </row>
    <row r="55" spans="1:8">
      <c r="A55" s="515" t="s">
        <v>431</v>
      </c>
      <c r="B55" s="515"/>
      <c r="C55" s="437">
        <f t="shared" si="1"/>
        <v>86.800000000000011</v>
      </c>
      <c r="D55" s="437">
        <f t="shared" si="2"/>
        <v>202.29000000000002</v>
      </c>
      <c r="E55" s="437">
        <f t="shared" si="3"/>
        <v>100.30000000000001</v>
      </c>
      <c r="F55" s="437">
        <f t="shared" si="4"/>
        <v>109.30000000000001</v>
      </c>
      <c r="G55" s="437">
        <f t="shared" si="5"/>
        <v>121.30000000000001</v>
      </c>
      <c r="H55" s="437">
        <f t="shared" si="6"/>
        <v>127.4</v>
      </c>
    </row>
    <row r="56" spans="1:8">
      <c r="A56" s="515" t="s">
        <v>432</v>
      </c>
      <c r="B56" s="515"/>
      <c r="C56" s="437">
        <f t="shared" si="1"/>
        <v>27.07</v>
      </c>
      <c r="D56" s="437">
        <f t="shared" si="2"/>
        <v>20.229000000000003</v>
      </c>
      <c r="E56" s="437">
        <f t="shared" si="3"/>
        <v>31.68</v>
      </c>
      <c r="F56" s="437">
        <f t="shared" si="4"/>
        <v>34.090000000000003</v>
      </c>
      <c r="G56" s="437">
        <f t="shared" si="5"/>
        <v>36.910000000000004</v>
      </c>
      <c r="H56" s="437">
        <f t="shared" si="6"/>
        <v>38.76</v>
      </c>
    </row>
    <row r="57" spans="1:8">
      <c r="A57" s="515" t="s">
        <v>433</v>
      </c>
      <c r="B57" s="515"/>
      <c r="C57" s="437">
        <f t="shared" si="1"/>
        <v>45.975000000000001</v>
      </c>
      <c r="D57" s="437">
        <f t="shared" si="2"/>
        <v>0</v>
      </c>
      <c r="E57" s="437">
        <f t="shared" si="3"/>
        <v>54.125</v>
      </c>
      <c r="F57" s="437">
        <f t="shared" si="4"/>
        <v>57.900000000000006</v>
      </c>
      <c r="G57" s="437">
        <f t="shared" si="5"/>
        <v>61.95</v>
      </c>
      <c r="H57" s="437">
        <f t="shared" si="6"/>
        <v>65.05</v>
      </c>
    </row>
    <row r="58" spans="1:8">
      <c r="A58" s="515" t="s">
        <v>434</v>
      </c>
      <c r="B58" s="515"/>
      <c r="C58" s="437">
        <f t="shared" si="1"/>
        <v>5.5170000000000003</v>
      </c>
      <c r="D58" s="437">
        <f t="shared" si="2"/>
        <v>0</v>
      </c>
      <c r="E58" s="437">
        <f t="shared" si="3"/>
        <v>6.4950000000000001</v>
      </c>
      <c r="F58" s="437">
        <f t="shared" si="4"/>
        <v>6.9480000000000004</v>
      </c>
      <c r="G58" s="437">
        <f t="shared" si="5"/>
        <v>7.4340000000000002</v>
      </c>
      <c r="H58" s="437">
        <f t="shared" si="6"/>
        <v>7.806</v>
      </c>
    </row>
    <row r="59" spans="1:8">
      <c r="A59" s="515" t="s">
        <v>435</v>
      </c>
      <c r="B59" s="515"/>
      <c r="C59" s="437">
        <f t="shared" si="1"/>
        <v>229.875</v>
      </c>
      <c r="D59" s="437">
        <f t="shared" si="2"/>
        <v>0</v>
      </c>
      <c r="E59" s="437">
        <f t="shared" si="3"/>
        <v>270.625</v>
      </c>
      <c r="F59" s="437">
        <f t="shared" si="4"/>
        <v>289.5</v>
      </c>
      <c r="G59" s="437">
        <f t="shared" si="5"/>
        <v>309.75</v>
      </c>
      <c r="H59" s="437">
        <f t="shared" si="6"/>
        <v>325.25</v>
      </c>
    </row>
    <row r="60" spans="1:8">
      <c r="A60" s="516" t="s">
        <v>437</v>
      </c>
      <c r="B60" s="516"/>
      <c r="C60" s="437">
        <f t="shared" si="1"/>
        <v>91.95</v>
      </c>
      <c r="D60" s="437">
        <f t="shared" si="2"/>
        <v>0</v>
      </c>
      <c r="E60" s="437">
        <f t="shared" si="3"/>
        <v>108.25</v>
      </c>
      <c r="F60" s="437">
        <f t="shared" si="4"/>
        <v>115.80000000000001</v>
      </c>
      <c r="G60" s="437">
        <f t="shared" si="5"/>
        <v>123.9</v>
      </c>
      <c r="H60" s="437">
        <f t="shared" si="6"/>
        <v>130.1</v>
      </c>
    </row>
    <row r="61" spans="1:8">
      <c r="A61" s="516" t="s">
        <v>457</v>
      </c>
      <c r="B61" s="516"/>
      <c r="C61" s="437">
        <f t="shared" si="1"/>
        <v>0</v>
      </c>
      <c r="D61" s="437">
        <f t="shared" si="2"/>
        <v>0</v>
      </c>
      <c r="E61" s="437">
        <f t="shared" si="3"/>
        <v>0</v>
      </c>
      <c r="F61" s="437">
        <f t="shared" si="4"/>
        <v>0</v>
      </c>
      <c r="G61" s="437">
        <f t="shared" si="5"/>
        <v>0</v>
      </c>
      <c r="H61" s="437">
        <f t="shared" si="6"/>
        <v>0</v>
      </c>
    </row>
    <row r="62" spans="1:8">
      <c r="A62" s="515" t="s">
        <v>438</v>
      </c>
      <c r="B62" s="515"/>
      <c r="C62" s="437">
        <f t="shared" si="1"/>
        <v>183.9</v>
      </c>
      <c r="D62" s="437">
        <f t="shared" si="2"/>
        <v>0</v>
      </c>
      <c r="E62" s="437">
        <f t="shared" si="3"/>
        <v>216.5</v>
      </c>
      <c r="F62" s="437">
        <f t="shared" si="4"/>
        <v>231.60000000000002</v>
      </c>
      <c r="G62" s="437">
        <f t="shared" si="5"/>
        <v>247.8</v>
      </c>
      <c r="H62" s="437">
        <f t="shared" si="6"/>
        <v>260.2</v>
      </c>
    </row>
    <row r="63" spans="1:8">
      <c r="A63" s="515" t="s">
        <v>439</v>
      </c>
      <c r="B63" s="515"/>
      <c r="C63" s="437">
        <f t="shared" si="1"/>
        <v>183.9</v>
      </c>
      <c r="D63" s="437">
        <f t="shared" si="2"/>
        <v>0</v>
      </c>
      <c r="E63" s="437">
        <f t="shared" si="3"/>
        <v>216.5</v>
      </c>
      <c r="F63" s="437">
        <f t="shared" si="4"/>
        <v>231.60000000000002</v>
      </c>
      <c r="G63" s="437">
        <f t="shared" si="5"/>
        <v>247.8</v>
      </c>
      <c r="H63" s="437">
        <f t="shared" si="6"/>
        <v>260.2</v>
      </c>
    </row>
    <row r="64" spans="1:8">
      <c r="A64" s="515" t="s">
        <v>440</v>
      </c>
      <c r="B64" s="515"/>
      <c r="C64" s="437">
        <f t="shared" si="1"/>
        <v>44.136000000000003</v>
      </c>
      <c r="D64" s="437">
        <f t="shared" si="2"/>
        <v>0</v>
      </c>
      <c r="E64" s="437">
        <f t="shared" si="3"/>
        <v>51.96</v>
      </c>
      <c r="F64" s="437">
        <f t="shared" si="4"/>
        <v>55.584000000000003</v>
      </c>
      <c r="G64" s="437">
        <f t="shared" si="5"/>
        <v>59.472000000000001</v>
      </c>
      <c r="H64" s="437">
        <f t="shared" si="6"/>
        <v>62.448</v>
      </c>
    </row>
    <row r="65" spans="1:8">
      <c r="A65" s="515" t="s">
        <v>441</v>
      </c>
      <c r="B65" s="515"/>
      <c r="C65" s="437">
        <f t="shared" si="1"/>
        <v>91.95</v>
      </c>
      <c r="D65" s="437">
        <f t="shared" si="2"/>
        <v>0</v>
      </c>
      <c r="E65" s="437">
        <f t="shared" si="3"/>
        <v>108.25</v>
      </c>
      <c r="F65" s="437">
        <f t="shared" si="4"/>
        <v>115.80000000000001</v>
      </c>
      <c r="G65" s="437">
        <f t="shared" si="5"/>
        <v>123.9</v>
      </c>
      <c r="H65" s="437">
        <f t="shared" si="6"/>
        <v>130.1</v>
      </c>
    </row>
    <row r="66" spans="1:8">
      <c r="A66" s="515" t="s">
        <v>442</v>
      </c>
      <c r="B66" s="515"/>
      <c r="C66" s="437">
        <f t="shared" si="1"/>
        <v>91.95</v>
      </c>
      <c r="D66" s="437">
        <f t="shared" si="2"/>
        <v>0</v>
      </c>
      <c r="E66" s="437">
        <f t="shared" si="3"/>
        <v>108.25</v>
      </c>
      <c r="F66" s="437">
        <f t="shared" si="4"/>
        <v>115.80000000000001</v>
      </c>
      <c r="G66" s="437">
        <f t="shared" si="5"/>
        <v>123.9</v>
      </c>
      <c r="H66" s="437">
        <f t="shared" si="6"/>
        <v>130.1</v>
      </c>
    </row>
    <row r="67" spans="1:8">
      <c r="A67" s="516" t="s">
        <v>459</v>
      </c>
      <c r="B67" s="516"/>
      <c r="C67" s="437">
        <f t="shared" si="1"/>
        <v>0</v>
      </c>
      <c r="D67" s="437">
        <f t="shared" si="2"/>
        <v>0</v>
      </c>
      <c r="E67" s="437">
        <f t="shared" si="3"/>
        <v>0</v>
      </c>
      <c r="F67" s="437">
        <f t="shared" si="4"/>
        <v>0</v>
      </c>
      <c r="G67" s="437">
        <f t="shared" si="5"/>
        <v>0</v>
      </c>
      <c r="H67" s="437">
        <f t="shared" si="6"/>
        <v>0</v>
      </c>
    </row>
    <row r="68" spans="1:8">
      <c r="A68" s="516" t="s">
        <v>443</v>
      </c>
      <c r="B68" s="516"/>
      <c r="C68" s="437">
        <f t="shared" si="1"/>
        <v>5.5170000000000003</v>
      </c>
      <c r="D68" s="437">
        <f t="shared" si="2"/>
        <v>0</v>
      </c>
      <c r="E68" s="437">
        <f t="shared" si="3"/>
        <v>6.4950000000000001</v>
      </c>
      <c r="F68" s="437">
        <f t="shared" si="4"/>
        <v>6.9480000000000004</v>
      </c>
      <c r="G68" s="437">
        <f t="shared" si="5"/>
        <v>7.4340000000000002</v>
      </c>
      <c r="H68" s="437">
        <f t="shared" si="6"/>
        <v>7.806</v>
      </c>
    </row>
    <row r="69" spans="1:8">
      <c r="A69" s="516" t="s">
        <v>444</v>
      </c>
      <c r="B69" s="516"/>
      <c r="C69" s="437">
        <f t="shared" si="1"/>
        <v>229.875</v>
      </c>
      <c r="D69" s="437">
        <f t="shared" si="2"/>
        <v>0</v>
      </c>
      <c r="E69" s="437">
        <f t="shared" si="3"/>
        <v>270.625</v>
      </c>
      <c r="F69" s="437">
        <f t="shared" si="4"/>
        <v>289.5</v>
      </c>
      <c r="G69" s="437">
        <f t="shared" si="5"/>
        <v>309.75</v>
      </c>
      <c r="H69" s="437">
        <f t="shared" si="6"/>
        <v>325.25</v>
      </c>
    </row>
    <row r="70" spans="1:8">
      <c r="A70" s="516" t="s">
        <v>441</v>
      </c>
      <c r="B70" s="516"/>
      <c r="C70" s="437">
        <f t="shared" si="1"/>
        <v>91.95</v>
      </c>
      <c r="D70" s="437">
        <f t="shared" si="2"/>
        <v>0</v>
      </c>
      <c r="E70" s="437">
        <f t="shared" si="3"/>
        <v>108.25</v>
      </c>
      <c r="F70" s="437">
        <f t="shared" si="4"/>
        <v>115.80000000000001</v>
      </c>
      <c r="G70" s="437">
        <f t="shared" si="5"/>
        <v>123.9</v>
      </c>
      <c r="H70" s="437">
        <f t="shared" si="6"/>
        <v>130.1</v>
      </c>
    </row>
    <row r="71" spans="1:8">
      <c r="A71" s="516" t="s">
        <v>459</v>
      </c>
      <c r="B71" s="516"/>
      <c r="C71" s="437">
        <f t="shared" si="1"/>
        <v>0</v>
      </c>
      <c r="D71" s="437">
        <f t="shared" si="2"/>
        <v>0</v>
      </c>
      <c r="E71" s="437">
        <f t="shared" si="3"/>
        <v>0</v>
      </c>
      <c r="F71" s="437">
        <f t="shared" si="4"/>
        <v>0</v>
      </c>
      <c r="G71" s="437">
        <f t="shared" si="5"/>
        <v>0</v>
      </c>
      <c r="H71" s="437">
        <f t="shared" si="6"/>
        <v>0</v>
      </c>
    </row>
    <row r="72" spans="1:8">
      <c r="A72" s="516" t="s">
        <v>445</v>
      </c>
      <c r="B72" s="516"/>
      <c r="C72" s="437">
        <f t="shared" si="1"/>
        <v>130.19999999999999</v>
      </c>
      <c r="D72" s="437">
        <f t="shared" si="2"/>
        <v>303.435</v>
      </c>
      <c r="E72" s="437">
        <f t="shared" si="3"/>
        <v>150.44999999999999</v>
      </c>
      <c r="F72" s="437">
        <f t="shared" si="4"/>
        <v>163.95</v>
      </c>
      <c r="G72" s="437">
        <f t="shared" si="5"/>
        <v>181.95</v>
      </c>
      <c r="H72" s="437">
        <f t="shared" si="6"/>
        <v>191.1</v>
      </c>
    </row>
    <row r="73" spans="1:8">
      <c r="A73" s="516" t="s">
        <v>433</v>
      </c>
      <c r="B73" s="516"/>
      <c r="C73" s="437">
        <f t="shared" si="1"/>
        <v>34.72</v>
      </c>
      <c r="D73" s="437">
        <f t="shared" si="2"/>
        <v>80.916000000000011</v>
      </c>
      <c r="E73" s="437">
        <f t="shared" si="3"/>
        <v>40.119999999999997</v>
      </c>
      <c r="F73" s="437">
        <f t="shared" si="4"/>
        <v>43.72</v>
      </c>
      <c r="G73" s="437">
        <f t="shared" si="5"/>
        <v>48.52</v>
      </c>
      <c r="H73" s="437">
        <f t="shared" si="6"/>
        <v>50.96</v>
      </c>
    </row>
    <row r="74" spans="1:8">
      <c r="A74" s="516" t="s">
        <v>446</v>
      </c>
      <c r="B74" s="516"/>
      <c r="C74" s="437">
        <f t="shared" si="1"/>
        <v>43.400000000000006</v>
      </c>
      <c r="D74" s="437">
        <f t="shared" si="2"/>
        <v>101.14500000000001</v>
      </c>
      <c r="E74" s="437">
        <f t="shared" si="3"/>
        <v>50.150000000000006</v>
      </c>
      <c r="F74" s="437">
        <f t="shared" si="4"/>
        <v>54.650000000000006</v>
      </c>
      <c r="G74" s="437">
        <f t="shared" si="5"/>
        <v>60.650000000000006</v>
      </c>
      <c r="H74" s="437">
        <f t="shared" si="6"/>
        <v>63.7</v>
      </c>
    </row>
    <row r="75" spans="1:8">
      <c r="A75" s="516" t="s">
        <v>447</v>
      </c>
      <c r="B75" s="516"/>
      <c r="C75" s="437">
        <f t="shared" si="1"/>
        <v>69.44</v>
      </c>
      <c r="D75" s="437">
        <f t="shared" si="2"/>
        <v>161.83200000000002</v>
      </c>
      <c r="E75" s="437">
        <f t="shared" si="3"/>
        <v>80.239999999999995</v>
      </c>
      <c r="F75" s="437">
        <f t="shared" si="4"/>
        <v>87.44</v>
      </c>
      <c r="G75" s="437">
        <f t="shared" si="5"/>
        <v>97.04</v>
      </c>
      <c r="H75" s="437">
        <f t="shared" si="6"/>
        <v>101.92</v>
      </c>
    </row>
    <row r="76" spans="1:8">
      <c r="A76" s="516" t="s">
        <v>460</v>
      </c>
      <c r="B76" s="516"/>
      <c r="C76" s="437">
        <f t="shared" si="1"/>
        <v>0</v>
      </c>
      <c r="D76" s="437">
        <f t="shared" si="2"/>
        <v>0</v>
      </c>
      <c r="E76" s="437">
        <f t="shared" si="3"/>
        <v>0</v>
      </c>
      <c r="F76" s="437">
        <f t="shared" si="4"/>
        <v>0</v>
      </c>
      <c r="G76" s="437">
        <f t="shared" si="5"/>
        <v>0</v>
      </c>
      <c r="H76" s="437">
        <f t="shared" si="6"/>
        <v>0</v>
      </c>
    </row>
    <row r="77" spans="1:8">
      <c r="A77" s="516" t="s">
        <v>448</v>
      </c>
      <c r="B77" s="516"/>
      <c r="C77" s="437">
        <f t="shared" si="1"/>
        <v>108.5</v>
      </c>
      <c r="D77" s="437">
        <f t="shared" si="2"/>
        <v>252.86250000000001</v>
      </c>
      <c r="E77" s="437">
        <f t="shared" si="3"/>
        <v>125.375</v>
      </c>
      <c r="F77" s="437">
        <f t="shared" si="4"/>
        <v>136.625</v>
      </c>
      <c r="G77" s="437">
        <f t="shared" si="5"/>
        <v>151.625</v>
      </c>
      <c r="H77" s="437">
        <f t="shared" si="6"/>
        <v>159.25</v>
      </c>
    </row>
    <row r="78" spans="1:8">
      <c r="A78" s="516" t="s">
        <v>449</v>
      </c>
      <c r="B78" s="516"/>
      <c r="C78" s="437">
        <f t="shared" si="1"/>
        <v>99.820000000000007</v>
      </c>
      <c r="D78" s="437">
        <f t="shared" si="2"/>
        <v>232.63350000000003</v>
      </c>
      <c r="E78" s="437">
        <f t="shared" si="3"/>
        <v>115.345</v>
      </c>
      <c r="F78" s="437">
        <f t="shared" si="4"/>
        <v>125.69500000000001</v>
      </c>
      <c r="G78" s="437">
        <f t="shared" si="5"/>
        <v>139.495</v>
      </c>
      <c r="H78" s="437">
        <f t="shared" si="6"/>
        <v>146.51000000000002</v>
      </c>
    </row>
    <row r="79" spans="1:8">
      <c r="A79" s="516" t="s">
        <v>450</v>
      </c>
      <c r="B79" s="516"/>
      <c r="C79" s="437">
        <f t="shared" si="1"/>
        <v>8680</v>
      </c>
      <c r="D79" s="437">
        <f t="shared" si="2"/>
        <v>20229</v>
      </c>
      <c r="E79" s="437">
        <f t="shared" si="3"/>
        <v>10030</v>
      </c>
      <c r="F79" s="437">
        <f t="shared" si="4"/>
        <v>10930</v>
      </c>
      <c r="G79" s="437">
        <f t="shared" si="5"/>
        <v>12130</v>
      </c>
      <c r="H79" s="437">
        <f t="shared" si="6"/>
        <v>12740</v>
      </c>
    </row>
    <row r="80" spans="1:8">
      <c r="A80" s="516" t="s">
        <v>451</v>
      </c>
      <c r="B80" s="516"/>
      <c r="C80" s="437">
        <f t="shared" si="1"/>
        <v>17.36</v>
      </c>
      <c r="D80" s="437">
        <f t="shared" si="2"/>
        <v>40.458000000000006</v>
      </c>
      <c r="E80" s="437">
        <f t="shared" si="3"/>
        <v>20.059999999999999</v>
      </c>
      <c r="F80" s="437">
        <f t="shared" si="4"/>
        <v>21.86</v>
      </c>
      <c r="G80" s="437">
        <f t="shared" si="5"/>
        <v>24.26</v>
      </c>
      <c r="H80" s="437">
        <f t="shared" si="6"/>
        <v>25.48</v>
      </c>
    </row>
    <row r="81" spans="1:8">
      <c r="A81" s="516" t="s">
        <v>462</v>
      </c>
      <c r="B81" s="516"/>
      <c r="C81" s="437">
        <f t="shared" si="1"/>
        <v>0</v>
      </c>
      <c r="D81" s="437">
        <f t="shared" si="2"/>
        <v>0</v>
      </c>
      <c r="E81" s="437">
        <f t="shared" si="3"/>
        <v>0</v>
      </c>
      <c r="F81" s="437">
        <f t="shared" si="4"/>
        <v>0</v>
      </c>
      <c r="G81" s="437">
        <f t="shared" si="5"/>
        <v>0</v>
      </c>
      <c r="H81" s="437">
        <f t="shared" si="6"/>
        <v>0</v>
      </c>
    </row>
    <row r="82" spans="1:8">
      <c r="A82" s="516" t="s">
        <v>461</v>
      </c>
      <c r="B82" s="516"/>
      <c r="C82" s="437">
        <f t="shared" si="1"/>
        <v>2707</v>
      </c>
      <c r="D82" s="437">
        <f t="shared" si="2"/>
        <v>2022.9</v>
      </c>
      <c r="E82" s="437">
        <f t="shared" si="3"/>
        <v>3168</v>
      </c>
      <c r="F82" s="437">
        <f t="shared" si="4"/>
        <v>3409</v>
      </c>
      <c r="G82" s="437">
        <f t="shared" si="5"/>
        <v>3691</v>
      </c>
      <c r="H82" s="437">
        <f t="shared" si="6"/>
        <v>3876</v>
      </c>
    </row>
    <row r="83" spans="1:8">
      <c r="A83" s="173"/>
      <c r="B83" s="173"/>
      <c r="C83" s="173"/>
      <c r="D83" s="173"/>
      <c r="E83" s="83"/>
      <c r="F83" s="83"/>
      <c r="G83" s="83"/>
      <c r="H83" s="83"/>
    </row>
    <row r="84" spans="1:8">
      <c r="A84" s="173"/>
      <c r="B84" s="173"/>
      <c r="C84" s="173"/>
      <c r="D84" s="173"/>
      <c r="E84" s="83"/>
      <c r="F84" s="83"/>
      <c r="G84" s="83"/>
      <c r="H84" s="83"/>
    </row>
    <row r="85" spans="1:8">
      <c r="A85" s="173"/>
      <c r="B85" s="173"/>
      <c r="C85" s="173"/>
      <c r="D85" s="173"/>
      <c r="E85" s="83"/>
      <c r="F85" s="83"/>
      <c r="G85" s="83"/>
      <c r="H85" s="83"/>
    </row>
    <row r="86" spans="1:8">
      <c r="A86" s="383" t="s">
        <v>398</v>
      </c>
      <c r="B86" s="173"/>
      <c r="C86" s="83"/>
      <c r="D86" s="83"/>
      <c r="E86" s="232"/>
      <c r="F86" s="232"/>
      <c r="G86" s="232"/>
      <c r="H86" s="232"/>
    </row>
    <row r="87" spans="1:8">
      <c r="A87" s="517" t="s">
        <v>399</v>
      </c>
      <c r="B87" s="517"/>
      <c r="C87" s="436">
        <f t="shared" ref="C87:H87" si="7">+C49</f>
        <v>2011</v>
      </c>
      <c r="D87" s="436">
        <f t="shared" si="7"/>
        <v>2012</v>
      </c>
      <c r="E87" s="436">
        <f t="shared" si="7"/>
        <v>2013</v>
      </c>
      <c r="F87" s="436">
        <v>2014</v>
      </c>
      <c r="G87" s="436">
        <v>2015</v>
      </c>
      <c r="H87" s="436">
        <f t="shared" si="7"/>
        <v>2016</v>
      </c>
    </row>
    <row r="88" spans="1:8">
      <c r="A88" s="516" t="s">
        <v>464</v>
      </c>
      <c r="B88" s="516"/>
      <c r="C88" s="429"/>
      <c r="D88" s="429"/>
      <c r="E88" s="429"/>
      <c r="F88" s="429"/>
      <c r="G88" s="429"/>
      <c r="H88" s="429"/>
    </row>
    <row r="89" spans="1:8">
      <c r="A89" s="515" t="s">
        <v>425</v>
      </c>
      <c r="B89" s="515"/>
      <c r="C89" s="438">
        <v>7.4722222222222218E-2</v>
      </c>
      <c r="D89" s="439">
        <f>C89*1.03</f>
        <v>7.6963888888888887E-2</v>
      </c>
      <c r="E89" s="439">
        <f>C89*1.03</f>
        <v>7.6963888888888887E-2</v>
      </c>
      <c r="F89" s="439">
        <f t="shared" ref="F89:H104" si="8">D89*1.03</f>
        <v>7.9272805555555562E-2</v>
      </c>
      <c r="G89" s="439">
        <f t="shared" si="8"/>
        <v>7.9272805555555562E-2</v>
      </c>
      <c r="H89" s="439">
        <f t="shared" si="8"/>
        <v>8.1650989722222234E-2</v>
      </c>
    </row>
    <row r="90" spans="1:8">
      <c r="A90" s="515" t="s">
        <v>427</v>
      </c>
      <c r="B90" s="515"/>
      <c r="C90" s="438">
        <v>9.3333333333333338E-2</v>
      </c>
      <c r="D90" s="439">
        <f t="shared" ref="D90:D120" si="9">C90*1.03</f>
        <v>9.6133333333333335E-2</v>
      </c>
      <c r="E90" s="439">
        <f t="shared" ref="E90:H120" si="10">C90*1.03</f>
        <v>9.6133333333333335E-2</v>
      </c>
      <c r="F90" s="439">
        <f t="shared" si="8"/>
        <v>9.9017333333333332E-2</v>
      </c>
      <c r="G90" s="439">
        <f t="shared" si="8"/>
        <v>9.9017333333333332E-2</v>
      </c>
      <c r="H90" s="439">
        <f t="shared" si="8"/>
        <v>0.10198785333333334</v>
      </c>
    </row>
    <row r="91" spans="1:8">
      <c r="A91" s="515" t="s">
        <v>428</v>
      </c>
      <c r="B91" s="515"/>
      <c r="C91" s="438">
        <v>0.59333333333333338</v>
      </c>
      <c r="D91" s="439">
        <f t="shared" si="9"/>
        <v>0.61113333333333342</v>
      </c>
      <c r="E91" s="439">
        <f t="shared" si="10"/>
        <v>0.61113333333333342</v>
      </c>
      <c r="F91" s="439">
        <f t="shared" si="8"/>
        <v>0.62946733333333349</v>
      </c>
      <c r="G91" s="439">
        <f t="shared" si="8"/>
        <v>0.62946733333333349</v>
      </c>
      <c r="H91" s="439">
        <f t="shared" si="8"/>
        <v>0.64835135333333349</v>
      </c>
    </row>
    <row r="92" spans="1:8">
      <c r="A92" s="515" t="s">
        <v>430</v>
      </c>
      <c r="B92" s="515"/>
      <c r="C92" s="438">
        <v>0.23333333333333331</v>
      </c>
      <c r="D92" s="439">
        <f t="shared" si="9"/>
        <v>0.24033333333333332</v>
      </c>
      <c r="E92" s="439">
        <f t="shared" si="10"/>
        <v>0.24033333333333332</v>
      </c>
      <c r="F92" s="439">
        <f t="shared" si="8"/>
        <v>0.24754333333333331</v>
      </c>
      <c r="G92" s="439">
        <f t="shared" si="8"/>
        <v>0.24754333333333331</v>
      </c>
      <c r="H92" s="439">
        <f t="shared" si="8"/>
        <v>0.25496963333333333</v>
      </c>
    </row>
    <row r="93" spans="1:8">
      <c r="A93" s="515" t="s">
        <v>431</v>
      </c>
      <c r="B93" s="515"/>
      <c r="C93" s="438">
        <v>0.7533333333333333</v>
      </c>
      <c r="D93" s="439">
        <f t="shared" si="9"/>
        <v>0.77593333333333336</v>
      </c>
      <c r="E93" s="439">
        <f t="shared" si="10"/>
        <v>0.77593333333333336</v>
      </c>
      <c r="F93" s="439">
        <f t="shared" si="8"/>
        <v>0.79921133333333338</v>
      </c>
      <c r="G93" s="439">
        <f t="shared" si="8"/>
        <v>0.79921133333333338</v>
      </c>
      <c r="H93" s="439">
        <f t="shared" si="8"/>
        <v>0.82318767333333343</v>
      </c>
    </row>
    <row r="94" spans="1:8">
      <c r="A94" s="515" t="s">
        <v>432</v>
      </c>
      <c r="B94" s="515"/>
      <c r="C94" s="438">
        <v>4.8466666666666667</v>
      </c>
      <c r="D94" s="439">
        <f t="shared" si="9"/>
        <v>4.9920666666666671</v>
      </c>
      <c r="E94" s="439">
        <f t="shared" si="10"/>
        <v>4.9920666666666671</v>
      </c>
      <c r="F94" s="439">
        <f t="shared" si="8"/>
        <v>5.141828666666667</v>
      </c>
      <c r="G94" s="439">
        <f t="shared" si="8"/>
        <v>5.141828666666667</v>
      </c>
      <c r="H94" s="439">
        <f t="shared" si="8"/>
        <v>5.296083526666667</v>
      </c>
    </row>
    <row r="95" spans="1:8">
      <c r="A95" s="515" t="s">
        <v>433</v>
      </c>
      <c r="B95" s="515"/>
      <c r="C95" s="438">
        <v>3.0533333333333332</v>
      </c>
      <c r="D95" s="439">
        <f t="shared" si="9"/>
        <v>3.1449333333333334</v>
      </c>
      <c r="E95" s="439">
        <f t="shared" si="10"/>
        <v>3.1449333333333334</v>
      </c>
      <c r="F95" s="439">
        <f t="shared" si="8"/>
        <v>3.2392813333333335</v>
      </c>
      <c r="G95" s="439">
        <f t="shared" si="8"/>
        <v>3.2392813333333335</v>
      </c>
      <c r="H95" s="439">
        <f t="shared" si="8"/>
        <v>3.3364597733333334</v>
      </c>
    </row>
    <row r="96" spans="1:8">
      <c r="A96" s="515" t="s">
        <v>434</v>
      </c>
      <c r="B96" s="515"/>
      <c r="C96" s="438">
        <v>0.22666666666666668</v>
      </c>
      <c r="D96" s="439">
        <f t="shared" si="9"/>
        <v>0.23346666666666668</v>
      </c>
      <c r="E96" s="439">
        <f t="shared" si="10"/>
        <v>0.23346666666666668</v>
      </c>
      <c r="F96" s="439">
        <f t="shared" si="8"/>
        <v>0.24047066666666669</v>
      </c>
      <c r="G96" s="439">
        <f t="shared" si="8"/>
        <v>0.24047066666666669</v>
      </c>
      <c r="H96" s="439">
        <f t="shared" si="8"/>
        <v>0.24768478666666671</v>
      </c>
    </row>
    <row r="97" spans="1:8">
      <c r="A97" s="515" t="s">
        <v>435</v>
      </c>
      <c r="B97" s="515"/>
      <c r="C97" s="438">
        <v>0.39333333333333331</v>
      </c>
      <c r="D97" s="439">
        <f t="shared" si="9"/>
        <v>0.40513333333333335</v>
      </c>
      <c r="E97" s="439">
        <f t="shared" si="10"/>
        <v>0.40513333333333335</v>
      </c>
      <c r="F97" s="439">
        <f t="shared" si="8"/>
        <v>0.41728733333333334</v>
      </c>
      <c r="G97" s="439">
        <f t="shared" si="8"/>
        <v>0.41728733333333334</v>
      </c>
      <c r="H97" s="439">
        <f t="shared" si="8"/>
        <v>0.42980595333333338</v>
      </c>
    </row>
    <row r="98" spans="1:8">
      <c r="A98" s="516" t="s">
        <v>437</v>
      </c>
      <c r="B98" s="516"/>
      <c r="C98" s="434"/>
      <c r="D98" s="439">
        <f t="shared" si="9"/>
        <v>0</v>
      </c>
      <c r="E98" s="439">
        <f t="shared" si="10"/>
        <v>0</v>
      </c>
      <c r="F98" s="439">
        <f t="shared" si="8"/>
        <v>0</v>
      </c>
      <c r="G98" s="439">
        <f t="shared" si="8"/>
        <v>0</v>
      </c>
      <c r="H98" s="439">
        <f t="shared" si="8"/>
        <v>0</v>
      </c>
    </row>
    <row r="99" spans="1:8">
      <c r="A99" s="516" t="s">
        <v>457</v>
      </c>
      <c r="B99" s="516"/>
      <c r="C99" s="434"/>
      <c r="D99" s="439">
        <f t="shared" si="9"/>
        <v>0</v>
      </c>
      <c r="E99" s="439">
        <f t="shared" si="10"/>
        <v>0</v>
      </c>
      <c r="F99" s="439">
        <f t="shared" si="8"/>
        <v>0</v>
      </c>
      <c r="G99" s="439">
        <f t="shared" si="8"/>
        <v>0</v>
      </c>
      <c r="H99" s="439">
        <f t="shared" si="8"/>
        <v>0</v>
      </c>
    </row>
    <row r="100" spans="1:8">
      <c r="A100" s="515" t="s">
        <v>438</v>
      </c>
      <c r="B100" s="515"/>
      <c r="C100" s="438">
        <f>18.9/1.5</f>
        <v>12.6</v>
      </c>
      <c r="D100" s="439">
        <f t="shared" si="9"/>
        <v>12.978</v>
      </c>
      <c r="E100" s="439">
        <f t="shared" si="10"/>
        <v>12.978</v>
      </c>
      <c r="F100" s="439">
        <f t="shared" si="8"/>
        <v>13.36734</v>
      </c>
      <c r="G100" s="439">
        <f t="shared" si="8"/>
        <v>13.36734</v>
      </c>
      <c r="H100" s="439">
        <f t="shared" si="8"/>
        <v>13.7683602</v>
      </c>
    </row>
    <row r="101" spans="1:8">
      <c r="A101" s="515" t="s">
        <v>439</v>
      </c>
      <c r="B101" s="515"/>
      <c r="C101" s="438">
        <f>6.93/1.5</f>
        <v>4.62</v>
      </c>
      <c r="D101" s="439">
        <f t="shared" si="9"/>
        <v>4.7586000000000004</v>
      </c>
      <c r="E101" s="439">
        <f t="shared" si="10"/>
        <v>4.7586000000000004</v>
      </c>
      <c r="F101" s="439">
        <f t="shared" si="8"/>
        <v>4.9013580000000001</v>
      </c>
      <c r="G101" s="439">
        <f t="shared" si="8"/>
        <v>4.9013580000000001</v>
      </c>
      <c r="H101" s="439">
        <f t="shared" si="8"/>
        <v>5.0483987400000006</v>
      </c>
    </row>
    <row r="102" spans="1:8">
      <c r="A102" s="515" t="s">
        <v>440</v>
      </c>
      <c r="B102" s="515"/>
      <c r="C102" s="438">
        <f>5.23/1.5</f>
        <v>3.4866666666666668</v>
      </c>
      <c r="D102" s="439">
        <f t="shared" si="9"/>
        <v>3.5912666666666668</v>
      </c>
      <c r="E102" s="439">
        <f t="shared" si="10"/>
        <v>3.5912666666666668</v>
      </c>
      <c r="F102" s="439">
        <f t="shared" si="8"/>
        <v>3.6990046666666667</v>
      </c>
      <c r="G102" s="439">
        <f t="shared" si="8"/>
        <v>3.6990046666666667</v>
      </c>
      <c r="H102" s="439">
        <f t="shared" si="8"/>
        <v>3.8099748066666668</v>
      </c>
    </row>
    <row r="103" spans="1:8">
      <c r="A103" s="515" t="s">
        <v>441</v>
      </c>
      <c r="B103" s="515"/>
      <c r="C103" s="438">
        <f>5.45/1.5</f>
        <v>3.6333333333333333</v>
      </c>
      <c r="D103" s="439">
        <f t="shared" si="9"/>
        <v>3.7423333333333333</v>
      </c>
      <c r="E103" s="439">
        <f t="shared" si="10"/>
        <v>3.7423333333333333</v>
      </c>
      <c r="F103" s="439">
        <f t="shared" si="8"/>
        <v>3.8546033333333334</v>
      </c>
      <c r="G103" s="439">
        <f t="shared" si="8"/>
        <v>3.8546033333333334</v>
      </c>
      <c r="H103" s="439">
        <f t="shared" si="8"/>
        <v>3.9702414333333333</v>
      </c>
    </row>
    <row r="104" spans="1:8">
      <c r="A104" s="515" t="s">
        <v>442</v>
      </c>
      <c r="B104" s="515"/>
      <c r="C104" s="438">
        <f>0.59/1.5</f>
        <v>0.39333333333333331</v>
      </c>
      <c r="D104" s="439">
        <f t="shared" si="9"/>
        <v>0.40513333333333335</v>
      </c>
      <c r="E104" s="439">
        <f t="shared" si="10"/>
        <v>0.40513333333333335</v>
      </c>
      <c r="F104" s="439">
        <f t="shared" si="8"/>
        <v>0.41728733333333334</v>
      </c>
      <c r="G104" s="439">
        <f t="shared" si="8"/>
        <v>0.41728733333333334</v>
      </c>
      <c r="H104" s="439">
        <f t="shared" si="8"/>
        <v>0.42980595333333338</v>
      </c>
    </row>
    <row r="105" spans="1:8">
      <c r="A105" s="516" t="s">
        <v>465</v>
      </c>
      <c r="B105" s="516"/>
      <c r="C105" s="434"/>
      <c r="D105" s="439">
        <f t="shared" si="9"/>
        <v>0</v>
      </c>
      <c r="E105" s="439">
        <f t="shared" si="10"/>
        <v>0</v>
      </c>
      <c r="F105" s="439">
        <f t="shared" si="10"/>
        <v>0</v>
      </c>
      <c r="G105" s="439">
        <f t="shared" si="10"/>
        <v>0</v>
      </c>
      <c r="H105" s="439">
        <f t="shared" si="10"/>
        <v>0</v>
      </c>
    </row>
    <row r="106" spans="1:8">
      <c r="A106" s="515" t="s">
        <v>443</v>
      </c>
      <c r="B106" s="515"/>
      <c r="C106" s="438">
        <f>165.7/1.5</f>
        <v>110.46666666666665</v>
      </c>
      <c r="D106" s="439">
        <f t="shared" si="9"/>
        <v>113.78066666666666</v>
      </c>
      <c r="E106" s="439">
        <f t="shared" si="10"/>
        <v>113.78066666666666</v>
      </c>
      <c r="F106" s="439">
        <f t="shared" si="10"/>
        <v>117.19408666666666</v>
      </c>
      <c r="G106" s="439">
        <f t="shared" si="10"/>
        <v>117.19408666666666</v>
      </c>
      <c r="H106" s="439">
        <f t="shared" si="10"/>
        <v>120.70990926666667</v>
      </c>
    </row>
    <row r="107" spans="1:8">
      <c r="A107" s="515" t="s">
        <v>444</v>
      </c>
      <c r="B107" s="515"/>
      <c r="C107" s="438">
        <f>3.98/1.5</f>
        <v>2.6533333333333333</v>
      </c>
      <c r="D107" s="439">
        <f t="shared" si="9"/>
        <v>2.7329333333333334</v>
      </c>
      <c r="E107" s="439">
        <f t="shared" si="10"/>
        <v>2.7329333333333334</v>
      </c>
      <c r="F107" s="439">
        <f t="shared" si="10"/>
        <v>2.8149213333333334</v>
      </c>
      <c r="G107" s="439">
        <f t="shared" si="10"/>
        <v>2.8149213333333334</v>
      </c>
      <c r="H107" s="439">
        <f t="shared" si="10"/>
        <v>2.8993689733333334</v>
      </c>
    </row>
    <row r="108" spans="1:8">
      <c r="A108" s="515" t="s">
        <v>441</v>
      </c>
      <c r="B108" s="515"/>
      <c r="C108" s="438">
        <f>5.45/1.5</f>
        <v>3.6333333333333333</v>
      </c>
      <c r="D108" s="439">
        <f t="shared" si="9"/>
        <v>3.7423333333333333</v>
      </c>
      <c r="E108" s="439">
        <f t="shared" si="10"/>
        <v>3.7423333333333333</v>
      </c>
      <c r="F108" s="439">
        <f t="shared" si="10"/>
        <v>3.8546033333333334</v>
      </c>
      <c r="G108" s="439">
        <f t="shared" si="10"/>
        <v>3.8546033333333334</v>
      </c>
      <c r="H108" s="439">
        <f t="shared" si="10"/>
        <v>3.9702414333333333</v>
      </c>
    </row>
    <row r="109" spans="1:8">
      <c r="A109" s="516" t="s">
        <v>466</v>
      </c>
      <c r="B109" s="516"/>
      <c r="C109" s="438"/>
      <c r="D109" s="439">
        <f t="shared" si="9"/>
        <v>0</v>
      </c>
      <c r="E109" s="439">
        <f t="shared" si="10"/>
        <v>0</v>
      </c>
      <c r="F109" s="439">
        <f t="shared" si="10"/>
        <v>0</v>
      </c>
      <c r="G109" s="439">
        <f t="shared" si="10"/>
        <v>0</v>
      </c>
      <c r="H109" s="439">
        <f t="shared" si="10"/>
        <v>0</v>
      </c>
    </row>
    <row r="110" spans="1:8">
      <c r="A110" s="515" t="s">
        <v>445</v>
      </c>
      <c r="B110" s="515"/>
      <c r="C110" s="438">
        <f>5.95/1.5</f>
        <v>3.9666666666666668</v>
      </c>
      <c r="D110" s="439">
        <f t="shared" si="9"/>
        <v>4.0856666666666666</v>
      </c>
      <c r="E110" s="439">
        <f t="shared" si="10"/>
        <v>4.0856666666666666</v>
      </c>
      <c r="F110" s="439">
        <f t="shared" si="10"/>
        <v>4.2082366666666671</v>
      </c>
      <c r="G110" s="439">
        <f t="shared" si="10"/>
        <v>4.2082366666666671</v>
      </c>
      <c r="H110" s="439">
        <f t="shared" si="10"/>
        <v>4.3344837666666676</v>
      </c>
    </row>
    <row r="111" spans="1:8">
      <c r="A111" s="515" t="s">
        <v>433</v>
      </c>
      <c r="B111" s="515"/>
      <c r="C111" s="438">
        <f>4.58/1.5</f>
        <v>3.0533333333333332</v>
      </c>
      <c r="D111" s="439">
        <f t="shared" si="9"/>
        <v>3.1449333333333334</v>
      </c>
      <c r="E111" s="439">
        <f t="shared" si="10"/>
        <v>3.1449333333333334</v>
      </c>
      <c r="F111" s="439">
        <f t="shared" si="10"/>
        <v>3.2392813333333335</v>
      </c>
      <c r="G111" s="439">
        <f t="shared" si="10"/>
        <v>3.2392813333333335</v>
      </c>
      <c r="H111" s="439">
        <f t="shared" si="10"/>
        <v>3.3364597733333334</v>
      </c>
    </row>
    <row r="112" spans="1:8">
      <c r="A112" s="515" t="s">
        <v>446</v>
      </c>
      <c r="B112" s="515"/>
      <c r="C112" s="438">
        <f>5.45/1.5</f>
        <v>3.6333333333333333</v>
      </c>
      <c r="D112" s="439">
        <f t="shared" si="9"/>
        <v>3.7423333333333333</v>
      </c>
      <c r="E112" s="439">
        <f t="shared" si="10"/>
        <v>3.7423333333333333</v>
      </c>
      <c r="F112" s="439">
        <f t="shared" si="10"/>
        <v>3.8546033333333334</v>
      </c>
      <c r="G112" s="439">
        <f t="shared" si="10"/>
        <v>3.8546033333333334</v>
      </c>
      <c r="H112" s="439">
        <f t="shared" si="10"/>
        <v>3.9702414333333333</v>
      </c>
    </row>
    <row r="113" spans="1:8">
      <c r="A113" s="515" t="s">
        <v>447</v>
      </c>
      <c r="B113" s="515"/>
      <c r="C113" s="438">
        <f>13.96/1.5</f>
        <v>9.3066666666666666</v>
      </c>
      <c r="D113" s="439">
        <f t="shared" si="9"/>
        <v>9.5858666666666661</v>
      </c>
      <c r="E113" s="439">
        <f t="shared" si="10"/>
        <v>9.5858666666666661</v>
      </c>
      <c r="F113" s="439">
        <f t="shared" si="10"/>
        <v>9.8734426666666657</v>
      </c>
      <c r="G113" s="439">
        <f t="shared" si="10"/>
        <v>9.8734426666666657</v>
      </c>
      <c r="H113" s="439">
        <f t="shared" si="10"/>
        <v>10.169645946666666</v>
      </c>
    </row>
    <row r="114" spans="1:8">
      <c r="A114" s="516" t="s">
        <v>460</v>
      </c>
      <c r="B114" s="516"/>
      <c r="C114" s="434"/>
      <c r="D114" s="439">
        <f t="shared" si="9"/>
        <v>0</v>
      </c>
      <c r="E114" s="439">
        <f t="shared" si="10"/>
        <v>0</v>
      </c>
      <c r="F114" s="439">
        <f t="shared" si="10"/>
        <v>0</v>
      </c>
      <c r="G114" s="439">
        <f t="shared" si="10"/>
        <v>0</v>
      </c>
      <c r="H114" s="439">
        <f t="shared" si="10"/>
        <v>0</v>
      </c>
    </row>
    <row r="115" spans="1:8">
      <c r="A115" s="515" t="s">
        <v>448</v>
      </c>
      <c r="B115" s="515"/>
      <c r="C115" s="438">
        <v>0</v>
      </c>
      <c r="D115" s="439">
        <f t="shared" si="9"/>
        <v>0</v>
      </c>
      <c r="E115" s="439">
        <f t="shared" si="10"/>
        <v>0</v>
      </c>
      <c r="F115" s="439">
        <f t="shared" si="10"/>
        <v>0</v>
      </c>
      <c r="G115" s="439">
        <f t="shared" si="10"/>
        <v>0</v>
      </c>
      <c r="H115" s="439">
        <f t="shared" si="10"/>
        <v>0</v>
      </c>
    </row>
    <row r="116" spans="1:8">
      <c r="A116" s="515" t="s">
        <v>449</v>
      </c>
      <c r="B116" s="515"/>
      <c r="C116" s="438">
        <f>0.89/1.5</f>
        <v>0.59333333333333338</v>
      </c>
      <c r="D116" s="439">
        <f t="shared" si="9"/>
        <v>0.61113333333333342</v>
      </c>
      <c r="E116" s="439">
        <f t="shared" si="10"/>
        <v>0.61113333333333342</v>
      </c>
      <c r="F116" s="439">
        <f t="shared" si="10"/>
        <v>0.62946733333333349</v>
      </c>
      <c r="G116" s="439">
        <f t="shared" si="10"/>
        <v>0.62946733333333349</v>
      </c>
      <c r="H116" s="439">
        <f t="shared" si="10"/>
        <v>0.64835135333333349</v>
      </c>
    </row>
    <row r="117" spans="1:8">
      <c r="A117" s="515" t="s">
        <v>450</v>
      </c>
      <c r="B117" s="515"/>
      <c r="C117" s="438">
        <f>2.69/1.5/24</f>
        <v>7.4722222222222218E-2</v>
      </c>
      <c r="D117" s="439">
        <f t="shared" si="9"/>
        <v>7.6963888888888887E-2</v>
      </c>
      <c r="E117" s="439">
        <f t="shared" si="10"/>
        <v>7.6963888888888887E-2</v>
      </c>
      <c r="F117" s="439">
        <f t="shared" si="10"/>
        <v>7.9272805555555562E-2</v>
      </c>
      <c r="G117" s="439">
        <f t="shared" si="10"/>
        <v>7.9272805555555562E-2</v>
      </c>
      <c r="H117" s="439">
        <f t="shared" si="10"/>
        <v>8.1650989722222234E-2</v>
      </c>
    </row>
    <row r="118" spans="1:8">
      <c r="A118" s="515" t="s">
        <v>451</v>
      </c>
      <c r="B118" s="515"/>
      <c r="C118" s="438">
        <f>107/1.5</f>
        <v>71.333333333333329</v>
      </c>
      <c r="D118" s="439">
        <f t="shared" si="9"/>
        <v>73.473333333333329</v>
      </c>
      <c r="E118" s="439">
        <f t="shared" si="10"/>
        <v>73.473333333333329</v>
      </c>
      <c r="F118" s="439">
        <f t="shared" si="10"/>
        <v>75.677533333333329</v>
      </c>
      <c r="G118" s="439">
        <f t="shared" si="10"/>
        <v>75.677533333333329</v>
      </c>
      <c r="H118" s="439">
        <f t="shared" si="10"/>
        <v>77.947859333333327</v>
      </c>
    </row>
    <row r="119" spans="1:8">
      <c r="A119" s="516" t="s">
        <v>462</v>
      </c>
      <c r="B119" s="516"/>
      <c r="C119" s="434"/>
      <c r="D119" s="439">
        <f t="shared" si="9"/>
        <v>0</v>
      </c>
      <c r="E119" s="439">
        <f t="shared" si="10"/>
        <v>0</v>
      </c>
      <c r="F119" s="439">
        <f t="shared" si="10"/>
        <v>0</v>
      </c>
      <c r="G119" s="439">
        <f t="shared" si="10"/>
        <v>0</v>
      </c>
      <c r="H119" s="439">
        <f t="shared" si="10"/>
        <v>0</v>
      </c>
    </row>
    <row r="120" spans="1:8">
      <c r="A120" s="515" t="s">
        <v>461</v>
      </c>
      <c r="B120" s="515"/>
      <c r="C120" s="434">
        <v>0.4</v>
      </c>
      <c r="D120" s="439">
        <f t="shared" si="9"/>
        <v>0.41200000000000003</v>
      </c>
      <c r="E120" s="439">
        <f t="shared" si="10"/>
        <v>0.41200000000000003</v>
      </c>
      <c r="F120" s="439">
        <f t="shared" si="10"/>
        <v>0.42436000000000007</v>
      </c>
      <c r="G120" s="439">
        <f t="shared" si="10"/>
        <v>0.42436000000000007</v>
      </c>
      <c r="H120" s="439">
        <f t="shared" si="10"/>
        <v>0.43709080000000006</v>
      </c>
    </row>
    <row r="121" spans="1:8">
      <c r="A121" s="288"/>
      <c r="B121" s="288"/>
      <c r="C121" s="83"/>
      <c r="D121" s="83"/>
      <c r="E121" s="232"/>
      <c r="F121" s="232"/>
      <c r="G121" s="232"/>
      <c r="H121" s="232"/>
    </row>
    <row r="122" spans="1:8">
      <c r="A122" s="288"/>
      <c r="B122" s="288"/>
      <c r="C122" s="83"/>
      <c r="D122" s="83"/>
      <c r="E122" s="232"/>
      <c r="F122" s="232"/>
      <c r="G122" s="232"/>
      <c r="H122" s="232"/>
    </row>
    <row r="123" spans="1:8">
      <c r="A123" s="288"/>
      <c r="B123" s="288"/>
      <c r="C123" s="83"/>
      <c r="D123" s="83"/>
      <c r="E123" s="232"/>
      <c r="F123" s="232"/>
      <c r="G123" s="232"/>
      <c r="H123" s="232"/>
    </row>
    <row r="124" spans="1:8">
      <c r="A124" s="517" t="s">
        <v>399</v>
      </c>
      <c r="B124" s="517"/>
      <c r="C124" s="436">
        <f>+C43</f>
        <v>2011</v>
      </c>
      <c r="D124" s="436">
        <f>+D43</f>
        <v>2012</v>
      </c>
      <c r="E124" s="436">
        <f>+E43</f>
        <v>2013</v>
      </c>
      <c r="F124" s="436">
        <v>2014</v>
      </c>
      <c r="G124" s="436">
        <v>2015</v>
      </c>
      <c r="H124" s="436">
        <f>+H43</f>
        <v>2016</v>
      </c>
    </row>
    <row r="125" spans="1:8">
      <c r="A125" s="516" t="s">
        <v>464</v>
      </c>
      <c r="B125" s="516"/>
      <c r="C125" s="429">
        <f t="shared" ref="C125:H125" si="11">+C50*C88</f>
        <v>0</v>
      </c>
      <c r="D125" s="437">
        <f>+D50*D88</f>
        <v>0</v>
      </c>
      <c r="E125" s="429">
        <f t="shared" si="11"/>
        <v>0</v>
      </c>
      <c r="F125" s="429"/>
      <c r="G125" s="429"/>
      <c r="H125" s="429">
        <f t="shared" si="11"/>
        <v>0</v>
      </c>
    </row>
    <row r="126" spans="1:8">
      <c r="A126" s="515" t="s">
        <v>425</v>
      </c>
      <c r="B126" s="515"/>
      <c r="C126" s="437">
        <f>+C51*C89</f>
        <v>873.951111111111</v>
      </c>
      <c r="D126" s="437">
        <f t="shared" ref="D126:H126" si="12">+D51*D89</f>
        <v>778.45125416666667</v>
      </c>
      <c r="E126" s="437">
        <f t="shared" si="12"/>
        <v>1052.4811805555555</v>
      </c>
      <c r="F126" s="437">
        <f t="shared" si="12"/>
        <v>1167.6091530277779</v>
      </c>
      <c r="G126" s="437">
        <f t="shared" si="12"/>
        <v>1266.5416143611112</v>
      </c>
      <c r="H126" s="437">
        <f t="shared" si="12"/>
        <v>1369.9403055594446</v>
      </c>
    </row>
    <row r="127" spans="1:8">
      <c r="A127" s="515" t="s">
        <v>427</v>
      </c>
      <c r="B127" s="515"/>
      <c r="C127" s="437">
        <f t="shared" ref="C127:H157" si="13">+C52*C90</f>
        <v>252.65333333333334</v>
      </c>
      <c r="D127" s="437">
        <f t="shared" si="13"/>
        <v>194.46812</v>
      </c>
      <c r="E127" s="437">
        <f t="shared" si="13"/>
        <v>304.55040000000002</v>
      </c>
      <c r="F127" s="437">
        <f t="shared" si="13"/>
        <v>337.55008933333335</v>
      </c>
      <c r="G127" s="437">
        <f t="shared" si="13"/>
        <v>365.47297733333335</v>
      </c>
      <c r="H127" s="437">
        <f t="shared" si="13"/>
        <v>395.30491952</v>
      </c>
    </row>
    <row r="128" spans="1:8">
      <c r="A128" s="515" t="s">
        <v>428</v>
      </c>
      <c r="B128" s="515"/>
      <c r="C128" s="437">
        <f t="shared" si="13"/>
        <v>77.251999999999995</v>
      </c>
      <c r="D128" s="437">
        <f t="shared" si="13"/>
        <v>185.43924300000003</v>
      </c>
      <c r="E128" s="437">
        <f t="shared" si="13"/>
        <v>91.945010000000011</v>
      </c>
      <c r="F128" s="437">
        <f t="shared" si="13"/>
        <v>103.20116930000002</v>
      </c>
      <c r="G128" s="437">
        <f t="shared" si="13"/>
        <v>114.53158130000003</v>
      </c>
      <c r="H128" s="437">
        <f t="shared" si="13"/>
        <v>123.89994362200002</v>
      </c>
    </row>
    <row r="129" spans="1:8">
      <c r="A129" s="515" t="s">
        <v>430</v>
      </c>
      <c r="B129" s="515"/>
      <c r="C129" s="437">
        <f t="shared" si="13"/>
        <v>159.10999999999996</v>
      </c>
      <c r="D129" s="437">
        <f t="shared" si="13"/>
        <v>72.925545</v>
      </c>
      <c r="E129" s="437">
        <f t="shared" si="13"/>
        <v>192.25465</v>
      </c>
      <c r="F129" s="437">
        <f t="shared" si="13"/>
        <v>212.57783749999999</v>
      </c>
      <c r="G129" s="437">
        <f t="shared" si="13"/>
        <v>229.06422349999997</v>
      </c>
      <c r="H129" s="437">
        <f t="shared" si="13"/>
        <v>247.75399271000001</v>
      </c>
    </row>
    <row r="130" spans="1:8">
      <c r="A130" s="515" t="s">
        <v>431</v>
      </c>
      <c r="B130" s="515"/>
      <c r="C130" s="437">
        <f t="shared" si="13"/>
        <v>65.38933333333334</v>
      </c>
      <c r="D130" s="437">
        <f t="shared" si="13"/>
        <v>156.96355400000002</v>
      </c>
      <c r="E130" s="437">
        <f t="shared" si="13"/>
        <v>77.826113333333339</v>
      </c>
      <c r="F130" s="437">
        <f t="shared" si="13"/>
        <v>87.353798733333349</v>
      </c>
      <c r="G130" s="437">
        <f t="shared" si="13"/>
        <v>96.944334733333349</v>
      </c>
      <c r="H130" s="437">
        <f t="shared" si="13"/>
        <v>104.87410958266668</v>
      </c>
    </row>
    <row r="131" spans="1:8">
      <c r="A131" s="515" t="s">
        <v>432</v>
      </c>
      <c r="B131" s="515"/>
      <c r="C131" s="437">
        <f t="shared" si="13"/>
        <v>131.19926666666666</v>
      </c>
      <c r="D131" s="437">
        <f t="shared" si="13"/>
        <v>100.98451660000002</v>
      </c>
      <c r="E131" s="437">
        <f t="shared" si="13"/>
        <v>158.148672</v>
      </c>
      <c r="F131" s="437">
        <f t="shared" si="13"/>
        <v>175.28493924666671</v>
      </c>
      <c r="G131" s="437">
        <f t="shared" si="13"/>
        <v>189.78489608666669</v>
      </c>
      <c r="H131" s="437">
        <f t="shared" si="13"/>
        <v>205.27619749359999</v>
      </c>
    </row>
    <row r="132" spans="1:8">
      <c r="A132" s="515" t="s">
        <v>433</v>
      </c>
      <c r="B132" s="515"/>
      <c r="C132" s="437">
        <f t="shared" si="13"/>
        <v>140.37700000000001</v>
      </c>
      <c r="D132" s="437">
        <f t="shared" si="13"/>
        <v>0</v>
      </c>
      <c r="E132" s="437">
        <f t="shared" si="13"/>
        <v>170.21951666666666</v>
      </c>
      <c r="F132" s="437">
        <f t="shared" si="13"/>
        <v>187.55438920000003</v>
      </c>
      <c r="G132" s="437">
        <f t="shared" si="13"/>
        <v>200.67347860000001</v>
      </c>
      <c r="H132" s="437">
        <f t="shared" si="13"/>
        <v>217.03670825533334</v>
      </c>
    </row>
    <row r="133" spans="1:8">
      <c r="A133" s="515" t="s">
        <v>434</v>
      </c>
      <c r="B133" s="515"/>
      <c r="C133" s="437">
        <f t="shared" si="13"/>
        <v>1.2505200000000001</v>
      </c>
      <c r="D133" s="437">
        <f t="shared" si="13"/>
        <v>0</v>
      </c>
      <c r="E133" s="437">
        <f t="shared" si="13"/>
        <v>1.5163660000000001</v>
      </c>
      <c r="F133" s="437">
        <f t="shared" si="13"/>
        <v>1.6707901920000003</v>
      </c>
      <c r="G133" s="437">
        <f t="shared" si="13"/>
        <v>1.7876589360000001</v>
      </c>
      <c r="H133" s="437">
        <f t="shared" si="13"/>
        <v>1.9334274447200004</v>
      </c>
    </row>
    <row r="134" spans="1:8">
      <c r="A134" s="515" t="s">
        <v>435</v>
      </c>
      <c r="B134" s="515"/>
      <c r="C134" s="437">
        <f t="shared" si="13"/>
        <v>90.41749999999999</v>
      </c>
      <c r="D134" s="437">
        <f t="shared" si="13"/>
        <v>0</v>
      </c>
      <c r="E134" s="437">
        <f t="shared" si="13"/>
        <v>109.63920833333334</v>
      </c>
      <c r="F134" s="437">
        <f t="shared" si="13"/>
        <v>120.804683</v>
      </c>
      <c r="G134" s="437">
        <f t="shared" si="13"/>
        <v>129.2547515</v>
      </c>
      <c r="H134" s="437">
        <f t="shared" si="13"/>
        <v>139.79438632166668</v>
      </c>
    </row>
    <row r="135" spans="1:8">
      <c r="A135" s="516" t="s">
        <v>437</v>
      </c>
      <c r="B135" s="516"/>
      <c r="C135" s="437">
        <f t="shared" si="13"/>
        <v>0</v>
      </c>
      <c r="D135" s="437">
        <f t="shared" si="13"/>
        <v>0</v>
      </c>
      <c r="E135" s="437">
        <f t="shared" si="13"/>
        <v>0</v>
      </c>
      <c r="F135" s="437">
        <f t="shared" si="13"/>
        <v>0</v>
      </c>
      <c r="G135" s="437">
        <f t="shared" si="13"/>
        <v>0</v>
      </c>
      <c r="H135" s="437">
        <f t="shared" si="13"/>
        <v>0</v>
      </c>
    </row>
    <row r="136" spans="1:8">
      <c r="A136" s="516" t="s">
        <v>457</v>
      </c>
      <c r="B136" s="516"/>
      <c r="C136" s="437">
        <f t="shared" si="13"/>
        <v>0</v>
      </c>
      <c r="D136" s="437">
        <f t="shared" si="13"/>
        <v>0</v>
      </c>
      <c r="E136" s="437">
        <f t="shared" si="13"/>
        <v>0</v>
      </c>
      <c r="F136" s="437">
        <f t="shared" si="13"/>
        <v>0</v>
      </c>
      <c r="G136" s="437">
        <f t="shared" si="13"/>
        <v>0</v>
      </c>
      <c r="H136" s="437">
        <f t="shared" si="13"/>
        <v>0</v>
      </c>
    </row>
    <row r="137" spans="1:8">
      <c r="A137" s="515" t="s">
        <v>438</v>
      </c>
      <c r="B137" s="515"/>
      <c r="C137" s="437">
        <f t="shared" si="13"/>
        <v>2317.14</v>
      </c>
      <c r="D137" s="437">
        <f t="shared" si="13"/>
        <v>0</v>
      </c>
      <c r="E137" s="437">
        <f t="shared" si="13"/>
        <v>2809.7370000000001</v>
      </c>
      <c r="F137" s="437">
        <f t="shared" si="13"/>
        <v>3095.8759440000003</v>
      </c>
      <c r="G137" s="437">
        <f t="shared" si="13"/>
        <v>3312.4268520000001</v>
      </c>
      <c r="H137" s="437">
        <f t="shared" si="13"/>
        <v>3582.5273240399997</v>
      </c>
    </row>
    <row r="138" spans="1:8">
      <c r="A138" s="515" t="s">
        <v>439</v>
      </c>
      <c r="B138" s="515"/>
      <c r="C138" s="437">
        <f t="shared" si="13"/>
        <v>849.61800000000005</v>
      </c>
      <c r="D138" s="437">
        <f t="shared" si="13"/>
        <v>0</v>
      </c>
      <c r="E138" s="437">
        <f t="shared" si="13"/>
        <v>1030.2369000000001</v>
      </c>
      <c r="F138" s="437">
        <f t="shared" si="13"/>
        <v>1135.1545128000002</v>
      </c>
      <c r="G138" s="437">
        <f t="shared" si="13"/>
        <v>1214.5565124</v>
      </c>
      <c r="H138" s="437">
        <f t="shared" si="13"/>
        <v>1313.5933521480001</v>
      </c>
    </row>
    <row r="139" spans="1:8">
      <c r="A139" s="515" t="s">
        <v>440</v>
      </c>
      <c r="B139" s="515"/>
      <c r="C139" s="437">
        <f t="shared" si="13"/>
        <v>153.88752000000002</v>
      </c>
      <c r="D139" s="437">
        <f t="shared" si="13"/>
        <v>0</v>
      </c>
      <c r="E139" s="437">
        <f t="shared" si="13"/>
        <v>186.602216</v>
      </c>
      <c r="F139" s="437">
        <f t="shared" si="13"/>
        <v>205.60547539200002</v>
      </c>
      <c r="G139" s="437">
        <f t="shared" si="13"/>
        <v>219.987205536</v>
      </c>
      <c r="H139" s="437">
        <f t="shared" si="13"/>
        <v>237.92530672672001</v>
      </c>
    </row>
    <row r="140" spans="1:8">
      <c r="A140" s="515" t="s">
        <v>441</v>
      </c>
      <c r="B140" s="515"/>
      <c r="C140" s="437">
        <f t="shared" si="13"/>
        <v>334.08499999999998</v>
      </c>
      <c r="D140" s="437">
        <f t="shared" si="13"/>
        <v>0</v>
      </c>
      <c r="E140" s="437">
        <f t="shared" si="13"/>
        <v>405.10758333333331</v>
      </c>
      <c r="F140" s="437">
        <f t="shared" si="13"/>
        <v>446.36306600000006</v>
      </c>
      <c r="G140" s="437">
        <f t="shared" si="13"/>
        <v>477.58535300000005</v>
      </c>
      <c r="H140" s="437">
        <f t="shared" si="13"/>
        <v>516.52841047666664</v>
      </c>
    </row>
    <row r="141" spans="1:8">
      <c r="A141" s="515" t="s">
        <v>442</v>
      </c>
      <c r="B141" s="515"/>
      <c r="C141" s="437">
        <f t="shared" si="13"/>
        <v>36.167000000000002</v>
      </c>
      <c r="D141" s="437">
        <f t="shared" si="13"/>
        <v>0</v>
      </c>
      <c r="E141" s="437">
        <f t="shared" si="13"/>
        <v>43.855683333333332</v>
      </c>
      <c r="F141" s="437">
        <f t="shared" si="13"/>
        <v>48.321873200000006</v>
      </c>
      <c r="G141" s="437">
        <f t="shared" si="13"/>
        <v>51.701900600000002</v>
      </c>
      <c r="H141" s="437">
        <f t="shared" si="13"/>
        <v>55.91775452866667</v>
      </c>
    </row>
    <row r="142" spans="1:8">
      <c r="A142" s="516" t="s">
        <v>465</v>
      </c>
      <c r="B142" s="516"/>
      <c r="C142" s="437">
        <f t="shared" si="13"/>
        <v>0</v>
      </c>
      <c r="D142" s="437">
        <f t="shared" si="13"/>
        <v>0</v>
      </c>
      <c r="E142" s="437">
        <f t="shared" si="13"/>
        <v>0</v>
      </c>
      <c r="F142" s="437">
        <f t="shared" si="13"/>
        <v>0</v>
      </c>
      <c r="G142" s="437">
        <f t="shared" si="13"/>
        <v>0</v>
      </c>
      <c r="H142" s="437">
        <f t="shared" si="13"/>
        <v>0</v>
      </c>
    </row>
    <row r="143" spans="1:8">
      <c r="A143" s="515" t="s">
        <v>443</v>
      </c>
      <c r="B143" s="515"/>
      <c r="C143" s="437">
        <f t="shared" si="13"/>
        <v>609.44459999999992</v>
      </c>
      <c r="D143" s="437">
        <f t="shared" si="13"/>
        <v>0</v>
      </c>
      <c r="E143" s="437">
        <f t="shared" si="13"/>
        <v>739.00542999999993</v>
      </c>
      <c r="F143" s="437">
        <f t="shared" si="13"/>
        <v>814.26451415999998</v>
      </c>
      <c r="G143" s="437">
        <f t="shared" si="13"/>
        <v>871.22084027999995</v>
      </c>
      <c r="H143" s="437">
        <f t="shared" si="13"/>
        <v>942.26155173560005</v>
      </c>
    </row>
    <row r="144" spans="1:8">
      <c r="A144" s="515" t="s">
        <v>444</v>
      </c>
      <c r="B144" s="515"/>
      <c r="C144" s="437">
        <f t="shared" si="13"/>
        <v>609.93499999999995</v>
      </c>
      <c r="D144" s="437">
        <f t="shared" si="13"/>
        <v>0</v>
      </c>
      <c r="E144" s="437">
        <f t="shared" si="13"/>
        <v>739.60008333333337</v>
      </c>
      <c r="F144" s="437">
        <f t="shared" si="13"/>
        <v>814.91972599999997</v>
      </c>
      <c r="G144" s="437">
        <f t="shared" si="13"/>
        <v>871.92188299999998</v>
      </c>
      <c r="H144" s="437">
        <f t="shared" si="13"/>
        <v>943.01975857666673</v>
      </c>
    </row>
    <row r="145" spans="1:8">
      <c r="A145" s="515" t="s">
        <v>441</v>
      </c>
      <c r="B145" s="515"/>
      <c r="C145" s="437">
        <f t="shared" si="13"/>
        <v>334.08499999999998</v>
      </c>
      <c r="D145" s="437">
        <f t="shared" si="13"/>
        <v>0</v>
      </c>
      <c r="E145" s="437">
        <f t="shared" si="13"/>
        <v>405.10758333333331</v>
      </c>
      <c r="F145" s="437">
        <f t="shared" si="13"/>
        <v>446.36306600000006</v>
      </c>
      <c r="G145" s="437">
        <f t="shared" si="13"/>
        <v>477.58535300000005</v>
      </c>
      <c r="H145" s="437">
        <f t="shared" si="13"/>
        <v>516.52841047666664</v>
      </c>
    </row>
    <row r="146" spans="1:8">
      <c r="A146" s="516" t="s">
        <v>466</v>
      </c>
      <c r="B146" s="516"/>
      <c r="C146" s="437">
        <f t="shared" si="13"/>
        <v>0</v>
      </c>
      <c r="D146" s="437">
        <f t="shared" si="13"/>
        <v>0</v>
      </c>
      <c r="E146" s="437">
        <f t="shared" si="13"/>
        <v>0</v>
      </c>
      <c r="F146" s="437">
        <f t="shared" si="13"/>
        <v>0</v>
      </c>
      <c r="G146" s="437">
        <f t="shared" si="13"/>
        <v>0</v>
      </c>
      <c r="H146" s="437">
        <f t="shared" si="13"/>
        <v>0</v>
      </c>
    </row>
    <row r="147" spans="1:8">
      <c r="A147" s="515" t="s">
        <v>445</v>
      </c>
      <c r="B147" s="515"/>
      <c r="C147" s="437">
        <f t="shared" si="13"/>
        <v>516.45999999999992</v>
      </c>
      <c r="D147" s="437">
        <f t="shared" si="13"/>
        <v>1239.7342650000001</v>
      </c>
      <c r="E147" s="437">
        <f t="shared" si="13"/>
        <v>614.68854999999996</v>
      </c>
      <c r="F147" s="437">
        <f t="shared" si="13"/>
        <v>689.94040150000001</v>
      </c>
      <c r="G147" s="437">
        <f t="shared" si="13"/>
        <v>765.68866150000008</v>
      </c>
      <c r="H147" s="437">
        <f t="shared" si="13"/>
        <v>828.31984781000017</v>
      </c>
    </row>
    <row r="148" spans="1:8">
      <c r="A148" s="515" t="s">
        <v>433</v>
      </c>
      <c r="B148" s="515"/>
      <c r="C148" s="437">
        <f t="shared" si="13"/>
        <v>106.01173333333332</v>
      </c>
      <c r="D148" s="437">
        <f t="shared" si="13"/>
        <v>254.47542560000002</v>
      </c>
      <c r="E148" s="437">
        <f t="shared" si="13"/>
        <v>126.17472533333333</v>
      </c>
      <c r="F148" s="437">
        <f t="shared" si="13"/>
        <v>141.62137989333334</v>
      </c>
      <c r="G148" s="437">
        <f t="shared" si="13"/>
        <v>157.16993029333335</v>
      </c>
      <c r="H148" s="437">
        <f t="shared" si="13"/>
        <v>170.02599004906668</v>
      </c>
    </row>
    <row r="149" spans="1:8">
      <c r="A149" s="515" t="s">
        <v>446</v>
      </c>
      <c r="B149" s="515"/>
      <c r="C149" s="437">
        <f t="shared" si="13"/>
        <v>157.6866666666667</v>
      </c>
      <c r="D149" s="437">
        <f t="shared" si="13"/>
        <v>378.51830500000005</v>
      </c>
      <c r="E149" s="437">
        <f t="shared" si="13"/>
        <v>187.67801666666668</v>
      </c>
      <c r="F149" s="437">
        <f t="shared" si="13"/>
        <v>210.65407216666668</v>
      </c>
      <c r="G149" s="437">
        <f t="shared" si="13"/>
        <v>233.78169216666669</v>
      </c>
      <c r="H149" s="437">
        <f t="shared" si="13"/>
        <v>252.90437930333334</v>
      </c>
    </row>
    <row r="150" spans="1:8">
      <c r="A150" s="515" t="s">
        <v>447</v>
      </c>
      <c r="B150" s="515"/>
      <c r="C150" s="437">
        <f t="shared" si="13"/>
        <v>646.25493333333327</v>
      </c>
      <c r="D150" s="437">
        <f t="shared" si="13"/>
        <v>1551.2999744000001</v>
      </c>
      <c r="E150" s="437">
        <f t="shared" si="13"/>
        <v>769.16994133333321</v>
      </c>
      <c r="F150" s="437">
        <f t="shared" si="13"/>
        <v>863.33382677333327</v>
      </c>
      <c r="G150" s="437">
        <f t="shared" si="13"/>
        <v>958.11887637333325</v>
      </c>
      <c r="H150" s="437">
        <f t="shared" si="13"/>
        <v>1036.4903148842666</v>
      </c>
    </row>
    <row r="151" spans="1:8">
      <c r="A151" s="516" t="s">
        <v>460</v>
      </c>
      <c r="B151" s="516"/>
      <c r="C151" s="437">
        <f t="shared" si="13"/>
        <v>0</v>
      </c>
      <c r="D151" s="437">
        <f t="shared" si="13"/>
        <v>0</v>
      </c>
      <c r="E151" s="437">
        <f t="shared" si="13"/>
        <v>0</v>
      </c>
      <c r="F151" s="437">
        <f t="shared" si="13"/>
        <v>0</v>
      </c>
      <c r="G151" s="437">
        <f t="shared" si="13"/>
        <v>0</v>
      </c>
      <c r="H151" s="437">
        <f t="shared" si="13"/>
        <v>0</v>
      </c>
    </row>
    <row r="152" spans="1:8">
      <c r="A152" s="515" t="s">
        <v>448</v>
      </c>
      <c r="B152" s="515"/>
      <c r="C152" s="437">
        <f t="shared" si="13"/>
        <v>0</v>
      </c>
      <c r="D152" s="437">
        <f t="shared" si="13"/>
        <v>0</v>
      </c>
      <c r="E152" s="437">
        <f t="shared" si="13"/>
        <v>0</v>
      </c>
      <c r="F152" s="437">
        <f t="shared" si="13"/>
        <v>0</v>
      </c>
      <c r="G152" s="437">
        <f t="shared" si="13"/>
        <v>0</v>
      </c>
      <c r="H152" s="437">
        <f t="shared" si="13"/>
        <v>0</v>
      </c>
    </row>
    <row r="153" spans="1:8">
      <c r="A153" s="515" t="s">
        <v>449</v>
      </c>
      <c r="B153" s="515"/>
      <c r="C153" s="437">
        <f t="shared" si="13"/>
        <v>59.226533333333343</v>
      </c>
      <c r="D153" s="437">
        <f t="shared" si="13"/>
        <v>142.17008630000004</v>
      </c>
      <c r="E153" s="437">
        <f t="shared" si="13"/>
        <v>70.491174333333348</v>
      </c>
      <c r="F153" s="437">
        <f t="shared" si="13"/>
        <v>79.120896463333352</v>
      </c>
      <c r="G153" s="437">
        <f t="shared" si="13"/>
        <v>87.807545663333357</v>
      </c>
      <c r="H153" s="437">
        <f t="shared" si="13"/>
        <v>94.989956776866705</v>
      </c>
    </row>
    <row r="154" spans="1:8">
      <c r="A154" s="515" t="s">
        <v>450</v>
      </c>
      <c r="B154" s="515"/>
      <c r="C154" s="437">
        <f t="shared" si="13"/>
        <v>648.58888888888885</v>
      </c>
      <c r="D154" s="437">
        <f t="shared" si="13"/>
        <v>1556.9025083333333</v>
      </c>
      <c r="E154" s="437">
        <f t="shared" si="13"/>
        <v>771.94780555555553</v>
      </c>
      <c r="F154" s="437">
        <f t="shared" si="13"/>
        <v>866.45176472222226</v>
      </c>
      <c r="G154" s="437">
        <f t="shared" si="13"/>
        <v>961.57913138888898</v>
      </c>
      <c r="H154" s="437">
        <f t="shared" si="13"/>
        <v>1040.2336090611113</v>
      </c>
    </row>
    <row r="155" spans="1:8">
      <c r="A155" s="515" t="s">
        <v>451</v>
      </c>
      <c r="B155" s="515"/>
      <c r="C155" s="437">
        <f t="shared" si="13"/>
        <v>1238.3466666666666</v>
      </c>
      <c r="D155" s="437">
        <f t="shared" si="13"/>
        <v>2972.5841200000004</v>
      </c>
      <c r="E155" s="437">
        <f t="shared" si="13"/>
        <v>1473.8750666666665</v>
      </c>
      <c r="F155" s="437">
        <f t="shared" si="13"/>
        <v>1654.3108786666664</v>
      </c>
      <c r="G155" s="437">
        <f t="shared" si="13"/>
        <v>1835.9369586666667</v>
      </c>
      <c r="H155" s="437">
        <f t="shared" si="13"/>
        <v>1986.1114558133331</v>
      </c>
    </row>
    <row r="156" spans="1:8">
      <c r="A156" s="516" t="s">
        <v>462</v>
      </c>
      <c r="B156" s="516"/>
      <c r="C156" s="437">
        <f t="shared" si="13"/>
        <v>0</v>
      </c>
      <c r="D156" s="437">
        <f t="shared" si="13"/>
        <v>0</v>
      </c>
      <c r="E156" s="437">
        <f t="shared" si="13"/>
        <v>0</v>
      </c>
      <c r="F156" s="437">
        <f t="shared" si="13"/>
        <v>0</v>
      </c>
      <c r="G156" s="437">
        <f t="shared" si="13"/>
        <v>0</v>
      </c>
      <c r="H156" s="437">
        <f t="shared" si="13"/>
        <v>0</v>
      </c>
    </row>
    <row r="157" spans="1:8">
      <c r="A157" s="515" t="s">
        <v>461</v>
      </c>
      <c r="B157" s="515"/>
      <c r="C157" s="437">
        <f t="shared" si="13"/>
        <v>1082.8</v>
      </c>
      <c r="D157" s="437">
        <f t="shared" si="13"/>
        <v>833.43480000000011</v>
      </c>
      <c r="E157" s="437">
        <f t="shared" si="13"/>
        <v>1305.2160000000001</v>
      </c>
      <c r="F157" s="437">
        <f t="shared" si="13"/>
        <v>1446.6432400000003</v>
      </c>
      <c r="G157" s="437">
        <f t="shared" si="13"/>
        <v>1566.3127600000003</v>
      </c>
      <c r="H157" s="437">
        <f t="shared" si="13"/>
        <v>1694.1639408000003</v>
      </c>
    </row>
    <row r="158" spans="1:8">
      <c r="A158" s="189" t="s">
        <v>400</v>
      </c>
      <c r="B158" s="83"/>
      <c r="C158" s="83"/>
      <c r="D158" s="83"/>
      <c r="E158" s="83"/>
      <c r="F158" s="83"/>
      <c r="G158" s="83"/>
      <c r="H158" s="83"/>
    </row>
    <row r="159" spans="1:8">
      <c r="A159" s="189" t="s">
        <v>401</v>
      </c>
      <c r="B159" s="83"/>
      <c r="C159" s="83"/>
      <c r="D159" s="83"/>
      <c r="E159" s="83"/>
      <c r="F159" s="83"/>
      <c r="G159" s="83"/>
      <c r="H159" s="83"/>
    </row>
  </sheetData>
  <mergeCells count="107">
    <mergeCell ref="A157:B157"/>
    <mergeCell ref="A151:B151"/>
    <mergeCell ref="A152:B152"/>
    <mergeCell ref="A153:B153"/>
    <mergeCell ref="A154:B154"/>
    <mergeCell ref="A156:B156"/>
    <mergeCell ref="A146:B146"/>
    <mergeCell ref="A147:B147"/>
    <mergeCell ref="A148:B148"/>
    <mergeCell ref="A149:B149"/>
    <mergeCell ref="A150:B150"/>
    <mergeCell ref="A141:B141"/>
    <mergeCell ref="A142:B142"/>
    <mergeCell ref="A143:B143"/>
    <mergeCell ref="A144:B144"/>
    <mergeCell ref="A145:B145"/>
    <mergeCell ref="A136:B136"/>
    <mergeCell ref="A137:B137"/>
    <mergeCell ref="A138:B138"/>
    <mergeCell ref="A139:B139"/>
    <mergeCell ref="A140:B140"/>
    <mergeCell ref="A131:B131"/>
    <mergeCell ref="A132:B132"/>
    <mergeCell ref="A133:B133"/>
    <mergeCell ref="A134:B134"/>
    <mergeCell ref="A135:B135"/>
    <mergeCell ref="A126:B126"/>
    <mergeCell ref="A127:B127"/>
    <mergeCell ref="A128:B128"/>
    <mergeCell ref="A129:B129"/>
    <mergeCell ref="A130:B130"/>
    <mergeCell ref="A125:B125"/>
    <mergeCell ref="A119:B119"/>
    <mergeCell ref="A120:B120"/>
    <mergeCell ref="A43:B43"/>
    <mergeCell ref="A44:B44"/>
    <mergeCell ref="A45:B45"/>
    <mergeCell ref="A114:B114"/>
    <mergeCell ref="A115:B115"/>
    <mergeCell ref="A116:B116"/>
    <mergeCell ref="A117:B117"/>
    <mergeCell ref="A118:B118"/>
    <mergeCell ref="A109:B109"/>
    <mergeCell ref="A110:B110"/>
    <mergeCell ref="A111:B111"/>
    <mergeCell ref="A112:B112"/>
    <mergeCell ref="A113:B113"/>
    <mergeCell ref="A104:B104"/>
    <mergeCell ref="A105:B105"/>
    <mergeCell ref="A106:B106"/>
    <mergeCell ref="A107:B107"/>
    <mergeCell ref="A108:B108"/>
    <mergeCell ref="A99:B99"/>
    <mergeCell ref="A100:B100"/>
    <mergeCell ref="A101:B101"/>
    <mergeCell ref="A82:B82"/>
    <mergeCell ref="A88:B88"/>
    <mergeCell ref="A74:B74"/>
    <mergeCell ref="A75:B75"/>
    <mergeCell ref="A76:B76"/>
    <mergeCell ref="A77:B77"/>
    <mergeCell ref="A78:B78"/>
    <mergeCell ref="A102:B102"/>
    <mergeCell ref="A103:B103"/>
    <mergeCell ref="A94:B94"/>
    <mergeCell ref="A95:B95"/>
    <mergeCell ref="A96:B96"/>
    <mergeCell ref="A97:B97"/>
    <mergeCell ref="A98:B98"/>
    <mergeCell ref="A89:B89"/>
    <mergeCell ref="A90:B90"/>
    <mergeCell ref="A91:B91"/>
    <mergeCell ref="A92:B92"/>
    <mergeCell ref="A93:B93"/>
    <mergeCell ref="A73:B73"/>
    <mergeCell ref="A64:B64"/>
    <mergeCell ref="A65:B65"/>
    <mergeCell ref="A66:B66"/>
    <mergeCell ref="A67:B67"/>
    <mergeCell ref="A68:B68"/>
    <mergeCell ref="A79:B79"/>
    <mergeCell ref="A80:B80"/>
    <mergeCell ref="A81:B81"/>
    <mergeCell ref="A59:B59"/>
    <mergeCell ref="A60:B60"/>
    <mergeCell ref="A61:B61"/>
    <mergeCell ref="A62:B62"/>
    <mergeCell ref="A63:B63"/>
    <mergeCell ref="A124:B124"/>
    <mergeCell ref="A155:B155"/>
    <mergeCell ref="A4:H4"/>
    <mergeCell ref="A46:B46"/>
    <mergeCell ref="A49:B49"/>
    <mergeCell ref="A87:B87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69:B69"/>
    <mergeCell ref="A70:B70"/>
    <mergeCell ref="A71:B71"/>
    <mergeCell ref="A72:B72"/>
  </mergeCells>
  <phoneticPr fontId="18" type="noConversion"/>
  <printOptions horizontalCentered="1"/>
  <pageMargins left="0.75" right="0.75" top="0.39370078740157483" bottom="0.39370078740157483" header="0.51181102362204722" footer="0.39370078740157483"/>
  <pageSetup paperSize="9" scale="66" orientation="portrait" r:id="rId1"/>
  <headerFooter alignWithMargins="0"/>
  <ignoredErrors>
    <ignoredError sqref="E46:H46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17</vt:i4>
      </vt:variant>
      <vt:variant>
        <vt:lpstr>Intervalos com nome</vt:lpstr>
      </vt:variant>
      <vt:variant>
        <vt:i4>20</vt:i4>
      </vt:variant>
    </vt:vector>
  </HeadingPairs>
  <TitlesOfParts>
    <vt:vector size="37" baseType="lpstr">
      <vt:lpstr>Regras de Utilização</vt:lpstr>
      <vt:lpstr>Pressupostos</vt:lpstr>
      <vt:lpstr>VN</vt:lpstr>
      <vt:lpstr>CMVMC</vt:lpstr>
      <vt:lpstr>FSE</vt:lpstr>
      <vt:lpstr>Gastos com Pessoal</vt:lpstr>
      <vt:lpstr>FundoManeio</vt:lpstr>
      <vt:lpstr>Investimento</vt:lpstr>
      <vt:lpstr>Financiamento</vt:lpstr>
      <vt:lpstr>Ponto Crítico</vt:lpstr>
      <vt:lpstr>DR</vt:lpstr>
      <vt:lpstr>Cash Flow</vt:lpstr>
      <vt:lpstr>PlanoFinanceiro</vt:lpstr>
      <vt:lpstr>Balanço</vt:lpstr>
      <vt:lpstr>Indicadores</vt:lpstr>
      <vt:lpstr>Avaliação</vt:lpstr>
      <vt:lpstr>Calculos Auxiliares</vt:lpstr>
      <vt:lpstr>Avaliação!Área_de_Impressão</vt:lpstr>
      <vt:lpstr>Balanço!Área_de_Impressão</vt:lpstr>
      <vt:lpstr>'Calculos Auxiliares'!Área_de_Impressão</vt:lpstr>
      <vt:lpstr>'Cash Flow'!Área_de_Impressão</vt:lpstr>
      <vt:lpstr>CMVMC!Área_de_Impressão</vt:lpstr>
      <vt:lpstr>DR!Área_de_Impressão</vt:lpstr>
      <vt:lpstr>Financiamento!Área_de_Impressão</vt:lpstr>
      <vt:lpstr>FSE!Área_de_Impressão</vt:lpstr>
      <vt:lpstr>FundoManeio!Área_de_Impressão</vt:lpstr>
      <vt:lpstr>'Gastos com Pessoal'!Área_de_Impressão</vt:lpstr>
      <vt:lpstr>Indicadores!Área_de_Impressão</vt:lpstr>
      <vt:lpstr>Investimento!Área_de_Impressão</vt:lpstr>
      <vt:lpstr>PlanoFinanceiro!Área_de_Impressão</vt:lpstr>
      <vt:lpstr>'Ponto Crítico'!Área_de_Impressão</vt:lpstr>
      <vt:lpstr>Pressupostos!Área_de_Impressão</vt:lpstr>
      <vt:lpstr>'Regras de Utilização'!Área_de_Impressão</vt:lpstr>
      <vt:lpstr>VN!Área_de_Impressão</vt:lpstr>
      <vt:lpstr>Financiamento!Títulos_de_Impressão</vt:lpstr>
      <vt:lpstr>'Gastos com Pessoal'!Títulos_de_Impressão</vt:lpstr>
      <vt:lpstr>VN!Títulos_de_Impressão</vt:lpstr>
    </vt:vector>
  </TitlesOfParts>
  <Company>SBI Consulting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SBI Consulting</dc:creator>
  <cp:lastModifiedBy>Fatinha</cp:lastModifiedBy>
  <cp:lastPrinted>2010-02-23T17:34:21Z</cp:lastPrinted>
  <dcterms:created xsi:type="dcterms:W3CDTF">2004-06-30T10:12:30Z</dcterms:created>
  <dcterms:modified xsi:type="dcterms:W3CDTF">2012-02-19T15:26:38Z</dcterms:modified>
</cp:coreProperties>
</file>