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 firstSheet="3" activeTab="7"/>
  </bookViews>
  <sheets>
    <sheet name="Diário de Compras-Vendas" sheetId="1" r:id="rId1"/>
    <sheet name="Ficha de Valorimetria" sheetId="5" r:id="rId2"/>
    <sheet name="Diário de Gastos e Diversos" sheetId="2" r:id="rId3"/>
    <sheet name="Diário Op. de Fim de Exercício" sheetId="3" r:id="rId4"/>
    <sheet name="INFORMAÇÃO" sheetId="7" r:id="rId5"/>
    <sheet name="Apuramento do IVA" sheetId="6" r:id="rId6"/>
    <sheet name="Operações" sheetId="8" r:id="rId7"/>
    <sheet name="Balanço e Demons. Resultados" sheetId="4" r:id="rId8"/>
  </sheets>
  <definedNames>
    <definedName name="_xlnm.Print_Area" localSheetId="7">'Balanço e Demons. Resultados'!$A$1:$K$58</definedName>
    <definedName name="_xlnm.Print_Area" localSheetId="0">'Diário de Compras-Vendas'!$A$1:$S$63</definedName>
    <definedName name="_xlnm.Print_Area" localSheetId="1">'Ficha de Valorimetria'!$A$1:$R$21</definedName>
  </definedNames>
  <calcPr calcId="145621"/>
</workbook>
</file>

<file path=xl/calcChain.xml><?xml version="1.0" encoding="utf-8"?>
<calcChain xmlns="http://schemas.openxmlformats.org/spreadsheetml/2006/main">
  <c r="F25" i="4" l="1"/>
  <c r="F18" i="4"/>
  <c r="F11" i="4"/>
  <c r="F10" i="4"/>
  <c r="F17" i="4"/>
  <c r="J8" i="4" s="1"/>
  <c r="F5" i="4"/>
  <c r="J15" i="4"/>
  <c r="K11" i="4"/>
  <c r="J16" i="4"/>
  <c r="F9" i="4"/>
  <c r="H20" i="5"/>
  <c r="F21" i="4"/>
  <c r="AK25" i="8"/>
  <c r="F13" i="4"/>
  <c r="L20" i="8"/>
  <c r="K69" i="8"/>
  <c r="K72" i="8" s="1"/>
  <c r="K68" i="8"/>
  <c r="J68" i="8"/>
  <c r="I51" i="8"/>
  <c r="L19" i="8" s="1"/>
  <c r="J51" i="8"/>
  <c r="L21" i="8"/>
  <c r="E29" i="8"/>
  <c r="R10" i="8"/>
  <c r="K31" i="8"/>
  <c r="J43" i="8"/>
  <c r="C62" i="8"/>
  <c r="C61" i="8"/>
  <c r="AS5" i="8"/>
  <c r="L18" i="8"/>
  <c r="J50" i="4"/>
  <c r="J49" i="4"/>
  <c r="E59" i="8" l="1"/>
  <c r="D58" i="8"/>
  <c r="D57" i="8"/>
  <c r="C58" i="8"/>
  <c r="C57" i="8"/>
  <c r="J47" i="4"/>
  <c r="J21" i="4"/>
  <c r="X55" i="8"/>
  <c r="Q26" i="8"/>
  <c r="P26" i="8"/>
  <c r="G71" i="2"/>
  <c r="P54" i="8"/>
  <c r="G67" i="2"/>
  <c r="G66" i="2"/>
  <c r="J39" i="8"/>
  <c r="AZ26" i="8"/>
  <c r="Q62" i="8" s="1"/>
  <c r="N46" i="8"/>
  <c r="N47" i="8"/>
  <c r="BA4" i="8"/>
  <c r="J41" i="8"/>
  <c r="AT11" i="8"/>
  <c r="G16" i="5"/>
  <c r="H14" i="5"/>
  <c r="G4" i="8"/>
  <c r="J22" i="4" s="1"/>
  <c r="Q39" i="8"/>
  <c r="P39" i="8"/>
  <c r="Q38" i="8"/>
  <c r="D25" i="8"/>
  <c r="G14" i="3"/>
  <c r="G12" i="3"/>
  <c r="G11" i="3"/>
  <c r="G10" i="3"/>
  <c r="K21" i="7"/>
  <c r="K16" i="7"/>
  <c r="K17" i="7"/>
  <c r="K15" i="7"/>
  <c r="J15" i="7"/>
  <c r="J16" i="7"/>
  <c r="J21" i="7"/>
  <c r="G33" i="2"/>
  <c r="L17" i="8"/>
  <c r="L16" i="8"/>
  <c r="G6" i="8"/>
  <c r="X54" i="8"/>
  <c r="AE6" i="8"/>
  <c r="P55" i="8"/>
  <c r="L15" i="8"/>
  <c r="J40" i="8"/>
  <c r="L14" i="8"/>
  <c r="K56" i="2"/>
  <c r="G58" i="2" s="1"/>
  <c r="I42" i="8" l="1"/>
  <c r="J22" i="7"/>
  <c r="G57" i="2"/>
  <c r="AL9" i="8" s="1"/>
  <c r="AL8" i="8" l="1"/>
  <c r="G60" i="2"/>
  <c r="G47" i="2"/>
  <c r="AR26" i="8"/>
  <c r="S46" i="8" l="1"/>
  <c r="G30" i="2"/>
  <c r="G24" i="2"/>
  <c r="G18" i="2"/>
  <c r="G11" i="2"/>
  <c r="G10" i="2"/>
  <c r="G9" i="2"/>
  <c r="G8" i="2"/>
  <c r="D27" i="8"/>
  <c r="AE27" i="8"/>
  <c r="AD38" i="8"/>
  <c r="I26" i="8" s="1"/>
  <c r="AE26" i="8"/>
  <c r="AE5" i="8"/>
  <c r="J26" i="8" s="1"/>
  <c r="AK26" i="8" s="1"/>
  <c r="AE25" i="8"/>
  <c r="AE4" i="8"/>
  <c r="J25" i="8" s="1"/>
  <c r="W6" i="8"/>
  <c r="P6" i="8" s="1"/>
  <c r="P5" i="8"/>
  <c r="Q25" i="8" s="1"/>
  <c r="W5" i="8"/>
  <c r="P4" i="8"/>
  <c r="W4" i="8"/>
  <c r="X25" i="8" s="1"/>
  <c r="I24" i="7"/>
  <c r="F10" i="7"/>
  <c r="K21" i="4"/>
  <c r="J43" i="4" l="1"/>
  <c r="AZ25" i="8"/>
  <c r="L4" i="8"/>
  <c r="AL38" i="8"/>
  <c r="I27" i="8" s="1"/>
  <c r="D26" i="8"/>
  <c r="P38" i="8" s="1"/>
  <c r="G12" i="2"/>
  <c r="G13" i="2"/>
  <c r="L6" i="8"/>
  <c r="AR25" i="8"/>
  <c r="AL5" i="8"/>
  <c r="L8" i="8"/>
  <c r="G6" i="3" l="1"/>
  <c r="J11" i="4" s="1"/>
  <c r="J9" i="4"/>
  <c r="J33" i="4"/>
  <c r="J32" i="4"/>
  <c r="K12" i="4"/>
  <c r="K24" i="4" s="1"/>
  <c r="L54" i="4" s="1"/>
  <c r="K52" i="4"/>
  <c r="K45" i="4"/>
  <c r="J45" i="4"/>
  <c r="K39" i="4"/>
  <c r="G73" i="2"/>
  <c r="G83" i="2"/>
  <c r="G82" i="2"/>
  <c r="G29" i="1"/>
  <c r="G53" i="2"/>
  <c r="G48" i="2"/>
  <c r="L5" i="8" s="1"/>
  <c r="G8" i="3"/>
  <c r="G19" i="3"/>
  <c r="G18" i="3" s="1"/>
  <c r="E16" i="5"/>
  <c r="E15" i="5"/>
  <c r="E14" i="5"/>
  <c r="E12" i="5"/>
  <c r="G40" i="1" s="1"/>
  <c r="E11" i="5"/>
  <c r="E10" i="5"/>
  <c r="E9" i="5"/>
  <c r="E8" i="5"/>
  <c r="H16" i="5"/>
  <c r="G60" i="1" s="1"/>
  <c r="H15" i="5"/>
  <c r="H13" i="5"/>
  <c r="H12" i="5"/>
  <c r="H9" i="5"/>
  <c r="G61" i="2"/>
  <c r="L12" i="8" s="1"/>
  <c r="H8" i="5"/>
  <c r="G21" i="1" s="1"/>
  <c r="I7" i="5"/>
  <c r="I8" i="5" s="1"/>
  <c r="I9" i="5" s="1"/>
  <c r="I10" i="5" s="1"/>
  <c r="I11" i="5" s="1"/>
  <c r="I12" i="5" s="1"/>
  <c r="I13" i="5" s="1"/>
  <c r="I14" i="5" s="1"/>
  <c r="I15" i="5" s="1"/>
  <c r="I16" i="5" s="1"/>
  <c r="K6" i="5"/>
  <c r="E7" i="5"/>
  <c r="G51" i="1"/>
  <c r="G52" i="1" s="1"/>
  <c r="G39" i="1"/>
  <c r="G39" i="2"/>
  <c r="G40" i="2" s="1"/>
  <c r="G42" i="2" s="1"/>
  <c r="G43" i="2" s="1"/>
  <c r="G38" i="2"/>
  <c r="G37" i="2"/>
  <c r="G26" i="2"/>
  <c r="G20" i="2"/>
  <c r="G16" i="2"/>
  <c r="G15" i="2"/>
  <c r="G56" i="1"/>
  <c r="G59" i="1" s="1"/>
  <c r="G44" i="1"/>
  <c r="G43" i="1" s="1"/>
  <c r="G42" i="1" s="1"/>
  <c r="G45" i="1" s="1"/>
  <c r="G35" i="1"/>
  <c r="G34" i="1" s="1"/>
  <c r="G33" i="1" s="1"/>
  <c r="G25" i="1"/>
  <c r="G24" i="1" s="1"/>
  <c r="G23" i="1" s="1"/>
  <c r="G20" i="1"/>
  <c r="G14" i="1"/>
  <c r="G15" i="1" s="1"/>
  <c r="G8" i="1"/>
  <c r="G7" i="1" s="1"/>
  <c r="G6" i="1" s="1"/>
  <c r="AS4" i="8" l="1"/>
  <c r="L9" i="8"/>
  <c r="P8" i="8" s="1"/>
  <c r="Q8" i="8" s="1"/>
  <c r="G28" i="2"/>
  <c r="AR27" i="8"/>
  <c r="L7" i="8"/>
  <c r="P7" i="8" s="1"/>
  <c r="G22" i="2"/>
  <c r="J12" i="4"/>
  <c r="J24" i="4" s="1"/>
  <c r="K53" i="4"/>
  <c r="K54" i="4" s="1"/>
  <c r="G54" i="2"/>
  <c r="P53" i="8" s="1"/>
  <c r="J20" i="4" s="1"/>
  <c r="J7" i="5"/>
  <c r="J8" i="5" s="1"/>
  <c r="G30" i="1"/>
  <c r="E11" i="6" s="1"/>
  <c r="G31" i="1"/>
  <c r="K8" i="5"/>
  <c r="J9" i="5" s="1"/>
  <c r="G10" i="5" s="1"/>
  <c r="G11" i="5" s="1"/>
  <c r="H11" i="5" s="1"/>
  <c r="G36" i="1" s="1"/>
  <c r="E7" i="6"/>
  <c r="K7" i="5"/>
  <c r="G38" i="1"/>
  <c r="G50" i="1"/>
  <c r="G12" i="1"/>
  <c r="G13" i="1" s="1"/>
  <c r="E5" i="6" s="1"/>
  <c r="G18" i="1"/>
  <c r="G19" i="1" s="1"/>
  <c r="G9" i="1"/>
  <c r="G46" i="1"/>
  <c r="E12" i="6" s="1"/>
  <c r="G26" i="1"/>
  <c r="G41" i="2"/>
  <c r="G47" i="1"/>
  <c r="G48" i="1" s="1"/>
  <c r="G55" i="1"/>
  <c r="G58" i="1" s="1"/>
  <c r="E9" i="6" s="1"/>
  <c r="Q7" i="8" l="1"/>
  <c r="AL4" i="8"/>
  <c r="G21" i="2"/>
  <c r="G51" i="2"/>
  <c r="L11" i="8" s="1"/>
  <c r="AL6" i="8"/>
  <c r="G27" i="2"/>
  <c r="F19" i="4"/>
  <c r="F22" i="4" s="1"/>
  <c r="F26" i="4" s="1"/>
  <c r="F28" i="4" s="1"/>
  <c r="J48" i="4" s="1"/>
  <c r="J52" i="4" s="1"/>
  <c r="J53" i="4" s="1"/>
  <c r="K9" i="5"/>
  <c r="H10" i="5"/>
  <c r="G17" i="1"/>
  <c r="E10" i="6"/>
  <c r="G11" i="1"/>
  <c r="G37" i="1"/>
  <c r="E8" i="6"/>
  <c r="G28" i="1"/>
  <c r="G49" i="1"/>
  <c r="E13" i="6"/>
  <c r="J10" i="5"/>
  <c r="J11" i="5" s="1"/>
  <c r="G54" i="1"/>
  <c r="G57" i="1" s="1"/>
  <c r="E6" i="6" l="1"/>
  <c r="E14" i="6" s="1"/>
  <c r="K10" i="5"/>
  <c r="F29" i="4"/>
  <c r="E15" i="6"/>
  <c r="K11" i="5"/>
  <c r="J12" i="5"/>
  <c r="K12" i="5" s="1"/>
  <c r="E13" i="5"/>
  <c r="J38" i="4" l="1"/>
  <c r="J39" i="4" s="1"/>
  <c r="J54" i="4" s="1"/>
  <c r="J58" i="4" s="1"/>
  <c r="E16" i="6"/>
  <c r="J13" i="5"/>
  <c r="K13" i="5" s="1"/>
  <c r="J14" i="5" s="1"/>
  <c r="K14" i="5" l="1"/>
  <c r="J15" i="5"/>
  <c r="K15" i="5" l="1"/>
  <c r="J16" i="5"/>
  <c r="K16" i="5" s="1"/>
</calcChain>
</file>

<file path=xl/comments1.xml><?xml version="1.0" encoding="utf-8"?>
<comments xmlns="http://schemas.openxmlformats.org/spreadsheetml/2006/main">
  <authors>
    <author>Autor</author>
  </authors>
  <commentList>
    <comment ref="V6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600 UNIDADES DEVOLVIDAS, MAS SEM NC</t>
        </r>
      </text>
    </comment>
    <comment ref="W45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CRÉDITOS RECLAMADOS JUDICIALMENTE</t>
        </r>
      </text>
    </comment>
    <comment ref="X54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AINDA NÃO TEMOS FATURA
</t>
        </r>
      </text>
    </comment>
    <comment ref="X55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AINDA NÃO TEMOS FATURA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900000*30% O NAVIO
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3€*18000
</t>
        </r>
      </text>
    </comment>
    <comment ref="K51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GASTOS A RECONHECER</t>
        </r>
      </text>
    </comment>
  </commentList>
</comments>
</file>

<file path=xl/sharedStrings.xml><?xml version="1.0" encoding="utf-8"?>
<sst xmlns="http://schemas.openxmlformats.org/spreadsheetml/2006/main" count="580" uniqueCount="296">
  <si>
    <t>Data</t>
  </si>
  <si>
    <t>Nr.</t>
  </si>
  <si>
    <t>Descrição</t>
  </si>
  <si>
    <t>Débito</t>
  </si>
  <si>
    <t>Crédito</t>
  </si>
  <si>
    <t>Valor</t>
  </si>
  <si>
    <t>Aquisição de Mercadorias</t>
  </si>
  <si>
    <t>-</t>
  </si>
  <si>
    <t>12-03-N</t>
  </si>
  <si>
    <t>30-12-N-1</t>
  </si>
  <si>
    <t>21-03-N</t>
  </si>
  <si>
    <t>15-09-N</t>
  </si>
  <si>
    <t>03-10-N</t>
  </si>
  <si>
    <t>15-12-N</t>
  </si>
  <si>
    <t>Desconto comercial de 30%</t>
  </si>
  <si>
    <t>Desconto comercial de 10%</t>
  </si>
  <si>
    <t>Entrada em armazém</t>
  </si>
  <si>
    <t>Saída de armazém</t>
  </si>
  <si>
    <t>N</t>
  </si>
  <si>
    <t>242.1</t>
  </si>
  <si>
    <t>242.2</t>
  </si>
  <si>
    <t>245.1</t>
  </si>
  <si>
    <t>231.1</t>
  </si>
  <si>
    <t>231.2</t>
  </si>
  <si>
    <t>Salários
(Orgãos Sociais e Pessoal)</t>
  </si>
  <si>
    <t>245.2</t>
  </si>
  <si>
    <t>635.1</t>
  </si>
  <si>
    <t>635.2</t>
  </si>
  <si>
    <t>Gasto com comunicação</t>
  </si>
  <si>
    <t>Gasto com gasolina</t>
  </si>
  <si>
    <t>Gasto com material
 de escritório</t>
  </si>
  <si>
    <t>Gasto com deslocações
 e estadias</t>
  </si>
  <si>
    <t>31-3-N</t>
  </si>
  <si>
    <t>Distribuição de resultados 
líquidos (38.000€ de N-1)</t>
  </si>
  <si>
    <t>Entrega de IRS ao Estado</t>
  </si>
  <si>
    <t>31-08-N</t>
  </si>
  <si>
    <t>Contrato de Leasing</t>
  </si>
  <si>
    <t>01-12-N</t>
  </si>
  <si>
    <t>31-12-N</t>
  </si>
  <si>
    <t>Amortização Patente</t>
  </si>
  <si>
    <t>20-09-N</t>
  </si>
  <si>
    <t>V-2</t>
  </si>
  <si>
    <t>C-3</t>
  </si>
  <si>
    <t>Devolução de 1000 unidades</t>
  </si>
  <si>
    <t>C-2</t>
  </si>
  <si>
    <t>Devolução de 600 unidades</t>
  </si>
  <si>
    <t>Aquisição de mercadorias
A Pronto Pagamento
(10% de desconto financ.)</t>
  </si>
  <si>
    <t>Aquisição de Mercadorias
A Crédito</t>
  </si>
  <si>
    <t>Venda de Mercadorias
A Pronto Pagamento
(10% de desconto financ.)</t>
  </si>
  <si>
    <t>Venda de Mercadorias
A Crédito</t>
  </si>
  <si>
    <t>N+1</t>
  </si>
  <si>
    <t>Quantidade</t>
  </si>
  <si>
    <t>Preço Unit.</t>
  </si>
  <si>
    <t>Entrada</t>
  </si>
  <si>
    <t>Saídas</t>
  </si>
  <si>
    <t>Armazém</t>
  </si>
  <si>
    <t>Oferta de 25 unidades</t>
  </si>
  <si>
    <t>15-12-N
 (Desconto Comercial)</t>
  </si>
  <si>
    <t>18-12-N</t>
  </si>
  <si>
    <t>15-12-N
 (Devolução)</t>
  </si>
  <si>
    <t>Processo Judicial</t>
  </si>
  <si>
    <t>65.11</t>
  </si>
  <si>
    <t>69.1</t>
  </si>
  <si>
    <t>12.1</t>
  </si>
  <si>
    <t>Juros de Depósitos à Ordem</t>
  </si>
  <si>
    <t>24.2</t>
  </si>
  <si>
    <t>1-12-N</t>
  </si>
  <si>
    <t>Subsídio</t>
  </si>
  <si>
    <t>Pagamento Seguro</t>
  </si>
  <si>
    <t>Juros (Empréstimo em N-1)</t>
  </si>
  <si>
    <t>C-1</t>
  </si>
  <si>
    <t>V-1</t>
  </si>
  <si>
    <t>G-1</t>
  </si>
  <si>
    <t>G-2</t>
  </si>
  <si>
    <t>G-3</t>
  </si>
  <si>
    <t>OP-1</t>
  </si>
  <si>
    <t>G-4</t>
  </si>
  <si>
    <t>OP-2</t>
  </si>
  <si>
    <t>OP-3</t>
  </si>
  <si>
    <t>OI-5</t>
  </si>
  <si>
    <t>OI-2</t>
  </si>
  <si>
    <t>OI-3</t>
  </si>
  <si>
    <t>22.1</t>
  </si>
  <si>
    <t>Pagamento a fornecedores
(N-1)</t>
  </si>
  <si>
    <t>OI-4</t>
  </si>
  <si>
    <t>Pagamento a outros credores (N-1)</t>
  </si>
  <si>
    <t>Recibimento de dívidas de
outros clientes</t>
  </si>
  <si>
    <t>Factura em mora</t>
  </si>
  <si>
    <t>21.9</t>
  </si>
  <si>
    <t>78.3</t>
  </si>
  <si>
    <t>21.2</t>
  </si>
  <si>
    <t>Apuramento
do IVA</t>
  </si>
  <si>
    <t>ACTIVO</t>
  </si>
  <si>
    <t>Activo Corrente</t>
  </si>
  <si>
    <t>Inventários</t>
  </si>
  <si>
    <t>Clientes</t>
  </si>
  <si>
    <t>Activos fixos tangíveis</t>
  </si>
  <si>
    <t>Passivo não corrente</t>
  </si>
  <si>
    <t>Fornecedores</t>
  </si>
  <si>
    <t>Estado e outros entes públicos</t>
  </si>
  <si>
    <t>Outras contas a pagar</t>
  </si>
  <si>
    <t>Encargos sobre a 
remuneração (patronais)</t>
  </si>
  <si>
    <t>V-4</t>
  </si>
  <si>
    <t>Resultados líquido (N-1)</t>
  </si>
  <si>
    <t>Resultados transitados</t>
  </si>
  <si>
    <t>N-1</t>
  </si>
  <si>
    <t>1-1-N</t>
  </si>
  <si>
    <t>V-3</t>
  </si>
  <si>
    <t>OP-5</t>
  </si>
  <si>
    <t>28.1</t>
  </si>
  <si>
    <t>Pagamento da renda do 
periodo (1/N+1)</t>
  </si>
  <si>
    <t>28.2</t>
  </si>
  <si>
    <t>78.83</t>
  </si>
  <si>
    <t>31-11-N</t>
  </si>
  <si>
    <t>Pagamento de Rendas
(ALD)</t>
  </si>
  <si>
    <t>Pagamento 1ª Renda
(Leasing)</t>
  </si>
  <si>
    <t>Subsídios compra viatura comercial
(Ganhos deferidos)</t>
  </si>
  <si>
    <t>Pagamento 2ª Renda
Antecipada
(Leasing)</t>
  </si>
  <si>
    <t>Saldar conta
do IVA</t>
  </si>
  <si>
    <t>2432.1</t>
  </si>
  <si>
    <t>2433.1</t>
  </si>
  <si>
    <t>2433.2</t>
  </si>
  <si>
    <t>2434.1</t>
  </si>
  <si>
    <t>2434.2</t>
  </si>
  <si>
    <t>2432.2</t>
  </si>
  <si>
    <t>2432.3</t>
  </si>
  <si>
    <t>Pagamento
a pagar</t>
  </si>
  <si>
    <t>DIÁRIO DE COMPRA E VENDA</t>
  </si>
  <si>
    <t>DIÁRIO DE FIM DE EXERCÍCIO</t>
  </si>
  <si>
    <t>DIÁRIO DE GASTOS E RESTANTES OPERAÇÕES</t>
  </si>
  <si>
    <t>APURAMENTO DO IVA</t>
  </si>
  <si>
    <t>Situação Inicial</t>
  </si>
  <si>
    <t>Entrada de armazém</t>
  </si>
  <si>
    <t>Aquisição de 30% da 
empresa "O Navio"</t>
  </si>
  <si>
    <t>41.21</t>
  </si>
  <si>
    <t>Resultado líquidos da
empresa "O Navio"</t>
  </si>
  <si>
    <t>78.71</t>
  </si>
  <si>
    <t>Passivo corrente</t>
  </si>
  <si>
    <t>Se for ALD automóvel o iva não é dedutível</t>
  </si>
  <si>
    <t>de clientes cobrança duvidosa 217 e transferir o valor total da 211</t>
  </si>
  <si>
    <t>recebimento de dívidas de outros clientes, tem de entrar dinheiro em caixa, contrapartida 2781?</t>
  </si>
  <si>
    <t>Descontos não são saídas, mas reduz ao valor das entradas</t>
  </si>
  <si>
    <t xml:space="preserve">movimento certo para imparidade de valores a receber. Será este o caso? Também dever-se-á criar um conta </t>
  </si>
  <si>
    <t>Dividir em 311 e 318, as 31 têm que estar saldadas</t>
  </si>
  <si>
    <t>???subsídio ao investimento? Se sim pelo SNC vai a capital, pelo IFRS vai a diferimento! Não sei qual o normativo que seguem</t>
  </si>
  <si>
    <t>31-4-N</t>
  </si>
  <si>
    <t>Depreciação Edifício</t>
  </si>
  <si>
    <t>Depreciação de Transporte</t>
  </si>
  <si>
    <t>Depreciação de Eq. Básico</t>
  </si>
  <si>
    <t>FICHA DE VALORIMETRIA</t>
  </si>
  <si>
    <t>Pagamento de dividendos</t>
  </si>
  <si>
    <t>RUBRICAS</t>
  </si>
  <si>
    <t>NOTAS</t>
  </si>
  <si>
    <t>Activo não corrente</t>
  </si>
  <si>
    <t>Activos intangíveis</t>
  </si>
  <si>
    <t>Accionistas/sócios</t>
  </si>
  <si>
    <t>Estados e outros entes públicos</t>
  </si>
  <si>
    <t>Outras contas a receber</t>
  </si>
  <si>
    <t>Diferimentos</t>
  </si>
  <si>
    <t>Caixa e depósitos bancários</t>
  </si>
  <si>
    <t>Total do activo</t>
  </si>
  <si>
    <t>CAPITAL PRÓPRIO E PASSIVO</t>
  </si>
  <si>
    <t>Capital próprio</t>
  </si>
  <si>
    <t>Capital realizado</t>
  </si>
  <si>
    <t>Prémios de emissão</t>
  </si>
  <si>
    <t>Reservas legais</t>
  </si>
  <si>
    <t>Outras reservas</t>
  </si>
  <si>
    <t>Excedentes de revalorização</t>
  </si>
  <si>
    <t>Outras variações no capital próprio</t>
  </si>
  <si>
    <t>Resultado líquido do período</t>
  </si>
  <si>
    <t>Total do capital próprio</t>
  </si>
  <si>
    <t>PASSIVO</t>
  </si>
  <si>
    <t>Accionistas</t>
  </si>
  <si>
    <t>Financiamentos obtidos</t>
  </si>
  <si>
    <t>Outros passivos financeiros</t>
  </si>
  <si>
    <t>Total do passivo</t>
  </si>
  <si>
    <t>Total do capital próprio e do passivo</t>
  </si>
  <si>
    <t>Amortizações Acumuladas</t>
  </si>
  <si>
    <t>BALANÇO EM 31 DE DEZEMBRO DE N</t>
  </si>
  <si>
    <t>Investimento Financeiro</t>
  </si>
  <si>
    <t>PERIODO</t>
  </si>
  <si>
    <t>Imparidades Acumuladas</t>
  </si>
  <si>
    <t>Conta</t>
  </si>
  <si>
    <t>Rendimentos e Gastos</t>
  </si>
  <si>
    <t>Notas</t>
  </si>
  <si>
    <t>Pos</t>
  </si>
  <si>
    <t>Neg</t>
  </si>
  <si>
    <t>71/72</t>
  </si>
  <si>
    <t>Vendas e serviços prestados</t>
  </si>
  <si>
    <t xml:space="preserve"> </t>
  </si>
  <si>
    <t>Subsídios à exploração</t>
  </si>
  <si>
    <t>Variação de Inventários na produção</t>
  </si>
  <si>
    <t>Trabalhos para a própria entidade</t>
  </si>
  <si>
    <t>Custo das mercadorias vendidas e das matérias consumidas</t>
  </si>
  <si>
    <t>Fornecimentos e serviços externos</t>
  </si>
  <si>
    <t>Gastos com pessoal</t>
  </si>
  <si>
    <t>Ajustamentos de inventários (perdas/reversões)</t>
  </si>
  <si>
    <t>Imparidade de dívidas a receber (perdas/reversões)</t>
  </si>
  <si>
    <t>Provisões (aumentos/reduções)</t>
  </si>
  <si>
    <t>7623/8</t>
  </si>
  <si>
    <t>653/8</t>
  </si>
  <si>
    <t>Imparidade de activos não depreciáveis / amortizáveis (perdas/reversões)</t>
  </si>
  <si>
    <t>Aumentos / Reduções de justo valor</t>
  </si>
  <si>
    <t>Outros rendimentos e ganhos</t>
  </si>
  <si>
    <t>Outros gastos e perdas</t>
  </si>
  <si>
    <t>Resultado antes de depreciações, gastos de financiamento e impostos</t>
  </si>
  <si>
    <t>Gastos / reversões de depreciação e de amortização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</si>
  <si>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</si>
  <si>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</si>
  <si>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</si>
  <si>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</si>
  <si>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Impostos sobre o rendimento do periodo</t>
  </si>
  <si>
    <t>Resultado liquido do periodo</t>
  </si>
  <si>
    <t>ANO N</t>
  </si>
  <si>
    <t>Contrato de ALD</t>
  </si>
  <si>
    <t>N-1: Ano de constiuição</t>
  </si>
  <si>
    <t>Investimentos Financeiros</t>
  </si>
  <si>
    <t>Participação de 30%  na empresa O NAVIO</t>
  </si>
  <si>
    <t>Adquirida em Janeiro N-1 ao valor nominal</t>
  </si>
  <si>
    <t>VC Aq.:</t>
  </si>
  <si>
    <t>RLE N-1</t>
  </si>
  <si>
    <t>Ativo Tangivel</t>
  </si>
  <si>
    <t>Edificio</t>
  </si>
  <si>
    <t>Eq. Transporte</t>
  </si>
  <si>
    <t>Eq. Básico</t>
  </si>
  <si>
    <t>VU: 25ANOS</t>
  </si>
  <si>
    <t>VU: 4 ANOS</t>
  </si>
  <si>
    <t>VU: 3 ANOS</t>
  </si>
  <si>
    <t>ATIVO INTANGÍVEL</t>
  </si>
  <si>
    <t>PATENTE AMORTIZADA EM 3 ANOS</t>
  </si>
  <si>
    <t>Mercadorias</t>
  </si>
  <si>
    <t>Lote 18000 unidadeas adquiridas em 30/12/N-1 por 3€</t>
  </si>
  <si>
    <t>COMPRAS</t>
  </si>
  <si>
    <t>78 desc. Fin</t>
  </si>
  <si>
    <t>243 IVA DEDUTIVEL</t>
  </si>
  <si>
    <t>243 IVA REGULARIZAÇÕES</t>
  </si>
  <si>
    <t>DESC. E DEVOLUÇÕES</t>
  </si>
  <si>
    <t>Tenho dúvidas em relação a este movimento.</t>
  </si>
  <si>
    <t>Julgo que os descontos financeiros se aplicam diretamente ao total da fatura, não mexendo no valor do iva</t>
  </si>
  <si>
    <t>o desconto comercial não se aplica ao valor das mercadorias?</t>
  </si>
  <si>
    <t>A nota de crédito foi emitida só em janeiro</t>
  </si>
  <si>
    <t>vendas</t>
  </si>
  <si>
    <t>243 IVA liquidado</t>
  </si>
  <si>
    <t>3-10-N</t>
  </si>
  <si>
    <t>718DESCONTOS</t>
  </si>
  <si>
    <t>Comunicação</t>
  </si>
  <si>
    <r>
      <t>A fórmula de cálculo está incorrecta. O valor já tem IVA, logo para calcular a base será (Valor Total / 1,23)= Valor base -</t>
    </r>
    <r>
      <rPr>
        <sz val="11"/>
        <color theme="3" tint="-0.249977111117893"/>
        <rFont val="Calibri"/>
        <family val="2"/>
        <scheme val="minor"/>
      </rPr>
      <t xml:space="preserve"> erro no cálculo da base</t>
    </r>
  </si>
  <si>
    <r>
      <t xml:space="preserve">A fórmula de cálculo está incorrecta. O valor já tem IVA, logo para calcular a base será (Valor Total / 1,23)= Valor base - </t>
    </r>
    <r>
      <rPr>
        <sz val="11"/>
        <color theme="3" tint="-0.249977111117893"/>
        <rFont val="Calibri"/>
        <family val="2"/>
        <scheme val="minor"/>
      </rPr>
      <t>erro no cálculo da base</t>
    </r>
  </si>
  <si>
    <t>iva incluido</t>
  </si>
  <si>
    <t>mat. Escritório</t>
  </si>
  <si>
    <t>1ªcomercial</t>
  </si>
  <si>
    <t>juros</t>
  </si>
  <si>
    <t>comunicação</t>
  </si>
  <si>
    <t>gasolina</t>
  </si>
  <si>
    <t>deslocaçãoes</t>
  </si>
  <si>
    <t>31/08/N</t>
  </si>
  <si>
    <t>EMPRESTIMO</t>
  </si>
  <si>
    <t>Rendas de automóveis o IVA não é dedutível</t>
  </si>
  <si>
    <t>1ªrenda</t>
  </si>
  <si>
    <t>1ºprestação</t>
  </si>
  <si>
    <t>2ºprestação</t>
  </si>
  <si>
    <t>2ºrenda</t>
  </si>
  <si>
    <t>1ºald</t>
  </si>
  <si>
    <t>creditou</t>
  </si>
  <si>
    <t xml:space="preserve">É NECESSÁRIO DIFERIR: </t>
  </si>
  <si>
    <t>seguros</t>
  </si>
  <si>
    <t>n</t>
  </si>
  <si>
    <t>renda</t>
  </si>
  <si>
    <t>rendas</t>
  </si>
  <si>
    <t>estava em falta o pagamento da renda</t>
  </si>
  <si>
    <t>devolução</t>
  </si>
  <si>
    <t>dev iva</t>
  </si>
  <si>
    <t>dev forn</t>
  </si>
  <si>
    <t>balanço n-1</t>
  </si>
  <si>
    <t>pessoal</t>
  </si>
  <si>
    <t>em "Diários de gastos e diversos"</t>
  </si>
  <si>
    <t>Amortizações N-1</t>
  </si>
  <si>
    <t>Código 2020</t>
  </si>
  <si>
    <t>Código 2375</t>
  </si>
  <si>
    <t xml:space="preserve">Código </t>
  </si>
  <si>
    <t>Amortização</t>
  </si>
  <si>
    <t>VL</t>
  </si>
  <si>
    <t>2ºPRESTAÇÃO</t>
  </si>
  <si>
    <t>Amortização Leasing + ALD</t>
  </si>
  <si>
    <t>JUROS</t>
  </si>
  <si>
    <t>SEGUROS</t>
  </si>
  <si>
    <t>SI</t>
  </si>
  <si>
    <t>PERDA POR IMPARIDADE</t>
  </si>
  <si>
    <t>GASTOS</t>
  </si>
  <si>
    <t>PROVEITOS</t>
  </si>
  <si>
    <t>Provisão de férias</t>
  </si>
  <si>
    <t>conta 635</t>
  </si>
  <si>
    <t>conta 631</t>
  </si>
  <si>
    <t>IRS</t>
  </si>
  <si>
    <t>SS</t>
  </si>
  <si>
    <t>iva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</si>
</sst>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  <numFmt numFmtId="165" formatCode="_-* #,##0.00\ [$€-1]_-;\-* #,##0.00\ [$€-1]_-;_-* &quot;-&quot;??\ [$€-1]_-"/>
    <numFmt numFmtId="166" formatCode="_-* #,##0.00\ [$€-1]_-;\-* #,##0.00\ [$€-1]_-;_-* &quot;-&quot;??\ [$€-1]_-;_-@_-"/>
    <numFmt numFmtId="171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4" tint="-0.499984740745262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8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66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5" fontId="10" fillId="0" borderId="0" applyFont="0" applyFill="0" applyBorder="0" applyAlignment="0" applyProtection="0"/>
  </cellStyleXfs>
  <cellXfs count="37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44" fontId="0" fillId="2" borderId="0" xfId="0" applyNumberFormat="1" applyFill="1"/>
    <xf numFmtId="4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44" fontId="0" fillId="2" borderId="18" xfId="0" applyNumberFormat="1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4" fontId="0" fillId="2" borderId="9" xfId="0" applyNumberFormat="1" applyFill="1" applyBorder="1" applyAlignment="1">
      <alignment horizontal="center"/>
    </xf>
    <xf numFmtId="44" fontId="0" fillId="2" borderId="20" xfId="0" applyNumberFormat="1" applyFont="1" applyFill="1" applyBorder="1" applyAlignment="1">
      <alignment horizontal="center"/>
    </xf>
    <xf numFmtId="44" fontId="0" fillId="2" borderId="18" xfId="0" applyNumberForma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44" fontId="0" fillId="2" borderId="3" xfId="0" applyNumberFormat="1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44" fontId="0" fillId="2" borderId="24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44" fontId="0" fillId="2" borderId="1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4" fontId="0" fillId="2" borderId="18" xfId="0" applyNumberFormat="1" applyFill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4" fontId="0" fillId="2" borderId="20" xfId="0" applyNumberForma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44" fontId="0" fillId="2" borderId="33" xfId="0" applyNumberForma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4" fillId="3" borderId="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4" xfId="0" applyFill="1" applyBorder="1" applyAlignment="1">
      <alignment horizontal="center" wrapText="1"/>
    </xf>
    <xf numFmtId="0" fontId="0" fillId="3" borderId="43" xfId="0" applyFill="1" applyBorder="1" applyAlignment="1">
      <alignment horizontal="center"/>
    </xf>
    <xf numFmtId="0" fontId="4" fillId="4" borderId="26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2" borderId="38" xfId="0" applyFill="1" applyBorder="1" applyAlignment="1"/>
    <xf numFmtId="0" fontId="0" fillId="2" borderId="3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Alignment="1">
      <alignment vertical="center"/>
    </xf>
    <xf numFmtId="0" fontId="5" fillId="2" borderId="0" xfId="0" applyFont="1" applyFill="1"/>
    <xf numFmtId="0" fontId="0" fillId="2" borderId="2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7" fillId="2" borderId="0" xfId="0" applyFont="1" applyFill="1"/>
    <xf numFmtId="0" fontId="6" fillId="2" borderId="38" xfId="0" applyFont="1" applyFill="1" applyBorder="1" applyAlignment="1">
      <alignment horizontal="center"/>
    </xf>
    <xf numFmtId="0" fontId="0" fillId="2" borderId="56" xfId="0" applyFill="1" applyBorder="1"/>
    <xf numFmtId="165" fontId="0" fillId="2" borderId="57" xfId="1" applyFont="1" applyFill="1" applyBorder="1"/>
    <xf numFmtId="0" fontId="7" fillId="2" borderId="38" xfId="0" applyFont="1" applyFill="1" applyBorder="1"/>
    <xf numFmtId="0" fontId="6" fillId="2" borderId="38" xfId="0" applyFont="1" applyFill="1" applyBorder="1"/>
    <xf numFmtId="165" fontId="0" fillId="2" borderId="58" xfId="1" applyFont="1" applyFill="1" applyBorder="1"/>
    <xf numFmtId="0" fontId="7" fillId="2" borderId="56" xfId="0" applyFont="1" applyFill="1" applyBorder="1"/>
    <xf numFmtId="165" fontId="0" fillId="2" borderId="18" xfId="1" applyFont="1" applyFill="1" applyBorder="1"/>
    <xf numFmtId="165" fontId="9" fillId="2" borderId="18" xfId="1" applyFont="1" applyFill="1" applyBorder="1"/>
    <xf numFmtId="165" fontId="9" fillId="2" borderId="59" xfId="1" applyFont="1" applyFill="1" applyBorder="1"/>
    <xf numFmtId="165" fontId="0" fillId="2" borderId="30" xfId="1" applyFont="1" applyFill="1" applyBorder="1"/>
    <xf numFmtId="165" fontId="0" fillId="2" borderId="24" xfId="1" applyFont="1" applyFill="1" applyBorder="1"/>
    <xf numFmtId="165" fontId="7" fillId="2" borderId="57" xfId="1" applyFont="1" applyFill="1" applyBorder="1"/>
    <xf numFmtId="165" fontId="9" fillId="2" borderId="57" xfId="1" applyFont="1" applyFill="1" applyBorder="1"/>
    <xf numFmtId="0" fontId="7" fillId="2" borderId="39" xfId="0" applyFont="1" applyFill="1" applyBorder="1"/>
    <xf numFmtId="0" fontId="7" fillId="2" borderId="61" xfId="0" applyFont="1" applyFill="1" applyBorder="1"/>
    <xf numFmtId="0" fontId="7" fillId="2" borderId="33" xfId="0" applyFont="1" applyFill="1" applyBorder="1"/>
    <xf numFmtId="0" fontId="11" fillId="2" borderId="0" xfId="0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54" xfId="0" applyFont="1" applyFill="1" applyBorder="1" applyAlignment="1">
      <alignment horizontal="center"/>
    </xf>
    <xf numFmtId="0" fontId="0" fillId="2" borderId="0" xfId="0" applyFill="1" applyAlignment="1" applyProtection="1">
      <alignment horizontal="left" vertical="top"/>
    </xf>
    <xf numFmtId="0" fontId="0" fillId="2" borderId="0" xfId="0" applyFont="1" applyFill="1" applyAlignment="1" applyProtection="1">
      <alignment horizontal="left" vertical="top"/>
    </xf>
    <xf numFmtId="49" fontId="7" fillId="2" borderId="65" xfId="0" applyNumberFormat="1" applyFont="1" applyFill="1" applyBorder="1" applyAlignment="1" applyProtection="1">
      <alignment horizontal="center" vertical="top"/>
    </xf>
    <xf numFmtId="49" fontId="7" fillId="2" borderId="66" xfId="0" applyNumberFormat="1" applyFont="1" applyFill="1" applyBorder="1" applyAlignment="1" applyProtection="1">
      <alignment horizontal="center" vertical="top"/>
    </xf>
    <xf numFmtId="0" fontId="7" fillId="2" borderId="67" xfId="0" applyFont="1" applyFill="1" applyBorder="1" applyAlignment="1" applyProtection="1">
      <alignment horizontal="left" vertical="top"/>
    </xf>
    <xf numFmtId="49" fontId="7" fillId="2" borderId="62" xfId="0" applyNumberFormat="1" applyFont="1" applyFill="1" applyBorder="1" applyAlignment="1" applyProtection="1">
      <alignment horizontal="center" vertical="top"/>
    </xf>
    <xf numFmtId="0" fontId="7" fillId="2" borderId="64" xfId="0" applyFont="1" applyFill="1" applyBorder="1" applyAlignment="1" applyProtection="1">
      <alignment horizontal="center" vertical="top"/>
    </xf>
    <xf numFmtId="49" fontId="7" fillId="2" borderId="69" xfId="0" applyNumberFormat="1" applyFont="1" applyFill="1" applyBorder="1" applyAlignment="1" applyProtection="1">
      <alignment horizontal="left" vertical="top"/>
    </xf>
    <xf numFmtId="1" fontId="7" fillId="2" borderId="70" xfId="0" applyNumberFormat="1" applyFont="1" applyFill="1" applyBorder="1" applyAlignment="1" applyProtection="1">
      <alignment horizontal="center" vertical="top"/>
    </xf>
    <xf numFmtId="0" fontId="7" fillId="2" borderId="71" xfId="0" applyFont="1" applyFill="1" applyBorder="1" applyAlignment="1" applyProtection="1">
      <alignment horizontal="center" vertical="top"/>
    </xf>
    <xf numFmtId="49" fontId="7" fillId="2" borderId="71" xfId="0" applyNumberFormat="1" applyFont="1" applyFill="1" applyBorder="1" applyAlignment="1" applyProtection="1">
      <alignment horizontal="center" vertical="top"/>
    </xf>
    <xf numFmtId="0" fontId="7" fillId="2" borderId="70" xfId="0" applyFont="1" applyFill="1" applyBorder="1" applyAlignment="1" applyProtection="1">
      <alignment horizontal="center" vertical="top"/>
    </xf>
    <xf numFmtId="1" fontId="7" fillId="2" borderId="71" xfId="0" applyNumberFormat="1" applyFont="1" applyFill="1" applyBorder="1" applyAlignment="1" applyProtection="1">
      <alignment horizontal="center" vertical="top"/>
    </xf>
    <xf numFmtId="49" fontId="7" fillId="2" borderId="70" xfId="0" applyNumberFormat="1" applyFont="1" applyFill="1" applyBorder="1" applyAlignment="1" applyProtection="1">
      <alignment horizontal="center" vertical="top"/>
    </xf>
    <xf numFmtId="0" fontId="7" fillId="2" borderId="65" xfId="0" applyFont="1" applyFill="1" applyBorder="1" applyAlignment="1" applyProtection="1">
      <alignment horizontal="center" vertical="top"/>
    </xf>
    <xf numFmtId="1" fontId="7" fillId="2" borderId="68" xfId="0" applyNumberFormat="1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left" vertical="top"/>
    </xf>
    <xf numFmtId="49" fontId="7" fillId="2" borderId="69" xfId="0" applyNumberFormat="1" applyFont="1" applyFill="1" applyBorder="1" applyAlignment="1" applyProtection="1">
      <alignment horizontal="right" vertical="top"/>
    </xf>
    <xf numFmtId="0" fontId="7" fillId="2" borderId="69" xfId="0" applyFont="1" applyFill="1" applyBorder="1" applyAlignment="1" applyProtection="1">
      <alignment horizontal="left" vertical="top"/>
    </xf>
    <xf numFmtId="0" fontId="7" fillId="2" borderId="70" xfId="0" applyFont="1" applyFill="1" applyBorder="1" applyAlignment="1" applyProtection="1">
      <alignment horizontal="left" vertical="top"/>
    </xf>
    <xf numFmtId="0" fontId="7" fillId="2" borderId="0" xfId="0" applyFont="1" applyFill="1" applyAlignment="1" applyProtection="1">
      <alignment horizontal="left" vertical="top"/>
    </xf>
    <xf numFmtId="1" fontId="7" fillId="2" borderId="65" xfId="0" applyNumberFormat="1" applyFont="1" applyFill="1" applyBorder="1" applyAlignment="1" applyProtection="1">
      <alignment horizontal="center" vertical="top"/>
    </xf>
    <xf numFmtId="0" fontId="7" fillId="2" borderId="68" xfId="0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right" vertical="top"/>
    </xf>
    <xf numFmtId="49" fontId="7" fillId="2" borderId="0" xfId="0" applyNumberFormat="1" applyFont="1" applyFill="1" applyAlignment="1" applyProtection="1">
      <alignment horizontal="left" vertical="top"/>
    </xf>
    <xf numFmtId="44" fontId="7" fillId="2" borderId="69" xfId="0" applyNumberFormat="1" applyFont="1" applyFill="1" applyBorder="1" applyAlignment="1" applyProtection="1">
      <alignment horizontal="right" vertical="top"/>
    </xf>
    <xf numFmtId="44" fontId="7" fillId="2" borderId="67" xfId="0" applyNumberFormat="1" applyFont="1" applyFill="1" applyBorder="1" applyAlignment="1" applyProtection="1">
      <alignment horizontal="right" vertical="top"/>
    </xf>
    <xf numFmtId="44" fontId="7" fillId="2" borderId="69" xfId="0" applyNumberFormat="1" applyFont="1" applyFill="1" applyBorder="1" applyAlignment="1" applyProtection="1">
      <alignment horizontal="left" vertical="top"/>
    </xf>
    <xf numFmtId="166" fontId="7" fillId="2" borderId="0" xfId="0" applyNumberFormat="1" applyFont="1" applyFill="1" applyAlignment="1" applyProtection="1">
      <alignment horizontal="left" vertical="top"/>
    </xf>
    <xf numFmtId="44" fontId="7" fillId="2" borderId="0" xfId="0" applyNumberFormat="1" applyFont="1" applyFill="1" applyAlignment="1" applyProtection="1">
      <alignment horizontal="left" vertical="top"/>
    </xf>
    <xf numFmtId="165" fontId="7" fillId="2" borderId="0" xfId="0" applyNumberFormat="1" applyFont="1" applyFill="1"/>
    <xf numFmtId="0" fontId="0" fillId="3" borderId="4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165" fontId="0" fillId="6" borderId="57" xfId="1" applyFont="1" applyFill="1" applyBorder="1"/>
    <xf numFmtId="165" fontId="0" fillId="6" borderId="58" xfId="1" applyFont="1" applyFill="1" applyBorder="1"/>
    <xf numFmtId="166" fontId="0" fillId="6" borderId="57" xfId="1" applyNumberFormat="1" applyFont="1" applyFill="1" applyBorder="1"/>
    <xf numFmtId="165" fontId="9" fillId="6" borderId="60" xfId="1" applyFont="1" applyFill="1" applyBorder="1"/>
    <xf numFmtId="165" fontId="0" fillId="6" borderId="24" xfId="1" applyFont="1" applyFill="1" applyBorder="1"/>
    <xf numFmtId="165" fontId="0" fillId="6" borderId="18" xfId="1" applyFont="1" applyFill="1" applyBorder="1"/>
    <xf numFmtId="165" fontId="9" fillId="6" borderId="57" xfId="1" applyFont="1" applyFill="1" applyBorder="1"/>
    <xf numFmtId="166" fontId="0" fillId="6" borderId="0" xfId="0" applyNumberFormat="1" applyFill="1"/>
    <xf numFmtId="0" fontId="0" fillId="6" borderId="0" xfId="0" applyFill="1"/>
    <xf numFmtId="3" fontId="0" fillId="0" borderId="0" xfId="0" applyNumberFormat="1"/>
    <xf numFmtId="0" fontId="0" fillId="0" borderId="7" xfId="0" applyBorder="1"/>
    <xf numFmtId="0" fontId="0" fillId="0" borderId="73" xfId="0" applyBorder="1"/>
    <xf numFmtId="0" fontId="0" fillId="0" borderId="74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5" borderId="1" xfId="0" applyFill="1" applyBorder="1" applyAlignment="1">
      <alignment horizontal="center" vertical="center"/>
    </xf>
    <xf numFmtId="44" fontId="0" fillId="5" borderId="18" xfId="0" applyNumberForma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44" fontId="0" fillId="5" borderId="16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4" fontId="0" fillId="6" borderId="18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44" fontId="0" fillId="6" borderId="30" xfId="0" applyNumberFormat="1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44" fontId="0" fillId="6" borderId="16" xfId="0" applyNumberFormat="1" applyFill="1" applyBorder="1" applyAlignment="1">
      <alignment horizontal="center" vertical="center"/>
    </xf>
    <xf numFmtId="0" fontId="14" fillId="2" borderId="0" xfId="0" applyFont="1" applyFill="1"/>
    <xf numFmtId="0" fontId="0" fillId="6" borderId="9" xfId="0" applyFill="1" applyBorder="1" applyAlignment="1">
      <alignment horizontal="center" vertical="center"/>
    </xf>
    <xf numFmtId="44" fontId="0" fillId="6" borderId="20" xfId="0" applyNumberForma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44" fontId="0" fillId="6" borderId="18" xfId="0" applyNumberFormat="1" applyFont="1" applyFill="1" applyBorder="1" applyAlignment="1">
      <alignment horizontal="center"/>
    </xf>
    <xf numFmtId="0" fontId="0" fillId="6" borderId="23" xfId="0" applyFont="1" applyFill="1" applyBorder="1" applyAlignment="1">
      <alignment horizontal="center"/>
    </xf>
    <xf numFmtId="164" fontId="0" fillId="6" borderId="3" xfId="0" applyNumberFormat="1" applyFont="1" applyFill="1" applyBorder="1" applyAlignment="1">
      <alignment horizontal="center"/>
    </xf>
    <xf numFmtId="44" fontId="0" fillId="6" borderId="24" xfId="0" applyNumberFormat="1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44" fontId="0" fillId="6" borderId="18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44" fontId="0" fillId="6" borderId="24" xfId="0" applyNumberFormat="1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44" fontId="0" fillId="6" borderId="54" xfId="0" applyNumberFormat="1" applyFill="1" applyBorder="1" applyAlignment="1">
      <alignment horizontal="center" vertical="center"/>
    </xf>
    <xf numFmtId="44" fontId="0" fillId="0" borderId="74" xfId="0" applyNumberFormat="1" applyBorder="1"/>
    <xf numFmtId="0" fontId="15" fillId="2" borderId="38" xfId="0" applyFont="1" applyFill="1" applyBorder="1" applyAlignment="1"/>
    <xf numFmtId="0" fontId="0" fillId="5" borderId="3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44" fontId="0" fillId="5" borderId="30" xfId="0" applyNumberForma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44" fontId="0" fillId="5" borderId="20" xfId="0" applyNumberForma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52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44" fontId="0" fillId="5" borderId="30" xfId="0" applyNumberFormat="1" applyFill="1" applyBorder="1" applyAlignment="1">
      <alignment horizontal="center" vertical="center"/>
    </xf>
    <xf numFmtId="44" fontId="0" fillId="5" borderId="24" xfId="0" applyNumberForma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2" borderId="38" xfId="0" applyFill="1" applyBorder="1" applyAlignment="1">
      <alignment horizontal="left" wrapText="1" shrinkToFit="1"/>
    </xf>
    <xf numFmtId="0" fontId="0" fillId="2" borderId="0" xfId="0" applyFill="1" applyAlignment="1">
      <alignment horizontal="left" wrapText="1" shrinkToFit="1"/>
    </xf>
    <xf numFmtId="0" fontId="0" fillId="3" borderId="4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" fillId="4" borderId="27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49" fontId="7" fillId="2" borderId="62" xfId="0" applyNumberFormat="1" applyFont="1" applyFill="1" applyBorder="1" applyAlignment="1" applyProtection="1">
      <alignment horizontal="center" vertical="top"/>
    </xf>
    <xf numFmtId="49" fontId="7" fillId="2" borderId="64" xfId="0" applyNumberFormat="1" applyFont="1" applyFill="1" applyBorder="1" applyAlignment="1" applyProtection="1">
      <alignment horizontal="center" vertical="top"/>
    </xf>
    <xf numFmtId="0" fontId="7" fillId="2" borderId="0" xfId="0" applyFont="1" applyFill="1" applyAlignment="1">
      <alignment horizontal="center"/>
    </xf>
    <xf numFmtId="0" fontId="6" fillId="2" borderId="37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44" fontId="0" fillId="0" borderId="0" xfId="0" applyNumberFormat="1"/>
    <xf numFmtId="44" fontId="0" fillId="0" borderId="73" xfId="0" applyNumberFormat="1" applyBorder="1"/>
    <xf numFmtId="0" fontId="0" fillId="5" borderId="19" xfId="0" applyFill="1" applyBorder="1" applyAlignment="1">
      <alignment horizontal="center" vertical="center"/>
    </xf>
    <xf numFmtId="0" fontId="0" fillId="2" borderId="0" xfId="0" applyFont="1" applyFill="1"/>
    <xf numFmtId="0" fontId="0" fillId="8" borderId="3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4" fontId="0" fillId="8" borderId="18" xfId="0" applyNumberFormat="1" applyFill="1" applyBorder="1" applyAlignment="1">
      <alignment horizontal="center" vertical="center"/>
    </xf>
    <xf numFmtId="0" fontId="0" fillId="8" borderId="5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17" fillId="2" borderId="0" xfId="0" applyFont="1" applyFill="1"/>
    <xf numFmtId="44" fontId="0" fillId="5" borderId="1" xfId="0" applyNumberFormat="1" applyFill="1" applyBorder="1" applyAlignment="1">
      <alignment horizontal="center" vertical="center"/>
    </xf>
    <xf numFmtId="44" fontId="17" fillId="2" borderId="0" xfId="0" applyNumberFormat="1" applyFont="1" applyFill="1"/>
    <xf numFmtId="0" fontId="0" fillId="8" borderId="2" xfId="0" applyFill="1" applyBorder="1" applyAlignment="1">
      <alignment horizontal="center" vertical="center" wrapText="1"/>
    </xf>
    <xf numFmtId="44" fontId="0" fillId="8" borderId="30" xfId="0" applyNumberFormat="1" applyFill="1" applyBorder="1" applyAlignment="1">
      <alignment horizontal="center" vertical="center"/>
    </xf>
    <xf numFmtId="44" fontId="0" fillId="8" borderId="24" xfId="0" applyNumberForma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44" fontId="0" fillId="8" borderId="20" xfId="0" applyNumberForma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44" fontId="0" fillId="8" borderId="2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0" xfId="0" applyFill="1"/>
    <xf numFmtId="0" fontId="0" fillId="5" borderId="17" xfId="0" applyFill="1" applyBorder="1" applyAlignment="1">
      <alignment horizontal="center" vertical="center"/>
    </xf>
    <xf numFmtId="165" fontId="0" fillId="4" borderId="57" xfId="1" applyFont="1" applyFill="1" applyBorder="1"/>
    <xf numFmtId="165" fontId="0" fillId="3" borderId="57" xfId="1" applyFont="1" applyFill="1" applyBorder="1"/>
    <xf numFmtId="165" fontId="0" fillId="3" borderId="58" xfId="1" applyFont="1" applyFill="1" applyBorder="1"/>
    <xf numFmtId="0" fontId="0" fillId="3" borderId="0" xfId="0" applyFill="1"/>
    <xf numFmtId="0" fontId="0" fillId="3" borderId="73" xfId="0" applyFill="1" applyBorder="1"/>
    <xf numFmtId="0" fontId="0" fillId="12" borderId="0" xfId="0" applyFill="1"/>
    <xf numFmtId="0" fontId="0" fillId="10" borderId="0" xfId="0" applyFill="1"/>
    <xf numFmtId="0" fontId="0" fillId="13" borderId="0" xfId="0" applyFill="1"/>
    <xf numFmtId="0" fontId="0" fillId="13" borderId="73" xfId="0" applyFill="1" applyBorder="1"/>
    <xf numFmtId="0" fontId="0" fillId="13" borderId="74" xfId="0" applyFill="1" applyBorder="1"/>
    <xf numFmtId="0" fontId="0" fillId="14" borderId="0" xfId="0" applyFill="1"/>
    <xf numFmtId="0" fontId="0" fillId="10" borderId="74" xfId="0" applyFill="1" applyBorder="1"/>
    <xf numFmtId="0" fontId="0" fillId="10" borderId="73" xfId="0" applyFill="1" applyBorder="1"/>
    <xf numFmtId="0" fontId="0" fillId="0" borderId="73" xfId="0" applyFill="1" applyBorder="1"/>
    <xf numFmtId="0" fontId="0" fillId="9" borderId="0" xfId="0" applyFill="1"/>
    <xf numFmtId="0" fontId="0" fillId="0" borderId="0" xfId="0" applyFill="1"/>
    <xf numFmtId="0" fontId="0" fillId="0" borderId="74" xfId="0" applyFill="1" applyBorder="1"/>
    <xf numFmtId="0" fontId="0" fillId="12" borderId="73" xfId="0" applyFill="1" applyBorder="1"/>
    <xf numFmtId="0" fontId="0" fillId="12" borderId="74" xfId="0" applyFill="1" applyBorder="1"/>
    <xf numFmtId="0" fontId="0" fillId="16" borderId="73" xfId="0" applyFill="1" applyBorder="1"/>
    <xf numFmtId="0" fontId="0" fillId="16" borderId="0" xfId="0" applyFill="1"/>
    <xf numFmtId="0" fontId="0" fillId="16" borderId="25" xfId="0" applyFill="1" applyBorder="1"/>
    <xf numFmtId="0" fontId="0" fillId="17" borderId="74" xfId="0" applyFill="1" applyBorder="1"/>
    <xf numFmtId="0" fontId="0" fillId="17" borderId="0" xfId="0" applyFill="1"/>
    <xf numFmtId="0" fontId="0" fillId="9" borderId="74" xfId="0" applyFill="1" applyBorder="1"/>
    <xf numFmtId="171" fontId="0" fillId="0" borderId="0" xfId="0" applyNumberFormat="1"/>
    <xf numFmtId="1" fontId="0" fillId="0" borderId="0" xfId="0" applyNumberFormat="1"/>
    <xf numFmtId="0" fontId="0" fillId="18" borderId="0" xfId="0" applyFill="1"/>
    <xf numFmtId="44" fontId="0" fillId="18" borderId="0" xfId="0" applyNumberFormat="1" applyFill="1"/>
    <xf numFmtId="1" fontId="0" fillId="20" borderId="0" xfId="0" applyNumberFormat="1" applyFill="1"/>
    <xf numFmtId="2" fontId="0" fillId="20" borderId="74" xfId="0" applyNumberFormat="1" applyFill="1" applyBorder="1"/>
    <xf numFmtId="0" fontId="0" fillId="20" borderId="17" xfId="0" applyFill="1" applyBorder="1" applyAlignment="1">
      <alignment horizontal="center"/>
    </xf>
    <xf numFmtId="164" fontId="0" fillId="20" borderId="1" xfId="0" applyNumberFormat="1" applyFill="1" applyBorder="1" applyAlignment="1">
      <alignment horizontal="center"/>
    </xf>
    <xf numFmtId="44" fontId="0" fillId="20" borderId="18" xfId="0" applyNumberFormat="1" applyFont="1" applyFill="1" applyBorder="1" applyAlignment="1">
      <alignment horizontal="center"/>
    </xf>
    <xf numFmtId="44" fontId="0" fillId="20" borderId="18" xfId="0" applyNumberFormat="1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64" fontId="0" fillId="20" borderId="9" xfId="0" applyNumberFormat="1" applyFill="1" applyBorder="1" applyAlignment="1">
      <alignment horizontal="center"/>
    </xf>
    <xf numFmtId="44" fontId="0" fillId="20" borderId="20" xfId="0" applyNumberFormat="1" applyFill="1" applyBorder="1" applyAlignment="1">
      <alignment horizontal="center"/>
    </xf>
    <xf numFmtId="0" fontId="0" fillId="20" borderId="19" xfId="0" applyFill="1" applyBorder="1" applyAlignment="1">
      <alignment horizontal="center"/>
    </xf>
    <xf numFmtId="44" fontId="0" fillId="20" borderId="20" xfId="0" applyNumberFormat="1" applyFont="1" applyFill="1" applyBorder="1" applyAlignment="1">
      <alignment horizontal="center"/>
    </xf>
    <xf numFmtId="44" fontId="0" fillId="5" borderId="0" xfId="0" applyNumberFormat="1" applyFill="1"/>
    <xf numFmtId="44" fontId="0" fillId="21" borderId="73" xfId="0" applyNumberFormat="1" applyFill="1" applyBorder="1"/>
    <xf numFmtId="44" fontId="0" fillId="21" borderId="0" xfId="0" applyNumberFormat="1" applyFill="1" applyBorder="1"/>
    <xf numFmtId="44" fontId="0" fillId="23" borderId="0" xfId="0" applyNumberFormat="1" applyFill="1" applyBorder="1"/>
    <xf numFmtId="44" fontId="0" fillId="23" borderId="74" xfId="0" applyNumberFormat="1" applyFill="1" applyBorder="1"/>
    <xf numFmtId="44" fontId="0" fillId="23" borderId="73" xfId="0" applyNumberFormat="1" applyFill="1" applyBorder="1"/>
    <xf numFmtId="0" fontId="0" fillId="23" borderId="74" xfId="0" applyFill="1" applyBorder="1"/>
    <xf numFmtId="44" fontId="0" fillId="2" borderId="73" xfId="0" applyNumberFormat="1" applyFill="1" applyBorder="1"/>
    <xf numFmtId="44" fontId="0" fillId="14" borderId="0" xfId="0" applyNumberFormat="1" applyFill="1"/>
    <xf numFmtId="44" fontId="0" fillId="11" borderId="73" xfId="0" applyNumberFormat="1" applyFill="1" applyBorder="1"/>
    <xf numFmtId="44" fontId="0" fillId="11" borderId="0" xfId="0" applyNumberFormat="1" applyFill="1"/>
    <xf numFmtId="44" fontId="0" fillId="11" borderId="0" xfId="0" applyNumberFormat="1" applyFill="1" applyBorder="1"/>
    <xf numFmtId="2" fontId="0" fillId="11" borderId="74" xfId="0" applyNumberFormat="1" applyFill="1" applyBorder="1"/>
    <xf numFmtId="44" fontId="0" fillId="0" borderId="74" xfId="0" applyNumberFormat="1" applyFill="1" applyBorder="1"/>
    <xf numFmtId="2" fontId="0" fillId="8" borderId="74" xfId="0" applyNumberFormat="1" applyFill="1" applyBorder="1"/>
    <xf numFmtId="2" fontId="17" fillId="2" borderId="0" xfId="0" applyNumberFormat="1" applyFont="1" applyFill="1"/>
    <xf numFmtId="0" fontId="0" fillId="2" borderId="74" xfId="0" applyFill="1" applyBorder="1"/>
    <xf numFmtId="2" fontId="0" fillId="24" borderId="0" xfId="0" applyNumberFormat="1" applyFill="1"/>
    <xf numFmtId="0" fontId="0" fillId="24" borderId="0" xfId="0" applyFill="1"/>
    <xf numFmtId="44" fontId="0" fillId="6" borderId="0" xfId="0" applyNumberFormat="1" applyFill="1" applyBorder="1"/>
    <xf numFmtId="44" fontId="0" fillId="11" borderId="74" xfId="0" applyNumberFormat="1" applyFill="1" applyBorder="1"/>
    <xf numFmtId="44" fontId="0" fillId="0" borderId="0" xfId="0" applyNumberFormat="1" applyFill="1" applyBorder="1"/>
    <xf numFmtId="0" fontId="0" fillId="19" borderId="0" xfId="0" applyFill="1"/>
    <xf numFmtId="44" fontId="0" fillId="19" borderId="0" xfId="0" applyNumberFormat="1" applyFill="1"/>
    <xf numFmtId="0" fontId="0" fillId="7" borderId="0" xfId="0" applyFill="1"/>
    <xf numFmtId="44" fontId="0" fillId="7" borderId="0" xfId="0" applyNumberFormat="1" applyFill="1"/>
    <xf numFmtId="44" fontId="0" fillId="15" borderId="74" xfId="0" applyNumberFormat="1" applyFill="1" applyBorder="1"/>
    <xf numFmtId="44" fontId="0" fillId="15" borderId="0" xfId="0" applyNumberFormat="1" applyFill="1"/>
    <xf numFmtId="44" fontId="0" fillId="25" borderId="74" xfId="0" applyNumberFormat="1" applyFill="1" applyBorder="1"/>
    <xf numFmtId="44" fontId="0" fillId="25" borderId="0" xfId="0" applyNumberFormat="1" applyFill="1"/>
    <xf numFmtId="0" fontId="0" fillId="22" borderId="74" xfId="0" applyFill="1" applyBorder="1"/>
    <xf numFmtId="165" fontId="0" fillId="4" borderId="58" xfId="1" applyFont="1" applyFill="1" applyBorder="1"/>
    <xf numFmtId="165" fontId="9" fillId="4" borderId="57" xfId="1" applyFont="1" applyFill="1" applyBorder="1"/>
    <xf numFmtId="165" fontId="16" fillId="4" borderId="58" xfId="1" applyFont="1" applyFill="1" applyBorder="1"/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1" fontId="0" fillId="0" borderId="74" xfId="0" applyNumberFormat="1" applyBorder="1"/>
    <xf numFmtId="171" fontId="0" fillId="20" borderId="0" xfId="0" applyNumberFormat="1" applyFill="1"/>
    <xf numFmtId="0" fontId="0" fillId="14" borderId="74" xfId="0" applyFill="1" applyBorder="1"/>
    <xf numFmtId="1" fontId="0" fillId="0" borderId="73" xfId="0" applyNumberFormat="1" applyBorder="1"/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44" fontId="18" fillId="2" borderId="69" xfId="0" applyNumberFormat="1" applyFont="1" applyFill="1" applyBorder="1" applyAlignment="1" applyProtection="1">
      <alignment horizontal="right" vertical="top"/>
    </xf>
    <xf numFmtId="165" fontId="16" fillId="3" borderId="57" xfId="1" applyFont="1" applyFill="1" applyBorder="1"/>
    <xf numFmtId="44" fontId="7" fillId="3" borderId="63" xfId="0" applyNumberFormat="1" applyFont="1" applyFill="1" applyBorder="1" applyAlignment="1" applyProtection="1">
      <alignment horizontal="right" vertical="top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zoomScale="90" zoomScaleNormal="90" workbookViewId="0">
      <selection activeCell="G15" sqref="G15"/>
    </sheetView>
  </sheetViews>
  <sheetFormatPr defaultRowHeight="15" x14ac:dyDescent="0.25"/>
  <cols>
    <col min="1" max="1" width="13.85546875" style="1" customWidth="1"/>
    <col min="2" max="2" width="9.85546875" style="1" bestFit="1" customWidth="1"/>
    <col min="3" max="3" width="9.140625" style="1"/>
    <col min="4" max="4" width="25.57031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16384" width="9.140625" style="1"/>
  </cols>
  <sheetData>
    <row r="1" spans="2:8" ht="15.75" thickBot="1" x14ac:dyDescent="0.3"/>
    <row r="2" spans="2:8" x14ac:dyDescent="0.25">
      <c r="B2" s="181" t="s">
        <v>127</v>
      </c>
      <c r="C2" s="182"/>
      <c r="D2" s="182"/>
      <c r="E2" s="182"/>
      <c r="F2" s="182"/>
      <c r="G2" s="183"/>
    </row>
    <row r="3" spans="2:8" ht="15.75" thickBot="1" x14ac:dyDescent="0.3">
      <c r="B3" s="184"/>
      <c r="C3" s="185"/>
      <c r="D3" s="185"/>
      <c r="E3" s="185"/>
      <c r="F3" s="185"/>
      <c r="G3" s="186"/>
    </row>
    <row r="4" spans="2:8" x14ac:dyDescent="0.25">
      <c r="B4" s="196" t="s">
        <v>0</v>
      </c>
      <c r="C4" s="198" t="s">
        <v>1</v>
      </c>
      <c r="D4" s="198" t="s">
        <v>2</v>
      </c>
      <c r="E4" s="198" t="s">
        <v>3</v>
      </c>
      <c r="F4" s="198" t="s">
        <v>4</v>
      </c>
      <c r="G4" s="194" t="s">
        <v>5</v>
      </c>
    </row>
    <row r="5" spans="2:8" x14ac:dyDescent="0.25">
      <c r="B5" s="197"/>
      <c r="C5" s="199"/>
      <c r="D5" s="199"/>
      <c r="E5" s="199"/>
      <c r="F5" s="199"/>
      <c r="G5" s="195"/>
    </row>
    <row r="6" spans="2:8" x14ac:dyDescent="0.25">
      <c r="B6" s="200" t="s">
        <v>9</v>
      </c>
      <c r="C6" s="203"/>
      <c r="D6" s="203" t="s">
        <v>6</v>
      </c>
      <c r="E6" s="2" t="s">
        <v>7</v>
      </c>
      <c r="F6" s="2">
        <v>12</v>
      </c>
      <c r="G6" s="27">
        <f>G7+G8</f>
        <v>66420</v>
      </c>
    </row>
    <row r="7" spans="2:8" x14ac:dyDescent="0.25">
      <c r="B7" s="201"/>
      <c r="C7" s="204"/>
      <c r="D7" s="204"/>
      <c r="E7" s="2">
        <v>2432</v>
      </c>
      <c r="F7" s="2" t="s">
        <v>7</v>
      </c>
      <c r="G7" s="27">
        <f>G8*0.23</f>
        <v>12420</v>
      </c>
    </row>
    <row r="8" spans="2:8" ht="15.75" thickBot="1" x14ac:dyDescent="0.3">
      <c r="B8" s="202"/>
      <c r="C8" s="205"/>
      <c r="D8" s="205"/>
      <c r="E8" s="2">
        <v>311</v>
      </c>
      <c r="F8" s="2" t="s">
        <v>7</v>
      </c>
      <c r="G8" s="27">
        <f>18000*3</f>
        <v>54000</v>
      </c>
    </row>
    <row r="9" spans="2:8" x14ac:dyDescent="0.25">
      <c r="B9" s="47" t="s">
        <v>9</v>
      </c>
      <c r="C9" s="4"/>
      <c r="D9" s="4" t="s">
        <v>16</v>
      </c>
      <c r="E9" s="4">
        <v>321</v>
      </c>
      <c r="F9" s="4">
        <v>311</v>
      </c>
      <c r="G9" s="25">
        <f>G8</f>
        <v>54000</v>
      </c>
    </row>
    <row r="10" spans="2:8" x14ac:dyDescent="0.25">
      <c r="B10" s="207"/>
      <c r="C10" s="208"/>
      <c r="D10" s="208"/>
      <c r="E10" s="208"/>
      <c r="F10" s="208"/>
      <c r="G10" s="209"/>
    </row>
    <row r="11" spans="2:8" x14ac:dyDescent="0.25">
      <c r="B11" s="187" t="s">
        <v>8</v>
      </c>
      <c r="C11" s="190" t="s">
        <v>70</v>
      </c>
      <c r="D11" s="193" t="s">
        <v>46</v>
      </c>
      <c r="E11" s="130" t="s">
        <v>7</v>
      </c>
      <c r="F11" s="130">
        <v>12</v>
      </c>
      <c r="G11" s="131">
        <f>G14+G13-G12</f>
        <v>110700</v>
      </c>
    </row>
    <row r="12" spans="2:8" x14ac:dyDescent="0.25">
      <c r="B12" s="188"/>
      <c r="C12" s="191"/>
      <c r="D12" s="206"/>
      <c r="E12" s="130" t="s">
        <v>7</v>
      </c>
      <c r="F12" s="132">
        <v>782</v>
      </c>
      <c r="G12" s="131">
        <f>G14*0.1</f>
        <v>10000</v>
      </c>
    </row>
    <row r="13" spans="2:8" x14ac:dyDescent="0.25">
      <c r="B13" s="188"/>
      <c r="C13" s="191"/>
      <c r="D13" s="191"/>
      <c r="E13" s="130" t="s">
        <v>119</v>
      </c>
      <c r="F13" s="130" t="s">
        <v>7</v>
      </c>
      <c r="G13" s="131">
        <f>(G14-G12)*0.23</f>
        <v>20700</v>
      </c>
      <c r="H13" s="143" t="s">
        <v>237</v>
      </c>
    </row>
    <row r="14" spans="2:8" ht="15.75" thickBot="1" x14ac:dyDescent="0.3">
      <c r="B14" s="189"/>
      <c r="C14" s="192"/>
      <c r="D14" s="192"/>
      <c r="E14" s="130">
        <v>311</v>
      </c>
      <c r="F14" s="130" t="s">
        <v>7</v>
      </c>
      <c r="G14" s="131">
        <f>25000*4</f>
        <v>100000</v>
      </c>
      <c r="H14" s="143" t="s">
        <v>238</v>
      </c>
    </row>
    <row r="15" spans="2:8" x14ac:dyDescent="0.25">
      <c r="B15" s="133" t="s">
        <v>8</v>
      </c>
      <c r="C15" s="134" t="s">
        <v>70</v>
      </c>
      <c r="D15" s="134" t="s">
        <v>16</v>
      </c>
      <c r="E15" s="134">
        <v>321</v>
      </c>
      <c r="F15" s="134">
        <v>311</v>
      </c>
      <c r="G15" s="135">
        <f>G14</f>
        <v>100000</v>
      </c>
    </row>
    <row r="16" spans="2:8" x14ac:dyDescent="0.25">
      <c r="B16" s="207"/>
      <c r="C16" s="208"/>
      <c r="D16" s="208"/>
      <c r="E16" s="208"/>
      <c r="F16" s="208"/>
      <c r="G16" s="209"/>
    </row>
    <row r="17" spans="2:8" x14ac:dyDescent="0.25">
      <c r="B17" s="210" t="s">
        <v>10</v>
      </c>
      <c r="C17" s="211" t="s">
        <v>71</v>
      </c>
      <c r="D17" s="212" t="s">
        <v>48</v>
      </c>
      <c r="E17" s="136">
        <v>12</v>
      </c>
      <c r="F17" s="136" t="s">
        <v>7</v>
      </c>
      <c r="G17" s="137">
        <f>+G19+G20-G18</f>
        <v>247968</v>
      </c>
    </row>
    <row r="18" spans="2:8" x14ac:dyDescent="0.25">
      <c r="B18" s="173"/>
      <c r="C18" s="176"/>
      <c r="D18" s="213"/>
      <c r="E18" s="136">
        <v>682</v>
      </c>
      <c r="F18" s="136" t="s">
        <v>7</v>
      </c>
      <c r="G18" s="137">
        <f>0.1*G20</f>
        <v>22400</v>
      </c>
    </row>
    <row r="19" spans="2:8" x14ac:dyDescent="0.25">
      <c r="B19" s="173"/>
      <c r="C19" s="176"/>
      <c r="D19" s="176"/>
      <c r="E19" s="136" t="s">
        <v>7</v>
      </c>
      <c r="F19" s="136" t="s">
        <v>120</v>
      </c>
      <c r="G19" s="137">
        <f>(G20-G18)*0.23</f>
        <v>46368</v>
      </c>
    </row>
    <row r="20" spans="2:8" ht="15.75" thickBot="1" x14ac:dyDescent="0.3">
      <c r="B20" s="173"/>
      <c r="C20" s="176"/>
      <c r="D20" s="176"/>
      <c r="E20" s="138" t="s">
        <v>7</v>
      </c>
      <c r="F20" s="138">
        <v>711</v>
      </c>
      <c r="G20" s="139">
        <f>28000*8</f>
        <v>224000</v>
      </c>
    </row>
    <row r="21" spans="2:8" x14ac:dyDescent="0.25">
      <c r="B21" s="140" t="s">
        <v>10</v>
      </c>
      <c r="C21" s="141" t="s">
        <v>71</v>
      </c>
      <c r="D21" s="141" t="s">
        <v>17</v>
      </c>
      <c r="E21" s="141">
        <v>611</v>
      </c>
      <c r="F21" s="141">
        <v>321</v>
      </c>
      <c r="G21" s="142">
        <f>'Ficha de Valorimetria'!H8</f>
        <v>100240</v>
      </c>
      <c r="H21" s="39"/>
    </row>
    <row r="22" spans="2:8" x14ac:dyDescent="0.25">
      <c r="B22" s="207"/>
      <c r="C22" s="208"/>
      <c r="D22" s="208"/>
      <c r="E22" s="208"/>
      <c r="F22" s="208"/>
      <c r="G22" s="209"/>
    </row>
    <row r="23" spans="2:8" x14ac:dyDescent="0.25">
      <c r="B23" s="210" t="s">
        <v>11</v>
      </c>
      <c r="C23" s="211" t="s">
        <v>70</v>
      </c>
      <c r="D23" s="212" t="s">
        <v>47</v>
      </c>
      <c r="E23" s="136" t="s">
        <v>7</v>
      </c>
      <c r="F23" s="136">
        <v>2211</v>
      </c>
      <c r="G23" s="137">
        <f>+G24+G25</f>
        <v>44280</v>
      </c>
    </row>
    <row r="24" spans="2:8" x14ac:dyDescent="0.25">
      <c r="B24" s="173"/>
      <c r="C24" s="176"/>
      <c r="D24" s="176"/>
      <c r="E24" s="136" t="s">
        <v>119</v>
      </c>
      <c r="F24" s="136" t="s">
        <v>7</v>
      </c>
      <c r="G24" s="137">
        <f>G25*0.23</f>
        <v>8280</v>
      </c>
    </row>
    <row r="25" spans="2:8" ht="15.75" thickBot="1" x14ac:dyDescent="0.3">
      <c r="B25" s="173"/>
      <c r="C25" s="176"/>
      <c r="D25" s="176"/>
      <c r="E25" s="138">
        <v>311</v>
      </c>
      <c r="F25" s="138" t="s">
        <v>7</v>
      </c>
      <c r="G25" s="139">
        <f>12000*3</f>
        <v>36000</v>
      </c>
    </row>
    <row r="26" spans="2:8" x14ac:dyDescent="0.25">
      <c r="B26" s="140" t="s">
        <v>11</v>
      </c>
      <c r="C26" s="141" t="s">
        <v>70</v>
      </c>
      <c r="D26" s="141" t="s">
        <v>16</v>
      </c>
      <c r="E26" s="141">
        <v>321</v>
      </c>
      <c r="F26" s="141">
        <v>311</v>
      </c>
      <c r="G26" s="142">
        <f>G25</f>
        <v>36000</v>
      </c>
    </row>
    <row r="27" spans="2:8" x14ac:dyDescent="0.25">
      <c r="B27" s="207"/>
      <c r="C27" s="208"/>
      <c r="D27" s="208"/>
      <c r="E27" s="208"/>
      <c r="F27" s="208"/>
      <c r="G27" s="209"/>
    </row>
    <row r="28" spans="2:8" x14ac:dyDescent="0.25">
      <c r="B28" s="210" t="s">
        <v>40</v>
      </c>
      <c r="C28" s="211" t="s">
        <v>42</v>
      </c>
      <c r="D28" s="211" t="s">
        <v>56</v>
      </c>
      <c r="E28" s="136">
        <v>6884</v>
      </c>
      <c r="F28" s="147" t="s">
        <v>7</v>
      </c>
      <c r="G28" s="137">
        <f>+G29+G30</f>
        <v>102.18225000000001</v>
      </c>
    </row>
    <row r="29" spans="2:8" x14ac:dyDescent="0.25">
      <c r="B29" s="173"/>
      <c r="C29" s="176"/>
      <c r="D29" s="176"/>
      <c r="E29" s="158" t="s">
        <v>7</v>
      </c>
      <c r="F29" s="159">
        <v>382</v>
      </c>
      <c r="G29" s="160">
        <f>3.323*25</f>
        <v>83.075000000000003</v>
      </c>
    </row>
    <row r="30" spans="2:8" x14ac:dyDescent="0.25">
      <c r="B30" s="214"/>
      <c r="C30" s="215"/>
      <c r="D30" s="215"/>
      <c r="E30" s="158" t="s">
        <v>7</v>
      </c>
      <c r="F30" s="159" t="s">
        <v>121</v>
      </c>
      <c r="G30" s="160">
        <f>G29*0.23</f>
        <v>19.107250000000001</v>
      </c>
    </row>
    <row r="31" spans="2:8" x14ac:dyDescent="0.25">
      <c r="B31" s="161" t="s">
        <v>40</v>
      </c>
      <c r="C31" s="158" t="s">
        <v>42</v>
      </c>
      <c r="D31" s="136" t="s">
        <v>17</v>
      </c>
      <c r="E31" s="158">
        <v>382</v>
      </c>
      <c r="F31" s="158">
        <v>321</v>
      </c>
      <c r="G31" s="160">
        <f>G29</f>
        <v>83.075000000000003</v>
      </c>
    </row>
    <row r="32" spans="2:8" x14ac:dyDescent="0.25">
      <c r="B32" s="207"/>
      <c r="C32" s="208"/>
      <c r="D32" s="208"/>
      <c r="E32" s="208"/>
      <c r="F32" s="208"/>
      <c r="G32" s="209"/>
    </row>
    <row r="33" spans="2:8" x14ac:dyDescent="0.25">
      <c r="B33" s="210" t="s">
        <v>12</v>
      </c>
      <c r="C33" s="211" t="s">
        <v>71</v>
      </c>
      <c r="D33" s="212" t="s">
        <v>49</v>
      </c>
      <c r="E33" s="136">
        <v>2111</v>
      </c>
      <c r="F33" s="136" t="s">
        <v>7</v>
      </c>
      <c r="G33" s="137">
        <f>+G34+G35</f>
        <v>166050</v>
      </c>
    </row>
    <row r="34" spans="2:8" x14ac:dyDescent="0.25">
      <c r="B34" s="173"/>
      <c r="C34" s="176"/>
      <c r="D34" s="176"/>
      <c r="E34" s="136" t="s">
        <v>7</v>
      </c>
      <c r="F34" s="136" t="s">
        <v>120</v>
      </c>
      <c r="G34" s="137">
        <f>0.23*G35</f>
        <v>31050</v>
      </c>
    </row>
    <row r="35" spans="2:8" ht="15.75" thickBot="1" x14ac:dyDescent="0.3">
      <c r="B35" s="174"/>
      <c r="C35" s="177"/>
      <c r="D35" s="177"/>
      <c r="E35" s="144" t="s">
        <v>7</v>
      </c>
      <c r="F35" s="144">
        <v>711</v>
      </c>
      <c r="G35" s="145">
        <f>15000*9</f>
        <v>135000</v>
      </c>
    </row>
    <row r="36" spans="2:8" ht="15.75" thickBot="1" x14ac:dyDescent="0.3">
      <c r="B36" s="162" t="s">
        <v>12</v>
      </c>
      <c r="C36" s="163" t="s">
        <v>71</v>
      </c>
      <c r="D36" s="163" t="s">
        <v>17</v>
      </c>
      <c r="E36" s="163">
        <v>611</v>
      </c>
      <c r="F36" s="163">
        <v>321</v>
      </c>
      <c r="G36" s="164">
        <f>'Ficha de Valorimetria'!H11</f>
        <v>49844.961240310076</v>
      </c>
      <c r="H36" s="39"/>
    </row>
    <row r="37" spans="2:8" x14ac:dyDescent="0.25">
      <c r="B37" s="173" t="s">
        <v>12</v>
      </c>
      <c r="C37" s="176" t="s">
        <v>41</v>
      </c>
      <c r="D37" s="176" t="s">
        <v>43</v>
      </c>
      <c r="E37" s="158" t="s">
        <v>7</v>
      </c>
      <c r="F37" s="158">
        <v>2111</v>
      </c>
      <c r="G37" s="160">
        <f>+G38+G39</f>
        <v>11070</v>
      </c>
    </row>
    <row r="38" spans="2:8" x14ac:dyDescent="0.25">
      <c r="B38" s="173"/>
      <c r="C38" s="176"/>
      <c r="D38" s="176"/>
      <c r="E38" s="136" t="s">
        <v>122</v>
      </c>
      <c r="F38" s="136" t="s">
        <v>7</v>
      </c>
      <c r="G38" s="137">
        <f>G39*0.23</f>
        <v>2070</v>
      </c>
    </row>
    <row r="39" spans="2:8" ht="15.75" thickBot="1" x14ac:dyDescent="0.3">
      <c r="B39" s="174"/>
      <c r="C39" s="177"/>
      <c r="D39" s="177"/>
      <c r="E39" s="144">
        <v>717</v>
      </c>
      <c r="F39" s="144" t="s">
        <v>7</v>
      </c>
      <c r="G39" s="145">
        <f>1000*9</f>
        <v>9000</v>
      </c>
    </row>
    <row r="40" spans="2:8" x14ac:dyDescent="0.25">
      <c r="B40" s="161" t="s">
        <v>12</v>
      </c>
      <c r="C40" s="158" t="s">
        <v>41</v>
      </c>
      <c r="D40" s="158" t="s">
        <v>16</v>
      </c>
      <c r="E40" s="158">
        <v>321</v>
      </c>
      <c r="F40" s="158">
        <v>611</v>
      </c>
      <c r="G40" s="160">
        <f>'Ficha de Valorimetria'!E12</f>
        <v>3323</v>
      </c>
      <c r="H40" s="39"/>
    </row>
    <row r="41" spans="2:8" x14ac:dyDescent="0.25">
      <c r="B41" s="207"/>
      <c r="C41" s="208"/>
      <c r="D41" s="208"/>
      <c r="E41" s="208"/>
      <c r="F41" s="208"/>
      <c r="G41" s="209"/>
    </row>
    <row r="42" spans="2:8" x14ac:dyDescent="0.25">
      <c r="B42" s="187" t="s">
        <v>13</v>
      </c>
      <c r="C42" s="190" t="s">
        <v>70</v>
      </c>
      <c r="D42" s="193" t="s">
        <v>47</v>
      </c>
      <c r="E42" s="130" t="s">
        <v>7</v>
      </c>
      <c r="F42" s="130">
        <v>2211</v>
      </c>
      <c r="G42" s="131">
        <f>+G43+G44</f>
        <v>180810</v>
      </c>
    </row>
    <row r="43" spans="2:8" x14ac:dyDescent="0.25">
      <c r="B43" s="188"/>
      <c r="C43" s="191"/>
      <c r="D43" s="191"/>
      <c r="E43" s="130" t="s">
        <v>119</v>
      </c>
      <c r="F43" s="130" t="s">
        <v>7</v>
      </c>
      <c r="G43" s="131">
        <f>G44*0.23</f>
        <v>33810</v>
      </c>
    </row>
    <row r="44" spans="2:8" ht="15.75" thickBot="1" x14ac:dyDescent="0.3">
      <c r="B44" s="189"/>
      <c r="C44" s="192"/>
      <c r="D44" s="192"/>
      <c r="E44" s="130">
        <v>311</v>
      </c>
      <c r="F44" s="130" t="s">
        <v>7</v>
      </c>
      <c r="G44" s="131">
        <f>42000*3.5</f>
        <v>147000</v>
      </c>
      <c r="H44" s="143" t="s">
        <v>239</v>
      </c>
    </row>
    <row r="45" spans="2:8" x14ac:dyDescent="0.25">
      <c r="B45" s="172" t="s">
        <v>13</v>
      </c>
      <c r="C45" s="175" t="s">
        <v>70</v>
      </c>
      <c r="D45" s="175" t="s">
        <v>14</v>
      </c>
      <c r="E45" s="141">
        <v>2211</v>
      </c>
      <c r="F45" s="141" t="s">
        <v>7</v>
      </c>
      <c r="G45" s="142">
        <f>G42*0.3</f>
        <v>54243</v>
      </c>
    </row>
    <row r="46" spans="2:8" x14ac:dyDescent="0.25">
      <c r="B46" s="173"/>
      <c r="C46" s="176"/>
      <c r="D46" s="176"/>
      <c r="E46" s="136" t="s">
        <v>7</v>
      </c>
      <c r="F46" s="136" t="s">
        <v>122</v>
      </c>
      <c r="G46" s="137">
        <f>G43*0.3</f>
        <v>10143</v>
      </c>
    </row>
    <row r="47" spans="2:8" ht="15.75" thickBot="1" x14ac:dyDescent="0.3">
      <c r="B47" s="174"/>
      <c r="C47" s="177"/>
      <c r="D47" s="177"/>
      <c r="E47" s="144" t="s">
        <v>7</v>
      </c>
      <c r="F47" s="144">
        <v>318</v>
      </c>
      <c r="G47" s="145">
        <f>G44*0.3</f>
        <v>44100</v>
      </c>
    </row>
    <row r="48" spans="2:8" ht="15.75" thickBot="1" x14ac:dyDescent="0.3">
      <c r="B48" s="146" t="s">
        <v>13</v>
      </c>
      <c r="C48" s="136" t="s">
        <v>70</v>
      </c>
      <c r="D48" s="136" t="s">
        <v>132</v>
      </c>
      <c r="E48" s="136">
        <v>321</v>
      </c>
      <c r="F48" s="136">
        <v>311</v>
      </c>
      <c r="G48" s="137">
        <f>G44-G47</f>
        <v>102900</v>
      </c>
      <c r="H48" s="39" t="s">
        <v>143</v>
      </c>
    </row>
    <row r="49" spans="1:8" x14ac:dyDescent="0.25">
      <c r="B49" s="172" t="s">
        <v>50</v>
      </c>
      <c r="C49" s="175" t="s">
        <v>44</v>
      </c>
      <c r="D49" s="175" t="s">
        <v>45</v>
      </c>
      <c r="E49" s="141">
        <v>2211</v>
      </c>
      <c r="F49" s="141" t="s">
        <v>7</v>
      </c>
      <c r="G49" s="142">
        <f>+G50+G51</f>
        <v>2583</v>
      </c>
    </row>
    <row r="50" spans="1:8" x14ac:dyDescent="0.25">
      <c r="B50" s="173"/>
      <c r="C50" s="176"/>
      <c r="D50" s="176"/>
      <c r="E50" s="136" t="s">
        <v>7</v>
      </c>
      <c r="F50" s="147" t="s">
        <v>123</v>
      </c>
      <c r="G50" s="137">
        <f>G51*0.23</f>
        <v>483</v>
      </c>
    </row>
    <row r="51" spans="1:8" ht="15.75" thickBot="1" x14ac:dyDescent="0.3">
      <c r="B51" s="174"/>
      <c r="C51" s="177"/>
      <c r="D51" s="177"/>
      <c r="E51" s="144" t="s">
        <v>7</v>
      </c>
      <c r="F51" s="148">
        <v>317</v>
      </c>
      <c r="G51" s="145">
        <f>600*3.5</f>
        <v>2100</v>
      </c>
      <c r="H51" s="1" t="s">
        <v>240</v>
      </c>
    </row>
    <row r="52" spans="1:8" x14ac:dyDescent="0.25">
      <c r="B52" s="146" t="s">
        <v>50</v>
      </c>
      <c r="C52" s="136" t="s">
        <v>44</v>
      </c>
      <c r="D52" s="136" t="s">
        <v>17</v>
      </c>
      <c r="E52" s="136">
        <v>317</v>
      </c>
      <c r="F52" s="136">
        <v>321</v>
      </c>
      <c r="G52" s="137">
        <f>G51</f>
        <v>2100</v>
      </c>
    </row>
    <row r="53" spans="1:8" x14ac:dyDescent="0.25">
      <c r="B53" s="207"/>
      <c r="C53" s="208"/>
      <c r="D53" s="208"/>
      <c r="E53" s="208"/>
      <c r="F53" s="208"/>
      <c r="G53" s="209"/>
    </row>
    <row r="54" spans="1:8" x14ac:dyDescent="0.25">
      <c r="A54" s="56"/>
      <c r="B54" s="210" t="s">
        <v>58</v>
      </c>
      <c r="C54" s="211" t="s">
        <v>71</v>
      </c>
      <c r="D54" s="212" t="s">
        <v>49</v>
      </c>
      <c r="E54" s="136">
        <v>2111</v>
      </c>
      <c r="F54" s="136" t="s">
        <v>7</v>
      </c>
      <c r="G54" s="137">
        <f>+G55+G56</f>
        <v>397290</v>
      </c>
    </row>
    <row r="55" spans="1:8" x14ac:dyDescent="0.25">
      <c r="B55" s="173"/>
      <c r="C55" s="176"/>
      <c r="D55" s="176"/>
      <c r="E55" s="136" t="s">
        <v>7</v>
      </c>
      <c r="F55" s="136" t="s">
        <v>120</v>
      </c>
      <c r="G55" s="137">
        <f>0.23*G56</f>
        <v>74290</v>
      </c>
    </row>
    <row r="56" spans="1:8" ht="15.75" thickBot="1" x14ac:dyDescent="0.3">
      <c r="B56" s="174"/>
      <c r="C56" s="177"/>
      <c r="D56" s="177"/>
      <c r="E56" s="144" t="s">
        <v>7</v>
      </c>
      <c r="F56" s="144">
        <v>711</v>
      </c>
      <c r="G56" s="145">
        <f>38000*8.5</f>
        <v>323000</v>
      </c>
    </row>
    <row r="57" spans="1:8" x14ac:dyDescent="0.25">
      <c r="B57" s="172" t="s">
        <v>58</v>
      </c>
      <c r="C57" s="175" t="s">
        <v>71</v>
      </c>
      <c r="D57" s="175" t="s">
        <v>15</v>
      </c>
      <c r="E57" s="141" t="s">
        <v>7</v>
      </c>
      <c r="F57" s="141">
        <v>2111</v>
      </c>
      <c r="G57" s="142">
        <f>G54*0.1</f>
        <v>39729</v>
      </c>
    </row>
    <row r="58" spans="1:8" x14ac:dyDescent="0.25">
      <c r="B58" s="173"/>
      <c r="C58" s="176"/>
      <c r="D58" s="176"/>
      <c r="E58" s="136" t="s">
        <v>123</v>
      </c>
      <c r="F58" s="136" t="s">
        <v>7</v>
      </c>
      <c r="G58" s="137">
        <f>G55*0.1</f>
        <v>7429</v>
      </c>
    </row>
    <row r="59" spans="1:8" ht="15.75" thickBot="1" x14ac:dyDescent="0.3">
      <c r="B59" s="174"/>
      <c r="C59" s="177"/>
      <c r="D59" s="177"/>
      <c r="E59" s="144">
        <v>718</v>
      </c>
      <c r="F59" s="144" t="s">
        <v>7</v>
      </c>
      <c r="G59" s="145">
        <f>G56*0.1</f>
        <v>32300</v>
      </c>
    </row>
    <row r="60" spans="1:8" x14ac:dyDescent="0.25">
      <c r="B60" s="48" t="s">
        <v>58</v>
      </c>
      <c r="C60" s="2" t="s">
        <v>71</v>
      </c>
      <c r="D60" s="2" t="s">
        <v>17</v>
      </c>
      <c r="E60" s="2">
        <v>611</v>
      </c>
      <c r="F60" s="2">
        <v>321</v>
      </c>
      <c r="G60" s="27">
        <f>'Ficha de Valorimetria'!H16</f>
        <v>100929.58391939959</v>
      </c>
    </row>
    <row r="61" spans="1:8" x14ac:dyDescent="0.25">
      <c r="B61" s="207"/>
      <c r="C61" s="208"/>
      <c r="D61" s="208"/>
      <c r="E61" s="208"/>
      <c r="F61" s="208"/>
      <c r="G61" s="209"/>
    </row>
    <row r="62" spans="1:8" x14ac:dyDescent="0.25">
      <c r="B62" s="48" t="s">
        <v>35</v>
      </c>
      <c r="C62" s="2" t="s">
        <v>102</v>
      </c>
      <c r="D62" s="2" t="s">
        <v>87</v>
      </c>
      <c r="E62" s="2" t="s">
        <v>61</v>
      </c>
      <c r="F62" s="2" t="s">
        <v>88</v>
      </c>
      <c r="G62" s="27">
        <v>1250</v>
      </c>
      <c r="H62" s="1" t="s">
        <v>142</v>
      </c>
    </row>
    <row r="63" spans="1:8" ht="15.75" thickBot="1" x14ac:dyDescent="0.3">
      <c r="B63" s="178"/>
      <c r="C63" s="179"/>
      <c r="D63" s="179"/>
      <c r="E63" s="179"/>
      <c r="F63" s="179"/>
      <c r="G63" s="180"/>
      <c r="H63" s="1" t="s">
        <v>139</v>
      </c>
    </row>
  </sheetData>
  <mergeCells count="52">
    <mergeCell ref="B61:G61"/>
    <mergeCell ref="B22:G22"/>
    <mergeCell ref="B49:B51"/>
    <mergeCell ref="B45:B47"/>
    <mergeCell ref="C45:C47"/>
    <mergeCell ref="D45:D47"/>
    <mergeCell ref="B41:G41"/>
    <mergeCell ref="B53:G53"/>
    <mergeCell ref="C49:C51"/>
    <mergeCell ref="D49:D51"/>
    <mergeCell ref="B54:B56"/>
    <mergeCell ref="C54:C56"/>
    <mergeCell ref="D54:D56"/>
    <mergeCell ref="B33:B35"/>
    <mergeCell ref="C33:C35"/>
    <mergeCell ref="D33:D35"/>
    <mergeCell ref="B16:G16"/>
    <mergeCell ref="B27:G27"/>
    <mergeCell ref="B37:B39"/>
    <mergeCell ref="C37:C39"/>
    <mergeCell ref="D37:D39"/>
    <mergeCell ref="B32:G32"/>
    <mergeCell ref="B17:B20"/>
    <mergeCell ref="C17:C20"/>
    <mergeCell ref="D17:D20"/>
    <mergeCell ref="B23:B25"/>
    <mergeCell ref="C23:C25"/>
    <mergeCell ref="D23:D25"/>
    <mergeCell ref="B28:B30"/>
    <mergeCell ref="C28:C30"/>
    <mergeCell ref="D28:D30"/>
    <mergeCell ref="C6:C8"/>
    <mergeCell ref="D11:D14"/>
    <mergeCell ref="B11:B14"/>
    <mergeCell ref="C11:C14"/>
    <mergeCell ref="B10:G10"/>
    <mergeCell ref="B57:B59"/>
    <mergeCell ref="C57:C59"/>
    <mergeCell ref="D57:D59"/>
    <mergeCell ref="B63:G63"/>
    <mergeCell ref="B2:G3"/>
    <mergeCell ref="B42:B44"/>
    <mergeCell ref="C42:C44"/>
    <mergeCell ref="D42:D44"/>
    <mergeCell ref="G4:G5"/>
    <mergeCell ref="B4:B5"/>
    <mergeCell ref="C4:C5"/>
    <mergeCell ref="D4:D5"/>
    <mergeCell ref="E4:E5"/>
    <mergeCell ref="F4:F5"/>
    <mergeCell ref="B6:B8"/>
    <mergeCell ref="D6:D8"/>
  </mergeCells>
  <pageMargins left="0.70866141732283472" right="0.70866141732283472" top="0.74803149606299213" bottom="0.74803149606299213" header="0.31496062992125984" footer="0.31496062992125984"/>
  <pageSetup paperSize="9" scale="43" orientation="portrait" horizontalDpi="300" verticalDpi="300" r:id="rId1"/>
  <headerFooter>
    <oddHeader>&amp;L&amp;"Arial,Normal"&amp;14Contabilidade e Consolidação de Contas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opLeftCell="B1" zoomScaleNormal="100" workbookViewId="0">
      <selection activeCell="I23" sqref="I23"/>
    </sheetView>
  </sheetViews>
  <sheetFormatPr defaultRowHeight="15" x14ac:dyDescent="0.25"/>
  <cols>
    <col min="1" max="1" width="1.5703125" style="1" customWidth="1"/>
    <col min="2" max="2" width="20.7109375" style="1" bestFit="1" customWidth="1"/>
    <col min="3" max="11" width="13.140625" style="38" customWidth="1"/>
    <col min="12" max="12" width="12.140625" style="1" bestFit="1" customWidth="1"/>
    <col min="13" max="16384" width="9.140625" style="1"/>
  </cols>
  <sheetData>
    <row r="1" spans="2:12" ht="15.75" thickBot="1" x14ac:dyDescent="0.3"/>
    <row r="2" spans="2:12" ht="15" customHeight="1" x14ac:dyDescent="0.25">
      <c r="C2" s="181" t="s">
        <v>149</v>
      </c>
      <c r="D2" s="220"/>
      <c r="E2" s="220"/>
      <c r="F2" s="220"/>
      <c r="G2" s="220"/>
      <c r="H2" s="220"/>
      <c r="I2" s="220"/>
      <c r="J2" s="220"/>
      <c r="K2" s="221"/>
    </row>
    <row r="3" spans="2:12" ht="15.75" thickBot="1" x14ac:dyDescent="0.3">
      <c r="C3" s="222"/>
      <c r="D3" s="223"/>
      <c r="E3" s="223"/>
      <c r="F3" s="223"/>
      <c r="G3" s="223"/>
      <c r="H3" s="223"/>
      <c r="I3" s="223"/>
      <c r="J3" s="223"/>
      <c r="K3" s="224"/>
    </row>
    <row r="4" spans="2:12" x14ac:dyDescent="0.25">
      <c r="B4" s="39"/>
      <c r="C4" s="216" t="s">
        <v>53</v>
      </c>
      <c r="D4" s="217"/>
      <c r="E4" s="218"/>
      <c r="F4" s="219" t="s">
        <v>54</v>
      </c>
      <c r="G4" s="217"/>
      <c r="H4" s="218"/>
      <c r="I4" s="216" t="s">
        <v>55</v>
      </c>
      <c r="J4" s="217"/>
      <c r="K4" s="218"/>
    </row>
    <row r="5" spans="2:12" ht="15.75" thickBot="1" x14ac:dyDescent="0.3">
      <c r="B5" s="39"/>
      <c r="C5" s="35" t="s">
        <v>51</v>
      </c>
      <c r="D5" s="40" t="s">
        <v>52</v>
      </c>
      <c r="E5" s="41" t="s">
        <v>5</v>
      </c>
      <c r="F5" s="42" t="s">
        <v>51</v>
      </c>
      <c r="G5" s="40" t="s">
        <v>52</v>
      </c>
      <c r="H5" s="41" t="s">
        <v>5</v>
      </c>
      <c r="I5" s="35" t="s">
        <v>51</v>
      </c>
      <c r="J5" s="40" t="s">
        <v>52</v>
      </c>
      <c r="K5" s="41" t="s">
        <v>5</v>
      </c>
    </row>
    <row r="6" spans="2:12" ht="15.75" thickBot="1" x14ac:dyDescent="0.3">
      <c r="B6" s="46" t="s">
        <v>131</v>
      </c>
      <c r="C6" s="15"/>
      <c r="D6" s="16"/>
      <c r="E6" s="17"/>
      <c r="F6" s="18"/>
      <c r="G6" s="16"/>
      <c r="H6" s="19"/>
      <c r="I6" s="153">
        <v>18000</v>
      </c>
      <c r="J6" s="154">
        <v>3</v>
      </c>
      <c r="K6" s="155">
        <f>J6*I6</f>
        <v>54000</v>
      </c>
    </row>
    <row r="7" spans="2:12" x14ac:dyDescent="0.25">
      <c r="B7" s="43" t="s">
        <v>8</v>
      </c>
      <c r="C7" s="151">
        <v>25000</v>
      </c>
      <c r="D7" s="150">
        <v>4</v>
      </c>
      <c r="E7" s="152">
        <f>D7*C7</f>
        <v>100000</v>
      </c>
      <c r="F7" s="8"/>
      <c r="G7" s="6"/>
      <c r="H7" s="14"/>
      <c r="I7" s="156">
        <f>I6+C7</f>
        <v>43000</v>
      </c>
      <c r="J7" s="150">
        <f>(K6+E7)/I7</f>
        <v>3.5813953488372094</v>
      </c>
      <c r="K7" s="152">
        <f>J7*I7</f>
        <v>154000</v>
      </c>
    </row>
    <row r="8" spans="2:12" x14ac:dyDescent="0.25">
      <c r="B8" s="43" t="s">
        <v>10</v>
      </c>
      <c r="C8" s="9"/>
      <c r="D8" s="7"/>
      <c r="E8" s="10">
        <f t="shared" ref="E8:E16" si="0">D8*C8</f>
        <v>0</v>
      </c>
      <c r="F8" s="149">
        <v>28000</v>
      </c>
      <c r="G8" s="150">
        <v>3.58</v>
      </c>
      <c r="H8" s="157">
        <f>G8*F8</f>
        <v>100240</v>
      </c>
      <c r="I8" s="151">
        <f>I7-F8</f>
        <v>15000</v>
      </c>
      <c r="J8" s="150">
        <f>J7</f>
        <v>3.5813953488372094</v>
      </c>
      <c r="K8" s="152">
        <f>J8*I8</f>
        <v>53720.930232558145</v>
      </c>
    </row>
    <row r="9" spans="2:12" x14ac:dyDescent="0.25">
      <c r="B9" s="43" t="s">
        <v>11</v>
      </c>
      <c r="C9" s="151">
        <v>12000</v>
      </c>
      <c r="D9" s="150">
        <v>3</v>
      </c>
      <c r="E9" s="152">
        <f t="shared" si="0"/>
        <v>36000</v>
      </c>
      <c r="F9" s="8"/>
      <c r="G9" s="6"/>
      <c r="H9" s="14">
        <f t="shared" ref="H9:H16" si="1">G9*F9</f>
        <v>0</v>
      </c>
      <c r="I9" s="156">
        <f>I8+C9</f>
        <v>27000</v>
      </c>
      <c r="J9" s="150">
        <f>(K8+E9)/I9</f>
        <v>3.3229974160206717</v>
      </c>
      <c r="K9" s="152">
        <f t="shared" ref="K9:K16" si="2">J9*I9</f>
        <v>89720.930232558138</v>
      </c>
    </row>
    <row r="10" spans="2:12" x14ac:dyDescent="0.25">
      <c r="B10" s="43" t="s">
        <v>40</v>
      </c>
      <c r="C10" s="9"/>
      <c r="D10" s="7"/>
      <c r="E10" s="10">
        <f t="shared" si="0"/>
        <v>0</v>
      </c>
      <c r="F10" s="149">
        <v>25</v>
      </c>
      <c r="G10" s="150">
        <f>J9</f>
        <v>3.3229974160206717</v>
      </c>
      <c r="H10" s="157">
        <f t="shared" si="1"/>
        <v>83.074935400516793</v>
      </c>
      <c r="I10" s="151">
        <f>I9-F10</f>
        <v>26975</v>
      </c>
      <c r="J10" s="150">
        <f>J9</f>
        <v>3.3229974160206717</v>
      </c>
      <c r="K10" s="152">
        <f t="shared" si="2"/>
        <v>89637.855297157614</v>
      </c>
    </row>
    <row r="11" spans="2:12" x14ac:dyDescent="0.25">
      <c r="B11" s="43" t="s">
        <v>12</v>
      </c>
      <c r="C11" s="9"/>
      <c r="D11" s="7"/>
      <c r="E11" s="10">
        <f t="shared" si="0"/>
        <v>0</v>
      </c>
      <c r="F11" s="149">
        <v>15000</v>
      </c>
      <c r="G11" s="150">
        <f>G10</f>
        <v>3.3229974160206717</v>
      </c>
      <c r="H11" s="157">
        <f t="shared" si="1"/>
        <v>49844.961240310076</v>
      </c>
      <c r="I11" s="151">
        <f>I10-F11</f>
        <v>11975</v>
      </c>
      <c r="J11" s="150">
        <f>J10</f>
        <v>3.3229974160206717</v>
      </c>
      <c r="K11" s="152">
        <f t="shared" si="2"/>
        <v>39792.894056847545</v>
      </c>
    </row>
    <row r="12" spans="2:12" x14ac:dyDescent="0.25">
      <c r="B12" s="43" t="s">
        <v>12</v>
      </c>
      <c r="C12" s="151">
        <v>1000</v>
      </c>
      <c r="D12" s="150">
        <v>3.323</v>
      </c>
      <c r="E12" s="152">
        <f t="shared" si="0"/>
        <v>3323</v>
      </c>
      <c r="F12" s="8"/>
      <c r="G12" s="6"/>
      <c r="H12" s="14">
        <f t="shared" si="1"/>
        <v>0</v>
      </c>
      <c r="I12" s="151">
        <f>I11+C12</f>
        <v>12975</v>
      </c>
      <c r="J12" s="150">
        <f>J11</f>
        <v>3.3229974160206717</v>
      </c>
      <c r="K12" s="152">
        <f t="shared" si="2"/>
        <v>43115.891472868214</v>
      </c>
    </row>
    <row r="13" spans="2:12" x14ac:dyDescent="0.25">
      <c r="B13" s="43" t="s">
        <v>13</v>
      </c>
      <c r="C13" s="151">
        <v>42000</v>
      </c>
      <c r="D13" s="150">
        <v>3.5</v>
      </c>
      <c r="E13" s="152">
        <f t="shared" si="0"/>
        <v>147000</v>
      </c>
      <c r="F13" s="8"/>
      <c r="G13" s="6"/>
      <c r="H13" s="14">
        <f t="shared" si="1"/>
        <v>0</v>
      </c>
      <c r="I13" s="317">
        <f>I12+C13</f>
        <v>54975</v>
      </c>
      <c r="J13" s="318">
        <f>(K12+E13)/I13</f>
        <v>3.4582244924578118</v>
      </c>
      <c r="K13" s="319">
        <f t="shared" si="2"/>
        <v>190115.89147286821</v>
      </c>
    </row>
    <row r="14" spans="2:12" ht="30" customHeight="1" x14ac:dyDescent="0.25">
      <c r="B14" s="44" t="s">
        <v>57</v>
      </c>
      <c r="C14" s="9"/>
      <c r="D14" s="6"/>
      <c r="E14" s="10">
        <f t="shared" si="0"/>
        <v>0</v>
      </c>
      <c r="F14" s="8"/>
      <c r="G14" s="6">
        <v>0</v>
      </c>
      <c r="H14" s="320">
        <f>0.3*E13</f>
        <v>44100</v>
      </c>
      <c r="I14" s="317">
        <f>I13+C14</f>
        <v>54975</v>
      </c>
      <c r="J14" s="318">
        <f>(K13-H14)/I14</f>
        <v>2.6560416820894628</v>
      </c>
      <c r="K14" s="319">
        <f t="shared" si="2"/>
        <v>146015.89147286821</v>
      </c>
      <c r="L14" s="1" t="s">
        <v>141</v>
      </c>
    </row>
    <row r="15" spans="2:12" ht="30" customHeight="1" x14ac:dyDescent="0.25">
      <c r="B15" s="44" t="s">
        <v>59</v>
      </c>
      <c r="C15" s="9"/>
      <c r="D15" s="6"/>
      <c r="E15" s="10">
        <f t="shared" si="0"/>
        <v>0</v>
      </c>
      <c r="F15" s="321">
        <v>600</v>
      </c>
      <c r="G15" s="318">
        <v>3.5</v>
      </c>
      <c r="H15" s="320">
        <f t="shared" si="1"/>
        <v>2100</v>
      </c>
      <c r="I15" s="317">
        <f>I14-F15</f>
        <v>54375</v>
      </c>
      <c r="J15" s="318">
        <f>J14</f>
        <v>2.6560416820894628</v>
      </c>
      <c r="K15" s="319">
        <f t="shared" si="2"/>
        <v>144422.26646361453</v>
      </c>
    </row>
    <row r="16" spans="2:12" ht="15.75" thickBot="1" x14ac:dyDescent="0.3">
      <c r="B16" s="45" t="s">
        <v>58</v>
      </c>
      <c r="C16" s="11"/>
      <c r="D16" s="12"/>
      <c r="E16" s="13">
        <f t="shared" si="0"/>
        <v>0</v>
      </c>
      <c r="F16" s="322">
        <v>38000</v>
      </c>
      <c r="G16" s="323">
        <f>J15</f>
        <v>2.6560416820894628</v>
      </c>
      <c r="H16" s="324">
        <f t="shared" si="1"/>
        <v>100929.58391939959</v>
      </c>
      <c r="I16" s="325">
        <f>I15-F16</f>
        <v>16375</v>
      </c>
      <c r="J16" s="323">
        <f>J15</f>
        <v>2.6560416820894628</v>
      </c>
      <c r="K16" s="326">
        <f t="shared" si="2"/>
        <v>43492.682544214957</v>
      </c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  <row r="20" spans="3:11" x14ac:dyDescent="0.25">
      <c r="C20" s="1"/>
      <c r="D20" s="1"/>
      <c r="E20" s="1"/>
      <c r="F20" s="1"/>
      <c r="G20" s="1"/>
      <c r="H20" s="5">
        <f>+H8+H11+H16</f>
        <v>251014.54515970967</v>
      </c>
      <c r="I20" s="1"/>
      <c r="J20" s="1"/>
      <c r="K20" s="1"/>
    </row>
    <row r="21" spans="3:11" x14ac:dyDescent="0.25">
      <c r="C21" s="1"/>
      <c r="D21" s="1"/>
      <c r="E21" s="1"/>
      <c r="F21" s="1"/>
      <c r="G21" s="1"/>
      <c r="H21" s="1"/>
      <c r="I21" s="1"/>
      <c r="J21" s="1"/>
      <c r="K21" s="1"/>
    </row>
  </sheetData>
  <mergeCells count="4">
    <mergeCell ref="C4:E4"/>
    <mergeCell ref="F4:H4"/>
    <mergeCell ref="I4:K4"/>
    <mergeCell ref="C2:K3"/>
  </mergeCells>
  <pageMargins left="0.70866141732283472" right="0.70866141732283472" top="0.74803149606299213" bottom="0.74803149606299213" header="0.31496062992125984" footer="0.31496062992125984"/>
  <pageSetup paperSize="9" scale="63" orientation="landscape" horizontalDpi="300" verticalDpi="300" r:id="rId1"/>
  <ignoredErrors>
    <ignoredError sqref="I8:I9 J8:J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4"/>
  <sheetViews>
    <sheetView zoomScale="90" zoomScaleNormal="90" workbookViewId="0">
      <selection activeCell="G65" sqref="G65"/>
    </sheetView>
  </sheetViews>
  <sheetFormatPr defaultRowHeight="15" x14ac:dyDescent="0.25"/>
  <cols>
    <col min="1" max="1" width="9.140625" style="1"/>
    <col min="2" max="2" width="9.85546875" style="1" bestFit="1" customWidth="1"/>
    <col min="3" max="3" width="9.140625" style="1"/>
    <col min="4" max="4" width="26.1406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8" width="11" style="1" bestFit="1" customWidth="1"/>
    <col min="9" max="9" width="9.140625" style="1"/>
    <col min="10" max="10" width="12.7109375" style="1" bestFit="1" customWidth="1"/>
    <col min="11" max="16384" width="9.140625" style="1"/>
  </cols>
  <sheetData>
    <row r="1" spans="2:10" ht="15.75" thickBot="1" x14ac:dyDescent="0.3"/>
    <row r="2" spans="2:10" x14ac:dyDescent="0.25">
      <c r="B2" s="181" t="s">
        <v>129</v>
      </c>
      <c r="C2" s="182"/>
      <c r="D2" s="182"/>
      <c r="E2" s="182"/>
      <c r="F2" s="182"/>
      <c r="G2" s="183"/>
    </row>
    <row r="3" spans="2:10" ht="15.75" thickBot="1" x14ac:dyDescent="0.3">
      <c r="B3" s="184"/>
      <c r="C3" s="185"/>
      <c r="D3" s="185"/>
      <c r="E3" s="185"/>
      <c r="F3" s="185"/>
      <c r="G3" s="186"/>
    </row>
    <row r="4" spans="2:10" x14ac:dyDescent="0.25">
      <c r="B4" s="196" t="s">
        <v>0</v>
      </c>
      <c r="C4" s="198" t="s">
        <v>1</v>
      </c>
      <c r="D4" s="198" t="s">
        <v>2</v>
      </c>
      <c r="E4" s="198" t="s">
        <v>3</v>
      </c>
      <c r="F4" s="198" t="s">
        <v>4</v>
      </c>
      <c r="G4" s="194" t="s">
        <v>5</v>
      </c>
    </row>
    <row r="5" spans="2:10" x14ac:dyDescent="0.25">
      <c r="B5" s="197"/>
      <c r="C5" s="199"/>
      <c r="D5" s="199"/>
      <c r="E5" s="199"/>
      <c r="F5" s="199"/>
      <c r="G5" s="195"/>
    </row>
    <row r="6" spans="2:10" x14ac:dyDescent="0.25">
      <c r="B6" s="210" t="s">
        <v>18</v>
      </c>
      <c r="C6" s="211" t="s">
        <v>72</v>
      </c>
      <c r="D6" s="212" t="s">
        <v>24</v>
      </c>
      <c r="E6" s="136">
        <v>631</v>
      </c>
      <c r="F6" s="136" t="s">
        <v>7</v>
      </c>
      <c r="G6" s="137">
        <v>15000</v>
      </c>
    </row>
    <row r="7" spans="2:10" x14ac:dyDescent="0.25">
      <c r="B7" s="173"/>
      <c r="C7" s="176"/>
      <c r="D7" s="176"/>
      <c r="E7" s="136">
        <v>632</v>
      </c>
      <c r="F7" s="136" t="s">
        <v>7</v>
      </c>
      <c r="G7" s="137">
        <v>45000</v>
      </c>
    </row>
    <row r="8" spans="2:10" x14ac:dyDescent="0.25">
      <c r="B8" s="173"/>
      <c r="C8" s="176"/>
      <c r="D8" s="176"/>
      <c r="E8" s="136" t="s">
        <v>7</v>
      </c>
      <c r="F8" s="136" t="s">
        <v>19</v>
      </c>
      <c r="G8" s="137">
        <f>G6*0.18</f>
        <v>2700</v>
      </c>
    </row>
    <row r="9" spans="2:10" x14ac:dyDescent="0.25">
      <c r="B9" s="173"/>
      <c r="C9" s="176"/>
      <c r="D9" s="176"/>
      <c r="E9" s="136" t="s">
        <v>7</v>
      </c>
      <c r="F9" s="136" t="s">
        <v>20</v>
      </c>
      <c r="G9" s="137">
        <f>G7*0.2</f>
        <v>9000</v>
      </c>
    </row>
    <row r="10" spans="2:10" x14ac:dyDescent="0.25">
      <c r="B10" s="173"/>
      <c r="C10" s="176"/>
      <c r="D10" s="176"/>
      <c r="E10" s="136" t="s">
        <v>7</v>
      </c>
      <c r="F10" s="136" t="s">
        <v>21</v>
      </c>
      <c r="G10" s="137">
        <f>G6*0.1</f>
        <v>1500</v>
      </c>
    </row>
    <row r="11" spans="2:10" x14ac:dyDescent="0.25">
      <c r="B11" s="173"/>
      <c r="C11" s="176"/>
      <c r="D11" s="176"/>
      <c r="E11" s="136" t="s">
        <v>7</v>
      </c>
      <c r="F11" s="136" t="s">
        <v>25</v>
      </c>
      <c r="G11" s="137">
        <f>G7*0.11</f>
        <v>4950</v>
      </c>
    </row>
    <row r="12" spans="2:10" x14ac:dyDescent="0.25">
      <c r="B12" s="173"/>
      <c r="C12" s="176"/>
      <c r="D12" s="176"/>
      <c r="E12" s="136" t="s">
        <v>7</v>
      </c>
      <c r="F12" s="136" t="s">
        <v>22</v>
      </c>
      <c r="G12" s="137">
        <f>G6-G8-G10</f>
        <v>10800</v>
      </c>
      <c r="J12" s="5"/>
    </row>
    <row r="13" spans="2:10" x14ac:dyDescent="0.25">
      <c r="B13" s="214"/>
      <c r="C13" s="215"/>
      <c r="D13" s="215"/>
      <c r="E13" s="136" t="s">
        <v>7</v>
      </c>
      <c r="F13" s="136" t="s">
        <v>23</v>
      </c>
      <c r="G13" s="137">
        <f>G7-G9-G11</f>
        <v>31050</v>
      </c>
    </row>
    <row r="14" spans="2:10" x14ac:dyDescent="0.25">
      <c r="B14" s="207"/>
      <c r="C14" s="208"/>
      <c r="D14" s="208"/>
      <c r="E14" s="208"/>
      <c r="F14" s="208"/>
      <c r="G14" s="209"/>
    </row>
    <row r="15" spans="2:10" ht="15" customHeight="1" x14ac:dyDescent="0.25">
      <c r="B15" s="210" t="s">
        <v>18</v>
      </c>
      <c r="C15" s="211" t="s">
        <v>72</v>
      </c>
      <c r="D15" s="212" t="s">
        <v>101</v>
      </c>
      <c r="E15" s="136" t="s">
        <v>26</v>
      </c>
      <c r="F15" s="136" t="s">
        <v>21</v>
      </c>
      <c r="G15" s="137">
        <f>G6*0.2325</f>
        <v>3487.5</v>
      </c>
    </row>
    <row r="16" spans="2:10" x14ac:dyDescent="0.25">
      <c r="B16" s="173"/>
      <c r="C16" s="176"/>
      <c r="D16" s="213"/>
      <c r="E16" s="136" t="s">
        <v>27</v>
      </c>
      <c r="F16" s="136" t="s">
        <v>25</v>
      </c>
      <c r="G16" s="137">
        <f>G7*0.2375</f>
        <v>10687.5</v>
      </c>
    </row>
    <row r="17" spans="2:17" x14ac:dyDescent="0.25">
      <c r="B17" s="207"/>
      <c r="C17" s="208"/>
      <c r="D17" s="208"/>
      <c r="E17" s="208"/>
      <c r="F17" s="208"/>
      <c r="G17" s="209"/>
    </row>
    <row r="18" spans="2:17" x14ac:dyDescent="0.25">
      <c r="B18" s="146" t="s">
        <v>18</v>
      </c>
      <c r="C18" s="136" t="s">
        <v>73</v>
      </c>
      <c r="D18" s="136" t="s">
        <v>69</v>
      </c>
      <c r="E18" s="136" t="s">
        <v>62</v>
      </c>
      <c r="F18" s="136" t="s">
        <v>63</v>
      </c>
      <c r="G18" s="137">
        <f>80000*0.12</f>
        <v>9600</v>
      </c>
    </row>
    <row r="19" spans="2:17" x14ac:dyDescent="0.25">
      <c r="B19" s="207"/>
      <c r="C19" s="208"/>
      <c r="D19" s="208"/>
      <c r="E19" s="208"/>
      <c r="F19" s="208"/>
      <c r="G19" s="209"/>
    </row>
    <row r="20" spans="2:17" x14ac:dyDescent="0.25">
      <c r="B20" s="187" t="s">
        <v>18</v>
      </c>
      <c r="C20" s="190" t="s">
        <v>74</v>
      </c>
      <c r="D20" s="190" t="s">
        <v>28</v>
      </c>
      <c r="E20" s="130" t="s">
        <v>7</v>
      </c>
      <c r="F20" s="130">
        <v>12</v>
      </c>
      <c r="G20" s="131">
        <f>250*12</f>
        <v>3000</v>
      </c>
    </row>
    <row r="21" spans="2:17" ht="15" customHeight="1" x14ac:dyDescent="0.25">
      <c r="B21" s="188"/>
      <c r="C21" s="191"/>
      <c r="D21" s="191"/>
      <c r="E21" s="130" t="s">
        <v>124</v>
      </c>
      <c r="F21" s="130" t="s">
        <v>7</v>
      </c>
      <c r="G21" s="131">
        <f>G22*0.23</f>
        <v>560.97560975609758</v>
      </c>
      <c r="H21" s="235" t="s">
        <v>246</v>
      </c>
      <c r="I21" s="236"/>
      <c r="J21" s="236"/>
      <c r="K21" s="236"/>
      <c r="L21" s="236"/>
      <c r="M21" s="236"/>
      <c r="N21" s="236"/>
      <c r="O21" s="236"/>
      <c r="P21" s="236"/>
      <c r="Q21" s="236"/>
    </row>
    <row r="22" spans="2:17" x14ac:dyDescent="0.25">
      <c r="B22" s="189"/>
      <c r="C22" s="192"/>
      <c r="D22" s="192"/>
      <c r="E22" s="130">
        <v>6262</v>
      </c>
      <c r="F22" s="130" t="s">
        <v>7</v>
      </c>
      <c r="G22" s="131">
        <f>G20/1.23</f>
        <v>2439.0243902439024</v>
      </c>
      <c r="H22" s="235"/>
      <c r="I22" s="236"/>
      <c r="J22" s="236"/>
      <c r="K22" s="236"/>
      <c r="L22" s="236"/>
      <c r="M22" s="236"/>
      <c r="N22" s="236"/>
      <c r="O22" s="236"/>
      <c r="P22" s="236"/>
      <c r="Q22" s="236"/>
    </row>
    <row r="23" spans="2:17" x14ac:dyDescent="0.25">
      <c r="B23" s="207"/>
      <c r="C23" s="208"/>
      <c r="D23" s="208"/>
      <c r="E23" s="208"/>
      <c r="F23" s="208"/>
      <c r="G23" s="209"/>
      <c r="H23" s="53"/>
      <c r="I23" s="54"/>
      <c r="J23" s="54"/>
      <c r="K23" s="54"/>
      <c r="L23" s="54"/>
      <c r="M23" s="54"/>
      <c r="N23" s="54"/>
      <c r="O23" s="54"/>
      <c r="P23" s="54"/>
      <c r="Q23" s="54"/>
    </row>
    <row r="24" spans="2:17" x14ac:dyDescent="0.25">
      <c r="B24" s="167" t="s">
        <v>18</v>
      </c>
      <c r="C24" s="168" t="s">
        <v>74</v>
      </c>
      <c r="D24" s="168" t="s">
        <v>29</v>
      </c>
      <c r="E24" s="130">
        <v>6242</v>
      </c>
      <c r="F24" s="130">
        <v>12</v>
      </c>
      <c r="G24" s="131">
        <f>120*12</f>
        <v>1440</v>
      </c>
      <c r="H24" s="166" t="s">
        <v>248</v>
      </c>
      <c r="I24" s="54"/>
      <c r="J24" s="54"/>
      <c r="K24" s="54"/>
      <c r="L24" s="54"/>
      <c r="M24" s="54"/>
      <c r="N24" s="54"/>
      <c r="O24" s="54"/>
      <c r="P24" s="54"/>
      <c r="Q24" s="54"/>
    </row>
    <row r="25" spans="2:17" x14ac:dyDescent="0.25">
      <c r="B25" s="207"/>
      <c r="C25" s="208"/>
      <c r="D25" s="208"/>
      <c r="E25" s="208"/>
      <c r="F25" s="208"/>
      <c r="G25" s="209"/>
    </row>
    <row r="26" spans="2:17" x14ac:dyDescent="0.25">
      <c r="B26" s="187" t="s">
        <v>18</v>
      </c>
      <c r="C26" s="190" t="s">
        <v>74</v>
      </c>
      <c r="D26" s="193" t="s">
        <v>30</v>
      </c>
      <c r="E26" s="130" t="s">
        <v>7</v>
      </c>
      <c r="F26" s="130">
        <v>12</v>
      </c>
      <c r="G26" s="131">
        <f>130*12</f>
        <v>1560</v>
      </c>
      <c r="H26" s="5"/>
    </row>
    <row r="27" spans="2:17" x14ac:dyDescent="0.25">
      <c r="B27" s="188"/>
      <c r="C27" s="191"/>
      <c r="D27" s="191"/>
      <c r="E27" s="130" t="s">
        <v>124</v>
      </c>
      <c r="F27" s="130" t="s">
        <v>7</v>
      </c>
      <c r="G27" s="131">
        <f>G28*0.23</f>
        <v>291.70731707317071</v>
      </c>
      <c r="H27" s="235" t="s">
        <v>247</v>
      </c>
      <c r="I27" s="236"/>
      <c r="J27" s="236"/>
      <c r="K27" s="236"/>
      <c r="L27" s="236"/>
      <c r="M27" s="236"/>
      <c r="N27" s="236"/>
      <c r="O27" s="236"/>
      <c r="P27" s="236"/>
      <c r="Q27" s="236"/>
    </row>
    <row r="28" spans="2:17" x14ac:dyDescent="0.25">
      <c r="B28" s="189"/>
      <c r="C28" s="192"/>
      <c r="D28" s="192"/>
      <c r="E28" s="130">
        <v>6233</v>
      </c>
      <c r="F28" s="130" t="s">
        <v>7</v>
      </c>
      <c r="G28" s="131">
        <f>G26/1.23</f>
        <v>1268.2926829268292</v>
      </c>
      <c r="H28" s="235"/>
      <c r="I28" s="236"/>
      <c r="J28" s="236"/>
      <c r="K28" s="236"/>
      <c r="L28" s="236"/>
      <c r="M28" s="236"/>
      <c r="N28" s="236"/>
      <c r="O28" s="236"/>
      <c r="P28" s="236"/>
      <c r="Q28" s="236"/>
    </row>
    <row r="29" spans="2:17" x14ac:dyDescent="0.25">
      <c r="B29" s="207"/>
      <c r="C29" s="208"/>
      <c r="D29" s="208"/>
      <c r="E29" s="208"/>
      <c r="F29" s="208"/>
      <c r="G29" s="209"/>
    </row>
    <row r="30" spans="2:17" x14ac:dyDescent="0.25">
      <c r="B30" s="187" t="s">
        <v>18</v>
      </c>
      <c r="C30" s="190" t="s">
        <v>74</v>
      </c>
      <c r="D30" s="193" t="s">
        <v>31</v>
      </c>
      <c r="E30" s="190">
        <v>6252</v>
      </c>
      <c r="F30" s="190">
        <v>12</v>
      </c>
      <c r="G30" s="225">
        <f>160*12</f>
        <v>1920</v>
      </c>
      <c r="H30" s="52"/>
    </row>
    <row r="31" spans="2:17" x14ac:dyDescent="0.25">
      <c r="B31" s="189"/>
      <c r="C31" s="192"/>
      <c r="D31" s="192"/>
      <c r="E31" s="192"/>
      <c r="F31" s="192"/>
      <c r="G31" s="226"/>
      <c r="H31" s="166" t="s">
        <v>248</v>
      </c>
    </row>
    <row r="32" spans="2:17" x14ac:dyDescent="0.25">
      <c r="B32" s="207"/>
      <c r="C32" s="208"/>
      <c r="D32" s="208"/>
      <c r="E32" s="208"/>
      <c r="F32" s="208"/>
      <c r="G32" s="209"/>
    </row>
    <row r="33" spans="2:8" x14ac:dyDescent="0.25">
      <c r="B33" s="272" t="s">
        <v>105</v>
      </c>
      <c r="C33" s="260"/>
      <c r="D33" s="260" t="s">
        <v>103</v>
      </c>
      <c r="E33" s="260">
        <v>81</v>
      </c>
      <c r="F33" s="260"/>
      <c r="G33" s="261">
        <f>'Balanço e Demons. Resultados'!K38</f>
        <v>38000</v>
      </c>
    </row>
    <row r="34" spans="2:8" x14ac:dyDescent="0.25">
      <c r="B34" s="272" t="s">
        <v>106</v>
      </c>
      <c r="C34" s="260"/>
      <c r="D34" s="260" t="s">
        <v>104</v>
      </c>
      <c r="E34" s="260"/>
      <c r="F34" s="260">
        <v>56</v>
      </c>
      <c r="G34" s="261">
        <v>38000</v>
      </c>
    </row>
    <row r="35" spans="2:8" x14ac:dyDescent="0.25">
      <c r="B35" s="49"/>
      <c r="C35" s="22"/>
      <c r="D35" s="22"/>
      <c r="E35" s="20"/>
      <c r="F35" s="20"/>
      <c r="G35" s="50"/>
    </row>
    <row r="36" spans="2:8" x14ac:dyDescent="0.25">
      <c r="B36" s="258" t="s">
        <v>32</v>
      </c>
      <c r="C36" s="259" t="s">
        <v>79</v>
      </c>
      <c r="D36" s="269" t="s">
        <v>33</v>
      </c>
      <c r="E36" s="260">
        <v>56</v>
      </c>
      <c r="F36" s="260" t="s">
        <v>7</v>
      </c>
      <c r="G36" s="261">
        <v>38000</v>
      </c>
    </row>
    <row r="37" spans="2:8" x14ac:dyDescent="0.25">
      <c r="B37" s="262"/>
      <c r="C37" s="263"/>
      <c r="D37" s="263"/>
      <c r="E37" s="260" t="s">
        <v>7</v>
      </c>
      <c r="F37" s="260">
        <v>551</v>
      </c>
      <c r="G37" s="261">
        <f>G36*0.05</f>
        <v>1900</v>
      </c>
    </row>
    <row r="38" spans="2:8" x14ac:dyDescent="0.25">
      <c r="B38" s="262"/>
      <c r="C38" s="263"/>
      <c r="D38" s="263"/>
      <c r="E38" s="260" t="s">
        <v>7</v>
      </c>
      <c r="F38" s="260">
        <v>552</v>
      </c>
      <c r="G38" s="261">
        <f>G36*0.45</f>
        <v>17100</v>
      </c>
    </row>
    <row r="39" spans="2:8" ht="15.75" thickBot="1" x14ac:dyDescent="0.3">
      <c r="B39" s="273"/>
      <c r="C39" s="274"/>
      <c r="D39" s="274"/>
      <c r="E39" s="275" t="s">
        <v>7</v>
      </c>
      <c r="F39" s="275">
        <v>264</v>
      </c>
      <c r="G39" s="276">
        <f>G36*0.5</f>
        <v>19000</v>
      </c>
    </row>
    <row r="40" spans="2:8" x14ac:dyDescent="0.25">
      <c r="B40" s="258" t="s">
        <v>32</v>
      </c>
      <c r="C40" s="259" t="s">
        <v>79</v>
      </c>
      <c r="D40" s="259" t="s">
        <v>150</v>
      </c>
      <c r="E40" s="260">
        <v>264</v>
      </c>
      <c r="F40" s="260" t="s">
        <v>7</v>
      </c>
      <c r="G40" s="261">
        <f>G39</f>
        <v>19000</v>
      </c>
    </row>
    <row r="41" spans="2:8" x14ac:dyDescent="0.25">
      <c r="B41" s="262"/>
      <c r="C41" s="263"/>
      <c r="D41" s="263"/>
      <c r="E41" s="260" t="s">
        <v>7</v>
      </c>
      <c r="F41" s="260">
        <v>12</v>
      </c>
      <c r="G41" s="261">
        <f>G40-G42</f>
        <v>14915</v>
      </c>
    </row>
    <row r="42" spans="2:8" ht="15.75" thickBot="1" x14ac:dyDescent="0.3">
      <c r="B42" s="273"/>
      <c r="C42" s="274"/>
      <c r="D42" s="274"/>
      <c r="E42" s="275" t="s">
        <v>7</v>
      </c>
      <c r="F42" s="275">
        <v>242</v>
      </c>
      <c r="G42" s="276">
        <f>G40*0.215</f>
        <v>4085</v>
      </c>
    </row>
    <row r="43" spans="2:8" x14ac:dyDescent="0.25">
      <c r="B43" s="272" t="s">
        <v>145</v>
      </c>
      <c r="C43" s="260" t="s">
        <v>79</v>
      </c>
      <c r="D43" s="260" t="s">
        <v>34</v>
      </c>
      <c r="E43" s="260">
        <v>242</v>
      </c>
      <c r="F43" s="260">
        <v>12</v>
      </c>
      <c r="G43" s="261">
        <f>G42</f>
        <v>4085</v>
      </c>
    </row>
    <row r="44" spans="2:8" x14ac:dyDescent="0.25">
      <c r="B44" s="207"/>
      <c r="C44" s="208"/>
      <c r="D44" s="208"/>
      <c r="E44" s="208"/>
      <c r="F44" s="208"/>
      <c r="G44" s="209"/>
    </row>
    <row r="45" spans="2:8" x14ac:dyDescent="0.25">
      <c r="B45" s="146" t="s">
        <v>66</v>
      </c>
      <c r="C45" s="136" t="s">
        <v>78</v>
      </c>
      <c r="D45" s="136" t="s">
        <v>67</v>
      </c>
      <c r="E45" s="136" t="s">
        <v>63</v>
      </c>
      <c r="F45" s="136" t="s">
        <v>111</v>
      </c>
      <c r="G45" s="137">
        <v>5000</v>
      </c>
      <c r="H45" s="1" t="s">
        <v>144</v>
      </c>
    </row>
    <row r="46" spans="2:8" x14ac:dyDescent="0.25">
      <c r="B46" s="49"/>
      <c r="C46" s="22"/>
      <c r="D46" s="22"/>
      <c r="E46" s="22"/>
      <c r="F46" s="22"/>
      <c r="G46" s="51"/>
    </row>
    <row r="47" spans="2:8" ht="15.75" thickBot="1" x14ac:dyDescent="0.3">
      <c r="B47" s="256" t="s">
        <v>35</v>
      </c>
      <c r="C47" s="170" t="s">
        <v>75</v>
      </c>
      <c r="D47" s="170" t="s">
        <v>36</v>
      </c>
      <c r="E47" s="170">
        <v>434</v>
      </c>
      <c r="F47" s="170">
        <v>25</v>
      </c>
      <c r="G47" s="171">
        <f>28200*1.23</f>
        <v>34686</v>
      </c>
      <c r="H47" s="1" t="s">
        <v>256</v>
      </c>
    </row>
    <row r="48" spans="2:8" x14ac:dyDescent="0.25">
      <c r="B48" s="229" t="s">
        <v>113</v>
      </c>
      <c r="C48" s="231" t="s">
        <v>75</v>
      </c>
      <c r="D48" s="227" t="s">
        <v>115</v>
      </c>
      <c r="E48" s="134" t="s">
        <v>7</v>
      </c>
      <c r="F48" s="134">
        <v>12</v>
      </c>
      <c r="G48" s="135">
        <f>+G49+G50</f>
        <v>2950</v>
      </c>
      <c r="H48" s="257" t="s">
        <v>257</v>
      </c>
    </row>
    <row r="49" spans="2:11" x14ac:dyDescent="0.25">
      <c r="B49" s="188"/>
      <c r="C49" s="191"/>
      <c r="D49" s="191"/>
      <c r="E49" s="130">
        <v>25</v>
      </c>
      <c r="F49" s="130" t="s">
        <v>7</v>
      </c>
      <c r="G49" s="131">
        <v>1830</v>
      </c>
    </row>
    <row r="50" spans="2:11" ht="15.75" thickBot="1" x14ac:dyDescent="0.3">
      <c r="B50" s="230"/>
      <c r="C50" s="228"/>
      <c r="D50" s="228"/>
      <c r="E50" s="170">
        <v>69</v>
      </c>
      <c r="F50" s="170" t="s">
        <v>7</v>
      </c>
      <c r="G50" s="171">
        <v>1120</v>
      </c>
      <c r="H50" s="5"/>
    </row>
    <row r="51" spans="2:11" x14ac:dyDescent="0.25">
      <c r="B51" s="229" t="s">
        <v>113</v>
      </c>
      <c r="C51" s="231" t="s">
        <v>75</v>
      </c>
      <c r="D51" s="227" t="s">
        <v>117</v>
      </c>
      <c r="E51" s="134" t="s">
        <v>7</v>
      </c>
      <c r="F51" s="134">
        <v>12</v>
      </c>
      <c r="G51" s="135">
        <f>(G52+G53+G54)</f>
        <v>2950</v>
      </c>
    </row>
    <row r="52" spans="2:11" x14ac:dyDescent="0.25">
      <c r="B52" s="188"/>
      <c r="C52" s="191"/>
      <c r="D52" s="191"/>
      <c r="E52" s="130">
        <v>25</v>
      </c>
      <c r="F52" s="130" t="s">
        <v>7</v>
      </c>
      <c r="G52" s="131">
        <v>1830</v>
      </c>
    </row>
    <row r="53" spans="2:11" x14ac:dyDescent="0.25">
      <c r="B53" s="188"/>
      <c r="C53" s="191"/>
      <c r="D53" s="191"/>
      <c r="E53" s="130">
        <v>6918</v>
      </c>
      <c r="F53" s="130" t="s">
        <v>7</v>
      </c>
      <c r="G53" s="131">
        <f>1120/3</f>
        <v>373.33333333333331</v>
      </c>
    </row>
    <row r="54" spans="2:11" x14ac:dyDescent="0.25">
      <c r="B54" s="189"/>
      <c r="C54" s="192"/>
      <c r="D54" s="192"/>
      <c r="E54" s="130">
        <v>281</v>
      </c>
      <c r="F54" s="130" t="s">
        <v>7</v>
      </c>
      <c r="G54" s="131">
        <f>1120-G53</f>
        <v>746.66666666666674</v>
      </c>
    </row>
    <row r="55" spans="2:11" x14ac:dyDescent="0.25">
      <c r="B55" s="232"/>
      <c r="C55" s="233"/>
      <c r="D55" s="233"/>
      <c r="E55" s="233"/>
      <c r="F55" s="233"/>
      <c r="G55" s="234"/>
      <c r="H55" s="5"/>
    </row>
    <row r="56" spans="2:11" x14ac:dyDescent="0.25">
      <c r="B56" s="187" t="s">
        <v>35</v>
      </c>
      <c r="C56" s="130" t="s">
        <v>76</v>
      </c>
      <c r="D56" s="130" t="s">
        <v>68</v>
      </c>
      <c r="E56" s="130"/>
      <c r="F56" s="130" t="s">
        <v>63</v>
      </c>
      <c r="G56" s="267">
        <v>3200</v>
      </c>
      <c r="H56" s="5" t="s">
        <v>264</v>
      </c>
      <c r="K56" s="1">
        <f>122*3200/365</f>
        <v>1069.5890410958905</v>
      </c>
    </row>
    <row r="57" spans="2:11" x14ac:dyDescent="0.25">
      <c r="B57" s="188"/>
      <c r="C57" s="130" t="s">
        <v>76</v>
      </c>
      <c r="D57" s="130" t="s">
        <v>68</v>
      </c>
      <c r="E57" s="130">
        <v>62</v>
      </c>
      <c r="F57" s="130"/>
      <c r="G57" s="267">
        <f>G56-G58</f>
        <v>2130.4109589041095</v>
      </c>
      <c r="H57" s="5"/>
    </row>
    <row r="58" spans="2:11" x14ac:dyDescent="0.25">
      <c r="B58" s="189"/>
      <c r="C58" s="130" t="s">
        <v>76</v>
      </c>
      <c r="D58" s="130" t="s">
        <v>68</v>
      </c>
      <c r="E58" s="130">
        <v>281</v>
      </c>
      <c r="F58" s="130"/>
      <c r="G58" s="267">
        <f>K56</f>
        <v>1069.5890410958905</v>
      </c>
      <c r="H58" s="5"/>
    </row>
    <row r="59" spans="2:11" x14ac:dyDescent="0.25">
      <c r="B59" s="237"/>
      <c r="C59" s="238"/>
      <c r="D59" s="238"/>
      <c r="E59" s="238"/>
      <c r="F59" s="238"/>
      <c r="G59" s="239"/>
    </row>
    <row r="60" spans="2:11" ht="15.75" thickBot="1" x14ac:dyDescent="0.3">
      <c r="B60" s="256" t="s">
        <v>37</v>
      </c>
      <c r="C60" s="170" t="s">
        <v>77</v>
      </c>
      <c r="D60" s="170" t="s">
        <v>214</v>
      </c>
      <c r="E60" s="170">
        <v>434</v>
      </c>
      <c r="F60" s="170">
        <v>271</v>
      </c>
      <c r="G60" s="171">
        <f>25000*1.23</f>
        <v>30750</v>
      </c>
    </row>
    <row r="61" spans="2:11" x14ac:dyDescent="0.25">
      <c r="B61" s="187" t="s">
        <v>37</v>
      </c>
      <c r="C61" s="190" t="s">
        <v>77</v>
      </c>
      <c r="D61" s="193" t="s">
        <v>114</v>
      </c>
      <c r="E61" s="130" t="s">
        <v>7</v>
      </c>
      <c r="F61" s="130">
        <v>12</v>
      </c>
      <c r="G61" s="131">
        <f>+G62+G63</f>
        <v>2980</v>
      </c>
      <c r="H61" s="1" t="s">
        <v>138</v>
      </c>
    </row>
    <row r="62" spans="2:11" x14ac:dyDescent="0.25">
      <c r="B62" s="188"/>
      <c r="C62" s="191"/>
      <c r="D62" s="191"/>
      <c r="E62" s="130">
        <v>271</v>
      </c>
      <c r="F62" s="130" t="s">
        <v>7</v>
      </c>
      <c r="G62" s="131">
        <v>2980</v>
      </c>
    </row>
    <row r="63" spans="2:11" x14ac:dyDescent="0.25">
      <c r="B63" s="189"/>
      <c r="C63" s="192"/>
      <c r="D63" s="192"/>
      <c r="E63" s="130"/>
      <c r="F63" s="130"/>
      <c r="G63" s="131"/>
    </row>
    <row r="64" spans="2:11" x14ac:dyDescent="0.25">
      <c r="B64" s="232"/>
      <c r="C64" s="233"/>
      <c r="D64" s="233"/>
      <c r="E64" s="233"/>
      <c r="F64" s="233"/>
      <c r="G64" s="234"/>
    </row>
    <row r="65" spans="2:8" x14ac:dyDescent="0.25">
      <c r="B65" s="187" t="s">
        <v>38</v>
      </c>
      <c r="C65" s="190" t="s">
        <v>77</v>
      </c>
      <c r="D65" s="190" t="s">
        <v>64</v>
      </c>
      <c r="E65" s="130"/>
      <c r="F65" s="130">
        <v>121</v>
      </c>
      <c r="G65" s="131">
        <v>1000</v>
      </c>
      <c r="H65" s="266" t="s">
        <v>263</v>
      </c>
    </row>
    <row r="66" spans="2:8" x14ac:dyDescent="0.25">
      <c r="B66" s="188"/>
      <c r="C66" s="191"/>
      <c r="D66" s="191"/>
      <c r="E66" s="130">
        <v>691</v>
      </c>
      <c r="F66" s="130"/>
      <c r="G66" s="131">
        <f>1000/(1-0.215)</f>
        <v>1273.8853503184712</v>
      </c>
    </row>
    <row r="67" spans="2:8" x14ac:dyDescent="0.25">
      <c r="B67" s="189"/>
      <c r="C67" s="192"/>
      <c r="D67" s="192"/>
      <c r="E67" s="130"/>
      <c r="F67" s="130">
        <v>242</v>
      </c>
      <c r="G67" s="131">
        <f>G66*0.215</f>
        <v>273.8853503184713</v>
      </c>
    </row>
    <row r="68" spans="2:8" x14ac:dyDescent="0.25">
      <c r="B68" s="207"/>
      <c r="C68" s="208"/>
      <c r="D68" s="208"/>
      <c r="E68" s="208"/>
      <c r="F68" s="208"/>
      <c r="G68" s="209"/>
    </row>
    <row r="69" spans="2:8" x14ac:dyDescent="0.25">
      <c r="B69" s="187" t="s">
        <v>266</v>
      </c>
      <c r="C69" s="190"/>
      <c r="D69" s="190" t="s">
        <v>267</v>
      </c>
      <c r="E69" s="130"/>
      <c r="F69" s="130">
        <v>121</v>
      </c>
      <c r="G69" s="131">
        <v>1000</v>
      </c>
      <c r="H69" s="268" t="s">
        <v>269</v>
      </c>
    </row>
    <row r="70" spans="2:8" x14ac:dyDescent="0.25">
      <c r="B70" s="188"/>
      <c r="C70" s="191"/>
      <c r="D70" s="191"/>
      <c r="E70" s="130">
        <v>281</v>
      </c>
      <c r="F70" s="130"/>
      <c r="G70" s="131">
        <v>1197.5999999999999</v>
      </c>
      <c r="H70" s="5"/>
    </row>
    <row r="71" spans="2:8" x14ac:dyDescent="0.25">
      <c r="B71" s="189"/>
      <c r="C71" s="192"/>
      <c r="D71" s="192"/>
      <c r="E71" s="130"/>
      <c r="F71" s="130">
        <v>242</v>
      </c>
      <c r="G71" s="131">
        <f>+G70*0.165</f>
        <v>197.60399999999998</v>
      </c>
      <c r="H71" s="5"/>
    </row>
    <row r="72" spans="2:8" x14ac:dyDescent="0.25">
      <c r="B72" s="112"/>
      <c r="C72" s="113"/>
      <c r="D72" s="113"/>
      <c r="E72" s="113"/>
      <c r="F72" s="113"/>
      <c r="G72" s="114"/>
    </row>
    <row r="73" spans="2:8" x14ac:dyDescent="0.25">
      <c r="B73" s="258" t="s">
        <v>18</v>
      </c>
      <c r="C73" s="259" t="s">
        <v>80</v>
      </c>
      <c r="D73" s="269" t="s">
        <v>86</v>
      </c>
      <c r="E73" s="259" t="s">
        <v>90</v>
      </c>
      <c r="F73" s="259" t="s">
        <v>89</v>
      </c>
      <c r="G73" s="270">
        <f>72000</f>
        <v>72000</v>
      </c>
      <c r="H73" s="1" t="s">
        <v>140</v>
      </c>
    </row>
    <row r="74" spans="2:8" x14ac:dyDescent="0.25">
      <c r="B74" s="264"/>
      <c r="C74" s="265"/>
      <c r="D74" s="265"/>
      <c r="E74" s="265"/>
      <c r="F74" s="265"/>
      <c r="G74" s="271"/>
    </row>
    <row r="75" spans="2:8" x14ac:dyDescent="0.25">
      <c r="B75" s="207"/>
      <c r="C75" s="208"/>
      <c r="D75" s="208"/>
      <c r="E75" s="208"/>
      <c r="F75" s="208"/>
      <c r="G75" s="209"/>
    </row>
    <row r="76" spans="2:8" x14ac:dyDescent="0.25">
      <c r="B76" s="258" t="s">
        <v>18</v>
      </c>
      <c r="C76" s="259" t="s">
        <v>81</v>
      </c>
      <c r="D76" s="269" t="s">
        <v>83</v>
      </c>
      <c r="E76" s="259" t="s">
        <v>82</v>
      </c>
      <c r="F76" s="259" t="s">
        <v>63</v>
      </c>
      <c r="G76" s="270">
        <v>62500</v>
      </c>
    </row>
    <row r="77" spans="2:8" x14ac:dyDescent="0.25">
      <c r="B77" s="264"/>
      <c r="C77" s="265"/>
      <c r="D77" s="265"/>
      <c r="E77" s="265"/>
      <c r="F77" s="265"/>
      <c r="G77" s="271"/>
    </row>
    <row r="78" spans="2:8" x14ac:dyDescent="0.25">
      <c r="B78" s="207"/>
      <c r="C78" s="208"/>
      <c r="D78" s="208"/>
      <c r="E78" s="208"/>
      <c r="F78" s="208"/>
      <c r="G78" s="209"/>
    </row>
    <row r="79" spans="2:8" x14ac:dyDescent="0.25">
      <c r="B79" s="258" t="s">
        <v>18</v>
      </c>
      <c r="C79" s="259" t="s">
        <v>84</v>
      </c>
      <c r="D79" s="269" t="s">
        <v>85</v>
      </c>
      <c r="E79" s="259">
        <v>278</v>
      </c>
      <c r="F79" s="259" t="s">
        <v>63</v>
      </c>
      <c r="G79" s="270">
        <v>15000</v>
      </c>
    </row>
    <row r="80" spans="2:8" x14ac:dyDescent="0.25">
      <c r="B80" s="264"/>
      <c r="C80" s="265"/>
      <c r="D80" s="265"/>
      <c r="E80" s="265"/>
      <c r="F80" s="265"/>
      <c r="G80" s="271"/>
    </row>
    <row r="81" spans="2:8" x14ac:dyDescent="0.25">
      <c r="B81" s="207"/>
      <c r="C81" s="208"/>
      <c r="D81" s="208"/>
      <c r="E81" s="208"/>
      <c r="F81" s="208"/>
      <c r="G81" s="209"/>
    </row>
    <row r="82" spans="2:8" ht="30.75" thickBot="1" x14ac:dyDescent="0.3">
      <c r="B82" s="277" t="s">
        <v>105</v>
      </c>
      <c r="C82" s="275"/>
      <c r="D82" s="278" t="s">
        <v>133</v>
      </c>
      <c r="E82" s="275" t="s">
        <v>134</v>
      </c>
      <c r="F82" s="275" t="s">
        <v>63</v>
      </c>
      <c r="G82" s="276">
        <f>900000*0.3</f>
        <v>270000</v>
      </c>
      <c r="H82" s="1" t="s">
        <v>273</v>
      </c>
    </row>
    <row r="83" spans="2:8" ht="30" x14ac:dyDescent="0.25">
      <c r="B83" s="279" t="s">
        <v>105</v>
      </c>
      <c r="C83" s="280"/>
      <c r="D83" s="281" t="s">
        <v>135</v>
      </c>
      <c r="E83" s="280" t="s">
        <v>134</v>
      </c>
      <c r="F83" s="280" t="s">
        <v>136</v>
      </c>
      <c r="G83" s="282">
        <f>45000*0.3</f>
        <v>13500</v>
      </c>
    </row>
    <row r="84" spans="2:8" ht="15.75" thickBot="1" x14ac:dyDescent="0.3">
      <c r="B84" s="178"/>
      <c r="C84" s="179"/>
      <c r="D84" s="179"/>
      <c r="E84" s="179"/>
      <c r="F84" s="179"/>
      <c r="G84" s="180"/>
    </row>
  </sheetData>
  <mergeCells count="83">
    <mergeCell ref="H21:Q22"/>
    <mergeCell ref="H27:Q28"/>
    <mergeCell ref="B81:G81"/>
    <mergeCell ref="B61:B63"/>
    <mergeCell ref="C61:C63"/>
    <mergeCell ref="D61:D63"/>
    <mergeCell ref="B59:G59"/>
    <mergeCell ref="B64:G64"/>
    <mergeCell ref="D65:D67"/>
    <mergeCell ref="C65:C67"/>
    <mergeCell ref="B65:B67"/>
    <mergeCell ref="F76:F77"/>
    <mergeCell ref="G76:G77"/>
    <mergeCell ref="D73:D74"/>
    <mergeCell ref="B73:B74"/>
    <mergeCell ref="C73:C74"/>
    <mergeCell ref="E73:E74"/>
    <mergeCell ref="F73:F74"/>
    <mergeCell ref="B55:G55"/>
    <mergeCell ref="B51:B54"/>
    <mergeCell ref="C51:C54"/>
    <mergeCell ref="D51:D54"/>
    <mergeCell ref="B56:B58"/>
    <mergeCell ref="B69:B71"/>
    <mergeCell ref="C69:C71"/>
    <mergeCell ref="D69:D71"/>
    <mergeCell ref="B40:B42"/>
    <mergeCell ref="C40:C42"/>
    <mergeCell ref="D40:D42"/>
    <mergeCell ref="B44:G44"/>
    <mergeCell ref="D48:D50"/>
    <mergeCell ref="B48:B50"/>
    <mergeCell ref="C48:C50"/>
    <mergeCell ref="G4:G5"/>
    <mergeCell ref="B4:B5"/>
    <mergeCell ref="C4:C5"/>
    <mergeCell ref="D4:D5"/>
    <mergeCell ref="E4:E5"/>
    <mergeCell ref="F4:F5"/>
    <mergeCell ref="B6:B13"/>
    <mergeCell ref="D6:D13"/>
    <mergeCell ref="C6:C13"/>
    <mergeCell ref="B20:B22"/>
    <mergeCell ref="C20:C22"/>
    <mergeCell ref="D20:D22"/>
    <mergeCell ref="B19:G19"/>
    <mergeCell ref="B15:B16"/>
    <mergeCell ref="C15:C16"/>
    <mergeCell ref="D15:D16"/>
    <mergeCell ref="B17:G17"/>
    <mergeCell ref="B14:G14"/>
    <mergeCell ref="B23:G23"/>
    <mergeCell ref="B32:G32"/>
    <mergeCell ref="D36:D39"/>
    <mergeCell ref="B36:B39"/>
    <mergeCell ref="C36:C39"/>
    <mergeCell ref="B30:B31"/>
    <mergeCell ref="B25:G25"/>
    <mergeCell ref="B29:G29"/>
    <mergeCell ref="B26:B28"/>
    <mergeCell ref="C26:C28"/>
    <mergeCell ref="D26:D28"/>
    <mergeCell ref="C30:C31"/>
    <mergeCell ref="D30:D31"/>
    <mergeCell ref="E30:E31"/>
    <mergeCell ref="F30:F31"/>
    <mergeCell ref="G30:G31"/>
    <mergeCell ref="B2:G3"/>
    <mergeCell ref="B84:G84"/>
    <mergeCell ref="B78:G78"/>
    <mergeCell ref="B79:B80"/>
    <mergeCell ref="C79:C80"/>
    <mergeCell ref="D79:D80"/>
    <mergeCell ref="E79:E80"/>
    <mergeCell ref="F79:F80"/>
    <mergeCell ref="G79:G80"/>
    <mergeCell ref="G73:G74"/>
    <mergeCell ref="B68:G68"/>
    <mergeCell ref="B75:G75"/>
    <mergeCell ref="B76:B77"/>
    <mergeCell ref="C76:C77"/>
    <mergeCell ref="D76:D77"/>
    <mergeCell ref="E76:E77"/>
  </mergeCells>
  <pageMargins left="0.7" right="0.7" top="0.75" bottom="0.75" header="0.3" footer="0.3"/>
  <pageSetup paperSize="9" scale="4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zoomScaleNormal="100" workbookViewId="0">
      <selection activeCell="G8" sqref="G8"/>
    </sheetView>
  </sheetViews>
  <sheetFormatPr defaultRowHeight="15" x14ac:dyDescent="0.25"/>
  <cols>
    <col min="1" max="1" width="9.140625" style="1" customWidth="1"/>
    <col min="2" max="2" width="9.85546875" style="1" bestFit="1" customWidth="1"/>
    <col min="3" max="3" width="9.140625" style="1"/>
    <col min="4" max="4" width="25.140625" style="1" bestFit="1" customWidth="1"/>
    <col min="5" max="5" width="9.7109375" style="1" customWidth="1"/>
    <col min="6" max="6" width="9.85546875" style="1" customWidth="1"/>
    <col min="7" max="7" width="13.140625" style="1" bestFit="1" customWidth="1"/>
    <col min="8" max="8" width="11" style="1" bestFit="1" customWidth="1"/>
    <col min="9" max="9" width="9.140625" style="1"/>
    <col min="10" max="10" width="13.140625" style="1" bestFit="1" customWidth="1"/>
    <col min="11" max="16384" width="9.140625" style="1"/>
  </cols>
  <sheetData>
    <row r="1" spans="2:10" ht="15.75" thickBot="1" x14ac:dyDescent="0.3"/>
    <row r="2" spans="2:10" x14ac:dyDescent="0.25">
      <c r="B2" s="181" t="s">
        <v>128</v>
      </c>
      <c r="C2" s="182"/>
      <c r="D2" s="182"/>
      <c r="E2" s="182"/>
      <c r="F2" s="182"/>
      <c r="G2" s="183"/>
    </row>
    <row r="3" spans="2:10" ht="15.75" thickBot="1" x14ac:dyDescent="0.3">
      <c r="B3" s="184"/>
      <c r="C3" s="185"/>
      <c r="D3" s="185"/>
      <c r="E3" s="185"/>
      <c r="F3" s="185"/>
      <c r="G3" s="186"/>
    </row>
    <row r="4" spans="2:10" x14ac:dyDescent="0.25">
      <c r="B4" s="196" t="s">
        <v>0</v>
      </c>
      <c r="C4" s="198" t="s">
        <v>1</v>
      </c>
      <c r="D4" s="198" t="s">
        <v>2</v>
      </c>
      <c r="E4" s="198" t="s">
        <v>3</v>
      </c>
      <c r="F4" s="198" t="s">
        <v>4</v>
      </c>
      <c r="G4" s="194" t="s">
        <v>5</v>
      </c>
    </row>
    <row r="5" spans="2:10" x14ac:dyDescent="0.25">
      <c r="B5" s="197"/>
      <c r="C5" s="199"/>
      <c r="D5" s="199"/>
      <c r="E5" s="199"/>
      <c r="F5" s="199"/>
      <c r="G5" s="195"/>
    </row>
    <row r="6" spans="2:10" x14ac:dyDescent="0.25">
      <c r="B6" s="167" t="s">
        <v>38</v>
      </c>
      <c r="C6" s="168" t="s">
        <v>75</v>
      </c>
      <c r="D6" s="168" t="s">
        <v>283</v>
      </c>
      <c r="E6" s="168">
        <v>642</v>
      </c>
      <c r="F6" s="168">
        <v>438</v>
      </c>
      <c r="G6" s="169">
        <f>(Operações!AZ26+Operações!AZ25)*0.25</f>
        <v>16359</v>
      </c>
    </row>
    <row r="7" spans="2:10" x14ac:dyDescent="0.25">
      <c r="B7" s="207"/>
      <c r="C7" s="208"/>
      <c r="D7" s="208"/>
      <c r="E7" s="208"/>
      <c r="F7" s="208"/>
      <c r="G7" s="209"/>
      <c r="J7" s="5"/>
    </row>
    <row r="8" spans="2:10" ht="45" x14ac:dyDescent="0.25">
      <c r="B8" s="48" t="s">
        <v>38</v>
      </c>
      <c r="C8" s="2" t="s">
        <v>78</v>
      </c>
      <c r="D8" s="23" t="s">
        <v>116</v>
      </c>
      <c r="E8" s="2" t="s">
        <v>111</v>
      </c>
      <c r="F8" s="2" t="s">
        <v>112</v>
      </c>
      <c r="G8" s="27">
        <f>5000/4</f>
        <v>1250</v>
      </c>
      <c r="H8" s="55"/>
    </row>
    <row r="9" spans="2:10" x14ac:dyDescent="0.25">
      <c r="B9" s="207"/>
      <c r="C9" s="208"/>
      <c r="D9" s="208"/>
      <c r="E9" s="208"/>
      <c r="F9" s="208"/>
      <c r="G9" s="209"/>
    </row>
    <row r="10" spans="2:10" x14ac:dyDescent="0.25">
      <c r="B10" s="285" t="s">
        <v>38</v>
      </c>
      <c r="C10" s="130"/>
      <c r="D10" s="130" t="s">
        <v>146</v>
      </c>
      <c r="E10" s="130">
        <v>642</v>
      </c>
      <c r="F10" s="130">
        <v>438</v>
      </c>
      <c r="G10" s="131">
        <f>INFORMAÇÃO!K15*0.05</f>
        <v>14250</v>
      </c>
    </row>
    <row r="11" spans="2:10" x14ac:dyDescent="0.25">
      <c r="B11" s="285" t="s">
        <v>38</v>
      </c>
      <c r="C11" s="130"/>
      <c r="D11" s="130" t="s">
        <v>147</v>
      </c>
      <c r="E11" s="130">
        <v>642</v>
      </c>
      <c r="F11" s="130">
        <v>438</v>
      </c>
      <c r="G11" s="131">
        <f>INFORMAÇÃO!K16*0.25</f>
        <v>9375</v>
      </c>
    </row>
    <row r="12" spans="2:10" x14ac:dyDescent="0.25">
      <c r="B12" s="167" t="s">
        <v>38</v>
      </c>
      <c r="C12" s="168"/>
      <c r="D12" s="168" t="s">
        <v>148</v>
      </c>
      <c r="E12" s="168">
        <v>642</v>
      </c>
      <c r="F12" s="168">
        <v>438</v>
      </c>
      <c r="G12" s="169">
        <f>INFORMAÇÃO!K17*0.1428</f>
        <v>8568</v>
      </c>
    </row>
    <row r="13" spans="2:10" x14ac:dyDescent="0.25">
      <c r="B13" s="207"/>
      <c r="C13" s="208"/>
      <c r="D13" s="208"/>
      <c r="E13" s="208"/>
      <c r="F13" s="208"/>
      <c r="G13" s="209"/>
    </row>
    <row r="14" spans="2:10" x14ac:dyDescent="0.25">
      <c r="B14" s="285" t="s">
        <v>38</v>
      </c>
      <c r="C14" s="130"/>
      <c r="D14" s="130" t="s">
        <v>39</v>
      </c>
      <c r="E14" s="130">
        <v>643</v>
      </c>
      <c r="F14" s="130">
        <v>448</v>
      </c>
      <c r="G14" s="131">
        <f>INFORMAÇÃO!K21/2</f>
        <v>5000</v>
      </c>
      <c r="J14" s="5"/>
    </row>
    <row r="15" spans="2:10" x14ac:dyDescent="0.25">
      <c r="B15" s="207"/>
      <c r="C15" s="208"/>
      <c r="D15" s="208"/>
      <c r="E15" s="208"/>
      <c r="F15" s="208"/>
      <c r="G15" s="209"/>
    </row>
    <row r="16" spans="2:10" x14ac:dyDescent="0.25">
      <c r="B16" s="48" t="s">
        <v>38</v>
      </c>
      <c r="C16" s="2" t="s">
        <v>107</v>
      </c>
      <c r="D16" s="2" t="s">
        <v>60</v>
      </c>
      <c r="E16" s="2">
        <v>65</v>
      </c>
      <c r="F16" s="2" t="s">
        <v>88</v>
      </c>
      <c r="G16" s="27">
        <v>7000</v>
      </c>
      <c r="H16" s="1" t="s">
        <v>287</v>
      </c>
    </row>
    <row r="17" spans="2:8" x14ac:dyDescent="0.25">
      <c r="B17" s="207"/>
      <c r="C17" s="208"/>
      <c r="D17" s="208"/>
      <c r="E17" s="208"/>
      <c r="F17" s="208"/>
      <c r="G17" s="209"/>
    </row>
    <row r="18" spans="2:8" x14ac:dyDescent="0.25">
      <c r="B18" s="187" t="s">
        <v>38</v>
      </c>
      <c r="C18" s="190" t="s">
        <v>108</v>
      </c>
      <c r="D18" s="193" t="s">
        <v>110</v>
      </c>
      <c r="E18" s="130" t="s">
        <v>7</v>
      </c>
      <c r="F18" s="130" t="s">
        <v>63</v>
      </c>
      <c r="G18" s="131">
        <f>G20-G19</f>
        <v>835</v>
      </c>
    </row>
    <row r="19" spans="2:8" x14ac:dyDescent="0.25">
      <c r="B19" s="188"/>
      <c r="C19" s="191"/>
      <c r="D19" s="191"/>
      <c r="E19" s="130" t="s">
        <v>7</v>
      </c>
      <c r="F19" s="130" t="s">
        <v>65</v>
      </c>
      <c r="G19" s="131">
        <f>G20*0.165</f>
        <v>165</v>
      </c>
      <c r="H19" s="266" t="s">
        <v>275</v>
      </c>
    </row>
    <row r="20" spans="2:8" x14ac:dyDescent="0.25">
      <c r="B20" s="189"/>
      <c r="C20" s="192"/>
      <c r="D20" s="192"/>
      <c r="E20" s="130" t="s">
        <v>109</v>
      </c>
      <c r="F20" s="130" t="s">
        <v>7</v>
      </c>
      <c r="G20" s="131">
        <v>1000</v>
      </c>
    </row>
    <row r="21" spans="2:8" ht="15.75" thickBot="1" x14ac:dyDescent="0.3">
      <c r="B21" s="178"/>
      <c r="C21" s="179"/>
      <c r="D21" s="179"/>
      <c r="E21" s="179"/>
      <c r="F21" s="179"/>
      <c r="G21" s="180"/>
    </row>
  </sheetData>
  <mergeCells count="16">
    <mergeCell ref="B2:G3"/>
    <mergeCell ref="B21:G21"/>
    <mergeCell ref="B9:G9"/>
    <mergeCell ref="B17:G17"/>
    <mergeCell ref="D18:D20"/>
    <mergeCell ref="C18:C20"/>
    <mergeCell ref="B18:B20"/>
    <mergeCell ref="B15:G15"/>
    <mergeCell ref="B7:G7"/>
    <mergeCell ref="B13:G13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4"/>
  <sheetViews>
    <sheetView topLeftCell="A4" workbookViewId="0">
      <selection activeCell="K22" sqref="K22"/>
    </sheetView>
  </sheetViews>
  <sheetFormatPr defaultRowHeight="15" x14ac:dyDescent="0.25"/>
  <cols>
    <col min="3" max="3" width="13.85546875" bestFit="1" customWidth="1"/>
    <col min="4" max="4" width="7.5703125" bestFit="1" customWidth="1"/>
    <col min="10" max="10" width="12" bestFit="1" customWidth="1"/>
  </cols>
  <sheetData>
    <row r="3" spans="1:13" x14ac:dyDescent="0.25">
      <c r="A3">
        <v>1</v>
      </c>
      <c r="B3" t="s">
        <v>215</v>
      </c>
    </row>
    <row r="5" spans="1:13" x14ac:dyDescent="0.25">
      <c r="A5">
        <v>2</v>
      </c>
      <c r="B5" t="s">
        <v>216</v>
      </c>
    </row>
    <row r="7" spans="1:13" x14ac:dyDescent="0.25">
      <c r="B7" t="s">
        <v>217</v>
      </c>
    </row>
    <row r="8" spans="1:13" x14ac:dyDescent="0.25">
      <c r="B8" t="s">
        <v>218</v>
      </c>
    </row>
    <row r="10" spans="1:13" x14ac:dyDescent="0.25">
      <c r="C10" t="s">
        <v>219</v>
      </c>
      <c r="D10" s="124">
        <v>900000</v>
      </c>
      <c r="F10" s="123">
        <f>+D10*0.3</f>
        <v>270000</v>
      </c>
    </row>
    <row r="11" spans="1:13" x14ac:dyDescent="0.25">
      <c r="C11" t="s">
        <v>220</v>
      </c>
      <c r="D11" s="124">
        <v>45000</v>
      </c>
    </row>
    <row r="12" spans="1:13" x14ac:dyDescent="0.25">
      <c r="D12" s="124"/>
    </row>
    <row r="13" spans="1:13" x14ac:dyDescent="0.25">
      <c r="D13" s="124"/>
      <c r="H13" s="283" t="s">
        <v>276</v>
      </c>
      <c r="I13" s="283"/>
      <c r="J13" s="283"/>
      <c r="K13" s="283"/>
      <c r="L13" s="283"/>
      <c r="M13" s="283"/>
    </row>
    <row r="14" spans="1:13" x14ac:dyDescent="0.25">
      <c r="A14">
        <v>3</v>
      </c>
      <c r="B14" t="s">
        <v>221</v>
      </c>
      <c r="D14" s="124"/>
      <c r="J14" t="s">
        <v>280</v>
      </c>
      <c r="K14" t="s">
        <v>281</v>
      </c>
    </row>
    <row r="15" spans="1:13" x14ac:dyDescent="0.25">
      <c r="C15" t="s">
        <v>222</v>
      </c>
      <c r="D15" s="124">
        <v>300000</v>
      </c>
      <c r="E15" t="s">
        <v>225</v>
      </c>
      <c r="H15" t="s">
        <v>277</v>
      </c>
      <c r="J15">
        <f>D15*0.05</f>
        <v>15000</v>
      </c>
      <c r="K15" s="124">
        <f>+D15-J15</f>
        <v>285000</v>
      </c>
    </row>
    <row r="16" spans="1:13" x14ac:dyDescent="0.25">
      <c r="C16" t="s">
        <v>223</v>
      </c>
      <c r="D16" s="124">
        <v>50000</v>
      </c>
      <c r="E16" t="s">
        <v>226</v>
      </c>
      <c r="H16" t="s">
        <v>278</v>
      </c>
      <c r="J16">
        <f>D16*0.25</f>
        <v>12500</v>
      </c>
      <c r="K16" s="124">
        <f t="shared" ref="K16:K17" si="0">+D16-J16</f>
        <v>37500</v>
      </c>
    </row>
    <row r="17" spans="1:11" x14ac:dyDescent="0.25">
      <c r="C17" t="s">
        <v>224</v>
      </c>
      <c r="D17" s="124">
        <v>70000</v>
      </c>
      <c r="E17" t="s">
        <v>227</v>
      </c>
      <c r="H17" t="s">
        <v>279</v>
      </c>
      <c r="J17">
        <v>10000</v>
      </c>
      <c r="K17" s="124">
        <f t="shared" si="0"/>
        <v>60000</v>
      </c>
    </row>
    <row r="20" spans="1:11" x14ac:dyDescent="0.25">
      <c r="A20">
        <v>4</v>
      </c>
      <c r="B20" t="s">
        <v>228</v>
      </c>
    </row>
    <row r="21" spans="1:11" x14ac:dyDescent="0.25">
      <c r="C21" t="s">
        <v>229</v>
      </c>
      <c r="J21">
        <f>15000/3</f>
        <v>5000</v>
      </c>
      <c r="K21">
        <f>15000-J21</f>
        <v>10000</v>
      </c>
    </row>
    <row r="22" spans="1:11" x14ac:dyDescent="0.25">
      <c r="J22" s="284">
        <f>+J15+J16+J17+J21</f>
        <v>42500</v>
      </c>
    </row>
    <row r="23" spans="1:11" x14ac:dyDescent="0.25">
      <c r="A23">
        <v>5</v>
      </c>
      <c r="B23" t="s">
        <v>230</v>
      </c>
    </row>
    <row r="24" spans="1:11" x14ac:dyDescent="0.25">
      <c r="C24" t="s">
        <v>231</v>
      </c>
      <c r="I24" s="123">
        <f>3*18000</f>
        <v>54000</v>
      </c>
    </row>
  </sheetData>
  <mergeCells count="1">
    <mergeCell ref="H13:M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"/>
  <sheetViews>
    <sheetView workbookViewId="0">
      <selection activeCell="L23" sqref="L23"/>
    </sheetView>
  </sheetViews>
  <sheetFormatPr defaultRowHeight="15" x14ac:dyDescent="0.25"/>
  <cols>
    <col min="1" max="1" width="9.140625" style="1"/>
    <col min="2" max="2" width="12.5703125" style="1" customWidth="1"/>
    <col min="3" max="3" width="9.140625" style="1" customWidth="1"/>
    <col min="4" max="4" width="9.140625" style="1"/>
    <col min="5" max="5" width="13.140625" style="1" bestFit="1" customWidth="1"/>
    <col min="6" max="16384" width="9.140625" style="1"/>
  </cols>
  <sheetData>
    <row r="1" spans="2:5" ht="15.75" thickBot="1" x14ac:dyDescent="0.3"/>
    <row r="2" spans="2:5" x14ac:dyDescent="0.25">
      <c r="B2" s="181" t="s">
        <v>130</v>
      </c>
      <c r="C2" s="182"/>
      <c r="D2" s="182"/>
      <c r="E2" s="183"/>
    </row>
    <row r="3" spans="2:5" ht="15.75" thickBot="1" x14ac:dyDescent="0.3">
      <c r="B3" s="184"/>
      <c r="C3" s="185"/>
      <c r="D3" s="185"/>
      <c r="E3" s="186"/>
    </row>
    <row r="4" spans="2:5" ht="15.75" thickBot="1" x14ac:dyDescent="0.3">
      <c r="B4" s="36" t="s">
        <v>2</v>
      </c>
      <c r="C4" s="36" t="s">
        <v>3</v>
      </c>
      <c r="D4" s="36" t="s">
        <v>4</v>
      </c>
      <c r="E4" s="37" t="s">
        <v>5</v>
      </c>
    </row>
    <row r="5" spans="2:5" ht="15" customHeight="1" x14ac:dyDescent="0.25">
      <c r="B5" s="241" t="s">
        <v>118</v>
      </c>
      <c r="C5" s="24" t="s">
        <v>7</v>
      </c>
      <c r="D5" s="24" t="s">
        <v>119</v>
      </c>
      <c r="E5" s="25">
        <f>'Diário de Compras-Vendas'!G13+'Diário de Compras-Vendas'!G24+'Diário de Compras-Vendas'!G43</f>
        <v>62790</v>
      </c>
    </row>
    <row r="6" spans="2:5" x14ac:dyDescent="0.25">
      <c r="B6" s="242"/>
      <c r="C6" s="26" t="s">
        <v>7</v>
      </c>
      <c r="D6" s="26" t="s">
        <v>124</v>
      </c>
      <c r="E6" s="27">
        <f>'Diário de Gastos e Diversos'!G21+'Diário de Gastos e Diversos'!G27</f>
        <v>852.68292682926835</v>
      </c>
    </row>
    <row r="7" spans="2:5" x14ac:dyDescent="0.25">
      <c r="B7" s="242"/>
      <c r="C7" s="26" t="s">
        <v>7</v>
      </c>
      <c r="D7" s="26" t="s">
        <v>125</v>
      </c>
      <c r="E7" s="27">
        <f>+'Diário de Gastos e Diversos'!G50+'Diário de Gastos e Diversos'!G63</f>
        <v>1120</v>
      </c>
    </row>
    <row r="8" spans="2:5" x14ac:dyDescent="0.25">
      <c r="B8" s="242"/>
      <c r="C8" s="26" t="s">
        <v>7</v>
      </c>
      <c r="D8" s="26" t="s">
        <v>122</v>
      </c>
      <c r="E8" s="27">
        <f>+'Diário de Compras-Vendas'!G38</f>
        <v>2070</v>
      </c>
    </row>
    <row r="9" spans="2:5" x14ac:dyDescent="0.25">
      <c r="B9" s="242"/>
      <c r="C9" s="26" t="s">
        <v>7</v>
      </c>
      <c r="D9" s="26" t="s">
        <v>123</v>
      </c>
      <c r="E9" s="27">
        <f>+'Diário de Compras-Vendas'!G58</f>
        <v>7429</v>
      </c>
    </row>
    <row r="10" spans="2:5" x14ac:dyDescent="0.25">
      <c r="B10" s="242"/>
      <c r="C10" s="2" t="s">
        <v>120</v>
      </c>
      <c r="D10" s="2" t="s">
        <v>7</v>
      </c>
      <c r="E10" s="27">
        <f>+'Diário de Compras-Vendas'!G19+'Diário de Compras-Vendas'!G34+'Diário de Compras-Vendas'!G55</f>
        <v>151708</v>
      </c>
    </row>
    <row r="11" spans="2:5" x14ac:dyDescent="0.25">
      <c r="B11" s="242"/>
      <c r="C11" s="2" t="s">
        <v>121</v>
      </c>
      <c r="D11" s="2" t="s">
        <v>7</v>
      </c>
      <c r="E11" s="27">
        <f>+'Diário de Compras-Vendas'!G30</f>
        <v>19.107250000000001</v>
      </c>
    </row>
    <row r="12" spans="2:5" x14ac:dyDescent="0.25">
      <c r="B12" s="242"/>
      <c r="C12" s="2" t="s">
        <v>122</v>
      </c>
      <c r="D12" s="2" t="s">
        <v>7</v>
      </c>
      <c r="E12" s="27">
        <f>+'Diário de Compras-Vendas'!G46</f>
        <v>10143</v>
      </c>
    </row>
    <row r="13" spans="2:5" ht="15.75" thickBot="1" x14ac:dyDescent="0.3">
      <c r="B13" s="243"/>
      <c r="C13" s="57" t="s">
        <v>123</v>
      </c>
      <c r="D13" s="57" t="s">
        <v>7</v>
      </c>
      <c r="E13" s="28">
        <f>+'Diário de Compras-Vendas'!G50</f>
        <v>483</v>
      </c>
    </row>
    <row r="14" spans="2:5" x14ac:dyDescent="0.25">
      <c r="B14" s="241" t="s">
        <v>91</v>
      </c>
      <c r="C14" s="29">
        <v>2435</v>
      </c>
      <c r="D14" s="4" t="s">
        <v>7</v>
      </c>
      <c r="E14" s="25">
        <f>SUM(E5:E9)</f>
        <v>74261.682926829264</v>
      </c>
    </row>
    <row r="15" spans="2:5" ht="15.75" thickBot="1" x14ac:dyDescent="0.3">
      <c r="B15" s="244"/>
      <c r="C15" s="30" t="s">
        <v>7</v>
      </c>
      <c r="D15" s="3">
        <v>2435</v>
      </c>
      <c r="E15" s="31">
        <f>SUM(E10:E13)</f>
        <v>162353.10725</v>
      </c>
    </row>
    <row r="16" spans="2:5" ht="30.75" thickBot="1" x14ac:dyDescent="0.3">
      <c r="B16" s="34" t="s">
        <v>126</v>
      </c>
      <c r="C16" s="32">
        <v>2436</v>
      </c>
      <c r="D16" s="21" t="s">
        <v>63</v>
      </c>
      <c r="E16" s="33">
        <f>E15-E14</f>
        <v>88091.424323170737</v>
      </c>
    </row>
  </sheetData>
  <mergeCells count="3">
    <mergeCell ref="B5:B13"/>
    <mergeCell ref="B14:B15"/>
    <mergeCell ref="B2:E3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BC80"/>
  <sheetViews>
    <sheetView topLeftCell="T43" zoomScaleNormal="100" workbookViewId="0">
      <selection activeCell="AL51" sqref="AL51"/>
    </sheetView>
  </sheetViews>
  <sheetFormatPr defaultRowHeight="15" x14ac:dyDescent="0.25"/>
  <cols>
    <col min="3" max="3" width="12.140625" bestFit="1" customWidth="1"/>
    <col min="4" max="4" width="10.5703125" bestFit="1" customWidth="1"/>
    <col min="5" max="5" width="11.5703125" bestFit="1" customWidth="1"/>
    <col min="9" max="12" width="12" bestFit="1" customWidth="1"/>
    <col min="14" max="14" width="13.85546875" bestFit="1" customWidth="1"/>
    <col min="16" max="16" width="12" bestFit="1" customWidth="1"/>
    <col min="17" max="17" width="11" bestFit="1" customWidth="1"/>
    <col min="18" max="19" width="12" bestFit="1" customWidth="1"/>
    <col min="24" max="24" width="11" bestFit="1" customWidth="1"/>
    <col min="31" max="31" width="11" bestFit="1" customWidth="1"/>
    <col min="38" max="39" width="11" bestFit="1" customWidth="1"/>
    <col min="44" max="44" width="11" bestFit="1" customWidth="1"/>
    <col min="45" max="46" width="12" bestFit="1" customWidth="1"/>
    <col min="52" max="53" width="12" bestFit="1" customWidth="1"/>
  </cols>
  <sheetData>
    <row r="3" spans="2:55" x14ac:dyDescent="0.25">
      <c r="B3" s="125"/>
      <c r="C3" s="240">
        <v>11</v>
      </c>
      <c r="D3" s="240"/>
      <c r="E3" s="125"/>
      <c r="G3" s="125" t="s">
        <v>286</v>
      </c>
      <c r="H3" s="125">
        <v>26000</v>
      </c>
      <c r="I3" s="361">
        <v>12</v>
      </c>
      <c r="J3" s="361"/>
      <c r="K3" s="128"/>
      <c r="L3" s="129"/>
      <c r="M3" s="129"/>
      <c r="N3" s="125"/>
      <c r="O3" s="125"/>
      <c r="P3" s="240" t="s">
        <v>234</v>
      </c>
      <c r="Q3" s="240"/>
      <c r="R3" s="125"/>
      <c r="S3" s="125"/>
      <c r="U3" s="125"/>
      <c r="V3" s="125">
        <v>31</v>
      </c>
      <c r="W3" s="240" t="s">
        <v>232</v>
      </c>
      <c r="X3" s="240"/>
      <c r="Y3" s="125"/>
      <c r="Z3" s="125"/>
      <c r="AB3" s="125"/>
      <c r="AC3" s="125">
        <v>318</v>
      </c>
      <c r="AD3" s="240" t="s">
        <v>236</v>
      </c>
      <c r="AE3" s="240"/>
      <c r="AF3" s="125"/>
      <c r="AG3" s="125"/>
      <c r="AJ3" s="125"/>
      <c r="AK3" s="125"/>
      <c r="AL3" s="240">
        <v>62</v>
      </c>
      <c r="AM3" s="240"/>
      <c r="AN3" s="125"/>
      <c r="AO3" s="125"/>
      <c r="AQ3" s="125"/>
      <c r="AR3" s="125"/>
      <c r="AS3" s="240">
        <v>63</v>
      </c>
      <c r="AT3" s="240"/>
      <c r="AU3" s="125"/>
      <c r="AV3" s="125"/>
      <c r="AX3" s="125"/>
      <c r="AY3" s="125"/>
      <c r="AZ3" s="240">
        <v>23</v>
      </c>
      <c r="BA3" s="240"/>
      <c r="BB3" s="125"/>
      <c r="BC3" s="125"/>
    </row>
    <row r="4" spans="2:55" x14ac:dyDescent="0.25">
      <c r="C4" s="126"/>
      <c r="G4" s="289">
        <f>+AE25-AK25+D25</f>
        <v>253120</v>
      </c>
      <c r="I4" s="126" t="s">
        <v>10</v>
      </c>
      <c r="J4" t="s">
        <v>8</v>
      </c>
      <c r="L4" s="307">
        <f>+P4+W4-X25</f>
        <v>113000</v>
      </c>
      <c r="N4" t="s">
        <v>8</v>
      </c>
      <c r="P4" s="305">
        <f>+W4*0.23</f>
        <v>23000</v>
      </c>
      <c r="Q4">
        <v>23000</v>
      </c>
      <c r="U4" t="s">
        <v>8</v>
      </c>
      <c r="V4">
        <v>25000</v>
      </c>
      <c r="W4" s="305">
        <f>25000*4</f>
        <v>100000</v>
      </c>
      <c r="AD4" s="126"/>
      <c r="AE4" s="300">
        <f>+W6*0.3</f>
        <v>44100</v>
      </c>
      <c r="AG4" t="s">
        <v>13</v>
      </c>
      <c r="AL4" s="332">
        <f>'Diário de Gastos e Diversos'!G22</f>
        <v>2439.0243902439024</v>
      </c>
      <c r="AS4" s="327">
        <f>'Diário de Gastos e Diversos'!G6+'Diário de Gastos e Diversos'!G7+'Diário de Gastos e Diversos'!G15+'Diário de Gastos e Diversos'!G16</f>
        <v>74175</v>
      </c>
      <c r="AZ4" s="126"/>
      <c r="BA4" s="327">
        <f>+'Diário de Gastos e Diversos'!G12+'Diário de Gastos e Diversos'!G13</f>
        <v>41850</v>
      </c>
    </row>
    <row r="5" spans="2:55" x14ac:dyDescent="0.25">
      <c r="C5" s="127"/>
      <c r="G5" s="351">
        <v>5000</v>
      </c>
      <c r="I5" s="127" t="s">
        <v>66</v>
      </c>
      <c r="J5" t="s">
        <v>250</v>
      </c>
      <c r="L5" s="338">
        <f>'Diário de Gastos e Diversos'!G48</f>
        <v>2950</v>
      </c>
      <c r="N5" t="s">
        <v>11</v>
      </c>
      <c r="P5" s="308">
        <f>+W5*0.23</f>
        <v>8280</v>
      </c>
      <c r="Q5">
        <v>8280</v>
      </c>
      <c r="U5" t="s">
        <v>11</v>
      </c>
      <c r="V5">
        <v>12000</v>
      </c>
      <c r="W5" s="308">
        <f>3*12000</f>
        <v>36000</v>
      </c>
      <c r="AD5" s="127"/>
      <c r="AE5" s="315">
        <f>25*'Ficha de Valorimetria'!J9</f>
        <v>83.074935400516793</v>
      </c>
      <c r="AG5" t="s">
        <v>40</v>
      </c>
      <c r="AL5" s="331">
        <f>'Diário de Gastos e Diversos'!G24</f>
        <v>1440</v>
      </c>
      <c r="AS5" s="363">
        <f>C57+C58</f>
        <v>8571.4285714285706</v>
      </c>
      <c r="AT5" s="254"/>
      <c r="AZ5" s="127"/>
      <c r="BA5" s="254"/>
    </row>
    <row r="6" spans="2:55" x14ac:dyDescent="0.25">
      <c r="C6" s="127"/>
      <c r="G6">
        <f>'Balanço e Demons. Resultados'!K16</f>
        <v>72000</v>
      </c>
      <c r="I6" s="127"/>
      <c r="J6" t="s">
        <v>251</v>
      </c>
      <c r="L6" s="329">
        <f>'Diário de Gastos e Diversos'!G18</f>
        <v>9600</v>
      </c>
      <c r="N6" t="s">
        <v>13</v>
      </c>
      <c r="P6" s="310">
        <f>+W6*0.23</f>
        <v>33810</v>
      </c>
      <c r="U6" t="s">
        <v>13</v>
      </c>
      <c r="V6">
        <v>42000</v>
      </c>
      <c r="W6" s="310">
        <f>3.5*42000</f>
        <v>147000</v>
      </c>
      <c r="AD6" s="127"/>
      <c r="AE6" s="313">
        <f>600*3.5</f>
        <v>2100</v>
      </c>
      <c r="AF6" t="s">
        <v>270</v>
      </c>
      <c r="AL6" s="331">
        <f>'Diário de Gastos e Diversos'!G28</f>
        <v>1268.2926829268292</v>
      </c>
      <c r="AS6" s="127"/>
      <c r="AT6" s="254"/>
      <c r="AZ6" s="127"/>
      <c r="BA6" s="254"/>
    </row>
    <row r="7" spans="2:55" x14ac:dyDescent="0.25">
      <c r="C7" s="127"/>
      <c r="G7" s="349">
        <v>1000</v>
      </c>
      <c r="I7" s="127" t="s">
        <v>284</v>
      </c>
      <c r="J7" t="s">
        <v>252</v>
      </c>
      <c r="L7" s="330">
        <f>'Diário de Gastos e Diversos'!G20</f>
        <v>3000</v>
      </c>
      <c r="N7" t="s">
        <v>245</v>
      </c>
      <c r="P7" s="331">
        <f>L7/1.23*0.23</f>
        <v>560.97560975609758</v>
      </c>
      <c r="Q7" s="254">
        <f>P7/12*3</f>
        <v>140.2439024390244</v>
      </c>
      <c r="W7" s="127"/>
      <c r="AD7" s="127"/>
      <c r="AL7" s="333">
        <v>1920</v>
      </c>
      <c r="AS7" s="127"/>
      <c r="AZ7" s="127"/>
    </row>
    <row r="8" spans="2:55" x14ac:dyDescent="0.25">
      <c r="C8" s="127"/>
      <c r="I8" s="127"/>
      <c r="J8" t="s">
        <v>253</v>
      </c>
      <c r="L8" s="330">
        <f>'Diário de Gastos e Diversos'!G24</f>
        <v>1440</v>
      </c>
      <c r="N8" t="s">
        <v>249</v>
      </c>
      <c r="P8" s="331">
        <f>+L9/1.23*0.23</f>
        <v>291.70731707317071</v>
      </c>
      <c r="Q8" s="311">
        <f>+P8/12*3</f>
        <v>72.926829268292678</v>
      </c>
      <c r="W8" s="127"/>
      <c r="AD8" s="127"/>
      <c r="AL8" s="165">
        <f>'Diário de Gastos e Diversos'!G62</f>
        <v>2980</v>
      </c>
      <c r="AS8" s="127"/>
      <c r="AZ8" s="127"/>
    </row>
    <row r="9" spans="2:55" x14ac:dyDescent="0.25">
      <c r="C9" s="127"/>
      <c r="I9" s="127"/>
      <c r="J9" t="s">
        <v>249</v>
      </c>
      <c r="L9" s="330">
        <f>'Diário de Gastos e Diversos'!G26</f>
        <v>1560</v>
      </c>
      <c r="P9" s="127"/>
      <c r="W9" s="127"/>
      <c r="AD9" s="127"/>
      <c r="AJ9" t="s">
        <v>285</v>
      </c>
      <c r="AL9" s="353">
        <f>'Diário de Gastos e Diversos'!G57</f>
        <v>2130.4109589041095</v>
      </c>
      <c r="AS9" s="127"/>
      <c r="AZ9" s="127"/>
    </row>
    <row r="10" spans="2:55" x14ac:dyDescent="0.25">
      <c r="C10" s="127"/>
      <c r="I10" s="127"/>
      <c r="J10" t="s">
        <v>254</v>
      </c>
      <c r="L10" s="330">
        <v>1920</v>
      </c>
      <c r="P10" s="127"/>
      <c r="R10" s="335">
        <f>+P4+P5+P6+P7+P8-Q4-Q5-Q7-Q8</f>
        <v>34449.512195121963</v>
      </c>
      <c r="W10" s="127"/>
      <c r="AD10" s="127"/>
      <c r="AL10" s="165"/>
      <c r="AQ10" s="125"/>
      <c r="AR10" s="125"/>
      <c r="AS10" s="240">
        <v>635</v>
      </c>
      <c r="AT10" s="240"/>
      <c r="AU10" s="125"/>
      <c r="AV10" s="125"/>
      <c r="AX10" s="125"/>
      <c r="AY10" s="240">
        <v>79</v>
      </c>
      <c r="AZ10" s="240"/>
      <c r="BA10" s="125"/>
    </row>
    <row r="11" spans="2:55" x14ac:dyDescent="0.25">
      <c r="C11" s="127"/>
      <c r="I11" s="127"/>
      <c r="J11" t="s">
        <v>260</v>
      </c>
      <c r="L11" s="338">
        <f>'Diário de Gastos e Diversos'!G51</f>
        <v>2950</v>
      </c>
      <c r="P11" s="127"/>
      <c r="W11" s="127"/>
      <c r="AD11" s="127"/>
      <c r="AL11" s="127"/>
      <c r="AS11" s="126"/>
      <c r="AT11" s="254">
        <f>'Diário de Gastos e Diversos'!G15+'Diário de Gastos e Diversos'!G16</f>
        <v>14175</v>
      </c>
      <c r="AY11" s="126"/>
      <c r="AZ11" s="350">
        <v>1273.8800000000001</v>
      </c>
    </row>
    <row r="12" spans="2:55" x14ac:dyDescent="0.25">
      <c r="C12" s="127"/>
      <c r="I12" s="127"/>
      <c r="J12" t="s">
        <v>262</v>
      </c>
      <c r="L12" s="346">
        <f>'Diário de Gastos e Diversos'!G61</f>
        <v>2980</v>
      </c>
      <c r="P12" s="127"/>
      <c r="W12" s="127"/>
      <c r="AD12" s="127"/>
      <c r="AL12" s="127"/>
      <c r="AS12" s="127"/>
      <c r="AT12" s="254"/>
      <c r="AY12" s="127"/>
      <c r="AZ12" s="254"/>
    </row>
    <row r="13" spans="2:55" x14ac:dyDescent="0.25">
      <c r="C13" s="127"/>
      <c r="I13" s="127"/>
      <c r="J13" s="301"/>
      <c r="K13" s="301"/>
      <c r="L13" s="348"/>
      <c r="P13" s="127"/>
      <c r="W13" s="127"/>
      <c r="AD13" s="127"/>
      <c r="AL13" s="127"/>
      <c r="AS13" s="127"/>
      <c r="AT13" s="254"/>
      <c r="AY13" s="127"/>
      <c r="AZ13" s="254"/>
    </row>
    <row r="14" spans="2:55" x14ac:dyDescent="0.25">
      <c r="C14" s="127"/>
      <c r="I14" s="127"/>
      <c r="J14" t="s">
        <v>265</v>
      </c>
      <c r="L14" s="354">
        <f>'Diário de Gastos e Diversos'!G56</f>
        <v>3200</v>
      </c>
      <c r="P14" s="127"/>
      <c r="W14" s="127"/>
      <c r="AD14" s="127"/>
      <c r="AL14" s="127"/>
      <c r="AS14" s="127"/>
      <c r="AY14" s="127"/>
    </row>
    <row r="15" spans="2:55" x14ac:dyDescent="0.25">
      <c r="C15" s="127"/>
      <c r="I15" s="127"/>
      <c r="J15" t="s">
        <v>268</v>
      </c>
      <c r="L15" s="356">
        <f>'Diário de Gastos e Diversos'!G69</f>
        <v>1000</v>
      </c>
      <c r="P15" s="127"/>
      <c r="W15" s="127"/>
      <c r="AD15" s="127"/>
      <c r="AL15" s="127"/>
      <c r="AS15" s="127"/>
      <c r="AY15" s="127"/>
    </row>
    <row r="16" spans="2:55" x14ac:dyDescent="0.25">
      <c r="I16" s="127"/>
      <c r="L16">
        <f>'Balanço e Demons. Resultados'!K47</f>
        <v>62500</v>
      </c>
    </row>
    <row r="17" spans="1:54" x14ac:dyDescent="0.25">
      <c r="I17" s="129"/>
      <c r="L17">
        <f>'Balanço e Demons. Resultados'!K50</f>
        <v>15000</v>
      </c>
    </row>
    <row r="18" spans="1:54" x14ac:dyDescent="0.25">
      <c r="I18" s="129"/>
      <c r="J18" t="s">
        <v>274</v>
      </c>
      <c r="L18" s="254">
        <f>'Diário de Gastos e Diversos'!G13+'Diário de Gastos e Diversos'!G12-C57-C58</f>
        <v>33278.571428571428</v>
      </c>
    </row>
    <row r="19" spans="1:54" x14ac:dyDescent="0.25">
      <c r="I19" s="129"/>
      <c r="J19" t="s">
        <v>294</v>
      </c>
      <c r="L19" s="254">
        <f>I51</f>
        <v>14732.141428571429</v>
      </c>
    </row>
    <row r="20" spans="1:54" x14ac:dyDescent="0.25">
      <c r="I20" s="129"/>
      <c r="J20" t="s">
        <v>293</v>
      </c>
      <c r="L20" s="254">
        <f>I42-J43</f>
        <v>10500.059628571427</v>
      </c>
    </row>
    <row r="21" spans="1:54" x14ac:dyDescent="0.25">
      <c r="I21" s="129"/>
      <c r="J21" t="s">
        <v>295</v>
      </c>
      <c r="L21" s="254">
        <f>+E29+J26-I26-I27-R10</f>
        <v>61410.595040020155</v>
      </c>
    </row>
    <row r="22" spans="1:54" x14ac:dyDescent="0.25">
      <c r="I22" s="129"/>
    </row>
    <row r="24" spans="1:54" x14ac:dyDescent="0.25">
      <c r="A24" s="125"/>
      <c r="B24" s="125"/>
      <c r="C24" s="361" t="s">
        <v>242</v>
      </c>
      <c r="D24" s="361"/>
      <c r="E24" s="125"/>
      <c r="F24" s="125"/>
      <c r="G24" s="125"/>
      <c r="H24" s="361" t="s">
        <v>235</v>
      </c>
      <c r="I24" s="361"/>
      <c r="J24" s="361"/>
      <c r="K24" s="361"/>
      <c r="L24" s="125"/>
      <c r="N24" s="125"/>
      <c r="O24" s="125"/>
      <c r="P24" s="369">
        <v>22</v>
      </c>
      <c r="Q24" s="369"/>
      <c r="R24" s="125" t="s">
        <v>286</v>
      </c>
      <c r="S24" s="125">
        <v>62500</v>
      </c>
      <c r="U24" s="125"/>
      <c r="V24" s="125"/>
      <c r="W24" s="125" t="s">
        <v>233</v>
      </c>
      <c r="X24" s="125"/>
      <c r="Y24" s="125"/>
      <c r="Z24" s="125"/>
      <c r="AB24" s="125"/>
      <c r="AC24" s="125"/>
      <c r="AD24" s="240" t="s">
        <v>241</v>
      </c>
      <c r="AE24" s="240"/>
      <c r="AF24" s="125"/>
      <c r="AG24" s="125"/>
      <c r="AI24" s="125"/>
      <c r="AJ24" s="125"/>
      <c r="AK24" s="240">
        <v>68</v>
      </c>
      <c r="AL24" s="240"/>
      <c r="AM24" s="125"/>
      <c r="AN24" s="125"/>
      <c r="AP24" s="125"/>
      <c r="AQ24" s="125"/>
      <c r="AR24" s="240">
        <v>69</v>
      </c>
      <c r="AS24" s="240"/>
      <c r="AT24" s="125"/>
      <c r="AU24" s="125"/>
      <c r="AX24" s="125"/>
      <c r="AY24" s="125"/>
      <c r="AZ24" s="240">
        <v>434</v>
      </c>
      <c r="BA24" s="240"/>
      <c r="BB24" s="125"/>
    </row>
    <row r="25" spans="1:54" x14ac:dyDescent="0.25">
      <c r="C25" s="126">
        <v>51520</v>
      </c>
      <c r="D25" s="289">
        <f>AE25*0.23</f>
        <v>51520</v>
      </c>
      <c r="F25" t="s">
        <v>10</v>
      </c>
      <c r="I25" s="299"/>
      <c r="J25" s="300">
        <f>+AE4*0.23</f>
        <v>10143</v>
      </c>
      <c r="L25" t="s">
        <v>13</v>
      </c>
      <c r="P25" s="126"/>
      <c r="Q25" s="309">
        <f>+P5+W5</f>
        <v>44280</v>
      </c>
      <c r="S25" t="s">
        <v>11</v>
      </c>
      <c r="W25" s="126"/>
      <c r="X25" s="306">
        <f>W4*0.1</f>
        <v>10000</v>
      </c>
      <c r="Z25" t="s">
        <v>8</v>
      </c>
      <c r="AD25" s="126"/>
      <c r="AE25" s="289">
        <f>28000*8</f>
        <v>224000</v>
      </c>
      <c r="AG25" t="s">
        <v>10</v>
      </c>
      <c r="AI25" t="s">
        <v>10</v>
      </c>
      <c r="AK25" s="290">
        <f>AE25*0.1</f>
        <v>22400</v>
      </c>
      <c r="AR25" s="328">
        <f>'Diário de Gastos e Diversos'!G18</f>
        <v>9600</v>
      </c>
      <c r="AX25" s="301"/>
      <c r="AY25" s="301"/>
      <c r="AZ25" s="336">
        <f>S46</f>
        <v>34686</v>
      </c>
    </row>
    <row r="26" spans="1:54" x14ac:dyDescent="0.25">
      <c r="C26" s="127"/>
      <c r="D26" s="293">
        <f>AE26*0.23</f>
        <v>31050</v>
      </c>
      <c r="F26" t="s">
        <v>243</v>
      </c>
      <c r="G26" t="s">
        <v>243</v>
      </c>
      <c r="I26" s="295">
        <f>AD38*0.23</f>
        <v>2070</v>
      </c>
      <c r="J26" s="364">
        <f>AE5*0.23</f>
        <v>19.107235142118864</v>
      </c>
      <c r="L26" t="s">
        <v>40</v>
      </c>
      <c r="N26" t="s">
        <v>13</v>
      </c>
      <c r="P26" s="357">
        <f>+J25+AE4</f>
        <v>54243</v>
      </c>
      <c r="Q26" s="300">
        <f>+W6+P6-J25-AE4</f>
        <v>126567</v>
      </c>
      <c r="S26" t="s">
        <v>13</v>
      </c>
      <c r="W26" s="127"/>
      <c r="AD26" s="127"/>
      <c r="AE26" s="293">
        <f>15000*9</f>
        <v>135000</v>
      </c>
      <c r="AG26" t="s">
        <v>243</v>
      </c>
      <c r="AI26" t="s">
        <v>40</v>
      </c>
      <c r="AK26" s="316">
        <f>+AE5+J26</f>
        <v>102.18217054263566</v>
      </c>
      <c r="AP26" t="s">
        <v>259</v>
      </c>
      <c r="AR26" s="339">
        <f>'Diário de Gastos e Diversos'!G50</f>
        <v>1120</v>
      </c>
      <c r="AX26" s="301"/>
      <c r="AY26" s="301"/>
      <c r="AZ26" s="341">
        <f>'Diário de Gastos e Diversos'!G60</f>
        <v>30750</v>
      </c>
    </row>
    <row r="27" spans="1:54" x14ac:dyDescent="0.25">
      <c r="C27" s="127"/>
      <c r="D27" s="292">
        <f>AE27*0.23</f>
        <v>74290</v>
      </c>
      <c r="F27" t="s">
        <v>58</v>
      </c>
      <c r="G27" t="s">
        <v>58</v>
      </c>
      <c r="I27" s="297">
        <f>AL38*0.23</f>
        <v>7429</v>
      </c>
      <c r="P27" s="127">
        <v>62500</v>
      </c>
      <c r="W27" s="127"/>
      <c r="AD27" s="127"/>
      <c r="AE27" s="292">
        <f>38000*8.5</f>
        <v>323000</v>
      </c>
      <c r="AG27" t="s">
        <v>58</v>
      </c>
      <c r="AK27" s="127"/>
      <c r="AP27" t="s">
        <v>282</v>
      </c>
      <c r="AR27" s="347">
        <f>'Diário de Gastos e Diversos'!G53</f>
        <v>373.33333333333331</v>
      </c>
      <c r="AX27" s="301"/>
      <c r="AY27" s="301"/>
      <c r="AZ27" s="340"/>
    </row>
    <row r="28" spans="1:54" x14ac:dyDescent="0.25">
      <c r="C28" s="127"/>
      <c r="I28" s="127"/>
      <c r="P28" s="127"/>
      <c r="W28" s="127"/>
      <c r="AD28" s="127"/>
      <c r="AK28" s="127"/>
      <c r="AR28" s="165"/>
      <c r="AX28" s="301"/>
      <c r="AY28" s="301"/>
      <c r="AZ28" s="340"/>
    </row>
    <row r="29" spans="1:54" x14ac:dyDescent="0.25">
      <c r="E29" s="365">
        <f>+D25+D26+D27-C25</f>
        <v>105340</v>
      </c>
      <c r="I29" s="127">
        <v>19.100000000000001</v>
      </c>
      <c r="P29" s="127"/>
      <c r="W29" s="127"/>
      <c r="AD29" s="127"/>
      <c r="AK29" s="127"/>
      <c r="AR29" s="302"/>
      <c r="AX29" s="301"/>
      <c r="AY29" s="301"/>
      <c r="AZ29" s="302"/>
    </row>
    <row r="30" spans="1:54" x14ac:dyDescent="0.25">
      <c r="C30" s="127"/>
      <c r="I30" s="127">
        <v>10143</v>
      </c>
      <c r="J30">
        <v>2070</v>
      </c>
      <c r="P30" s="127"/>
      <c r="W30" s="127"/>
      <c r="AD30" s="127"/>
      <c r="AK30" s="127"/>
      <c r="AR30" s="127"/>
      <c r="AX30" s="301"/>
      <c r="AY30" s="301"/>
      <c r="AZ30" s="302"/>
    </row>
    <row r="31" spans="1:54" x14ac:dyDescent="0.25">
      <c r="C31" s="127"/>
      <c r="I31" s="127"/>
      <c r="K31" s="296">
        <f>J25</f>
        <v>10143</v>
      </c>
      <c r="P31" s="127"/>
      <c r="W31" s="127"/>
      <c r="AD31" s="127"/>
      <c r="AK31" s="127"/>
      <c r="AR31" s="127"/>
      <c r="AX31" s="301"/>
      <c r="AY31" s="301"/>
      <c r="AZ31" s="302"/>
    </row>
    <row r="32" spans="1:54" x14ac:dyDescent="0.25">
      <c r="C32" s="127"/>
      <c r="I32" s="127"/>
      <c r="P32" s="127"/>
      <c r="W32" s="127"/>
      <c r="AD32" s="127"/>
      <c r="AK32" s="127"/>
      <c r="AR32" s="127"/>
      <c r="AZ32" s="127"/>
    </row>
    <row r="33" spans="1:52" x14ac:dyDescent="0.25">
      <c r="C33" s="127"/>
      <c r="I33" s="127"/>
      <c r="P33" s="127"/>
      <c r="W33" s="127"/>
      <c r="AD33" s="127"/>
      <c r="AK33" s="127"/>
      <c r="AR33" s="127"/>
      <c r="AZ33" s="127"/>
    </row>
    <row r="34" spans="1:52" x14ac:dyDescent="0.25">
      <c r="C34" s="127"/>
      <c r="I34" s="127"/>
      <c r="P34" s="127"/>
      <c r="W34" s="127"/>
      <c r="AD34" s="127"/>
      <c r="AK34" s="127"/>
      <c r="AR34" s="127"/>
      <c r="AZ34" s="127"/>
    </row>
    <row r="35" spans="1:52" x14ac:dyDescent="0.25">
      <c r="C35" s="127"/>
      <c r="I35" s="127"/>
      <c r="P35" s="127"/>
      <c r="W35" s="127"/>
    </row>
    <row r="36" spans="1:52" x14ac:dyDescent="0.25">
      <c r="C36" s="127"/>
      <c r="I36" s="127"/>
      <c r="W36" s="127"/>
    </row>
    <row r="37" spans="1:52" x14ac:dyDescent="0.25">
      <c r="N37" s="125" t="s">
        <v>286</v>
      </c>
      <c r="O37" s="125">
        <v>72000</v>
      </c>
      <c r="P37" s="240">
        <v>21</v>
      </c>
      <c r="Q37" s="240"/>
      <c r="R37" s="125"/>
      <c r="S37" s="125"/>
      <c r="U37" s="125"/>
      <c r="V37" s="125"/>
      <c r="W37" s="240">
        <v>219</v>
      </c>
      <c r="X37" s="240"/>
      <c r="Y37" s="125"/>
      <c r="Z37" s="125"/>
      <c r="AB37" s="125"/>
      <c r="AC37" s="125"/>
      <c r="AD37" s="240">
        <v>717</v>
      </c>
      <c r="AE37" s="240"/>
      <c r="AF37" s="125"/>
      <c r="AG37" s="125"/>
      <c r="AJ37" s="125"/>
      <c r="AK37" s="125"/>
      <c r="AL37" s="240" t="s">
        <v>244</v>
      </c>
      <c r="AM37" s="240"/>
      <c r="AN37" s="125"/>
      <c r="AO37" s="125"/>
    </row>
    <row r="38" spans="1:52" x14ac:dyDescent="0.25">
      <c r="A38" s="125"/>
      <c r="B38" s="367"/>
      <c r="C38" s="368"/>
      <c r="D38" s="368"/>
      <c r="E38" s="367"/>
      <c r="F38" s="367"/>
      <c r="G38" s="125"/>
      <c r="H38" s="125"/>
      <c r="I38" s="369">
        <v>242</v>
      </c>
      <c r="J38" s="369"/>
      <c r="K38" s="125"/>
      <c r="L38" s="125"/>
      <c r="N38" t="s">
        <v>243</v>
      </c>
      <c r="P38" s="294">
        <f>+D26+AE26</f>
        <v>166050</v>
      </c>
      <c r="Q38" s="293">
        <f>I26+AD38</f>
        <v>11070</v>
      </c>
      <c r="S38" t="s">
        <v>243</v>
      </c>
      <c r="U38" s="301"/>
      <c r="V38" s="301"/>
      <c r="W38" s="303">
        <v>7000</v>
      </c>
      <c r="X38" s="291">
        <v>7000</v>
      </c>
      <c r="Y38" s="301"/>
      <c r="Z38" s="301"/>
      <c r="AB38" t="s">
        <v>243</v>
      </c>
      <c r="AD38" s="294">
        <f>1000*9</f>
        <v>9000</v>
      </c>
      <c r="AJ38" t="s">
        <v>58</v>
      </c>
      <c r="AL38" s="298">
        <f>AE27*0.1</f>
        <v>32300</v>
      </c>
    </row>
    <row r="39" spans="1:52" x14ac:dyDescent="0.25">
      <c r="B39" s="301"/>
      <c r="C39" s="299"/>
      <c r="D39" s="301"/>
      <c r="E39" s="301"/>
      <c r="F39" s="301"/>
      <c r="I39" s="126"/>
      <c r="J39" s="350">
        <f>AZ11*0.215</f>
        <v>273.88420000000002</v>
      </c>
      <c r="N39" t="s">
        <v>58</v>
      </c>
      <c r="P39" s="297">
        <f>+AE27+D41</f>
        <v>323000</v>
      </c>
      <c r="Q39" s="292">
        <f>+I27+AL38</f>
        <v>39729</v>
      </c>
      <c r="S39" t="s">
        <v>58</v>
      </c>
      <c r="U39" s="301"/>
      <c r="V39" s="301"/>
      <c r="W39" s="302"/>
      <c r="X39" s="301"/>
      <c r="Y39" s="301"/>
      <c r="Z39" s="301"/>
      <c r="AD39" s="127"/>
      <c r="AL39" s="127"/>
    </row>
    <row r="40" spans="1:52" x14ac:dyDescent="0.25">
      <c r="B40" s="301"/>
      <c r="C40" s="302"/>
      <c r="D40" s="301"/>
      <c r="E40" s="301"/>
      <c r="F40" s="301"/>
      <c r="I40" s="127"/>
      <c r="J40" s="356">
        <f>'Diário de Gastos e Diversos'!G71</f>
        <v>197.60399999999998</v>
      </c>
      <c r="P40" s="127"/>
      <c r="Q40" s="291">
        <v>7000</v>
      </c>
      <c r="W40" s="127"/>
      <c r="AD40" s="127"/>
      <c r="AL40" s="127"/>
    </row>
    <row r="41" spans="1:52" x14ac:dyDescent="0.25">
      <c r="B41" s="301"/>
      <c r="C41" s="302"/>
      <c r="D41" s="301"/>
      <c r="E41" s="301"/>
      <c r="F41" s="301"/>
      <c r="I41" s="127"/>
      <c r="J41" s="327">
        <f>'Diário de Gastos e Diversos'!G8+'Diário de Gastos e Diversos'!G9</f>
        <v>11700</v>
      </c>
      <c r="P41" s="127"/>
      <c r="Q41">
        <v>72000</v>
      </c>
      <c r="W41" s="127"/>
      <c r="AD41" s="127"/>
      <c r="AL41" s="127"/>
    </row>
    <row r="42" spans="1:52" x14ac:dyDescent="0.25">
      <c r="B42" s="301"/>
      <c r="C42" s="302"/>
      <c r="D42" s="301"/>
      <c r="E42" s="301"/>
      <c r="F42" s="301"/>
      <c r="I42" s="165">
        <f>+J39+J40+J41</f>
        <v>12171.4882</v>
      </c>
      <c r="P42" s="127"/>
      <c r="W42" s="127"/>
      <c r="AD42" s="127"/>
      <c r="AL42" s="127"/>
    </row>
    <row r="43" spans="1:52" x14ac:dyDescent="0.25">
      <c r="B43" s="301"/>
      <c r="C43" s="302"/>
      <c r="D43" s="301"/>
      <c r="E43" s="301"/>
      <c r="F43" s="301"/>
      <c r="I43" s="127"/>
      <c r="J43" s="312">
        <f>+C61+C62</f>
        <v>1671.4285714285716</v>
      </c>
      <c r="P43" s="127"/>
      <c r="W43" s="127"/>
      <c r="AD43" s="127"/>
      <c r="AL43" s="127"/>
    </row>
    <row r="44" spans="1:52" x14ac:dyDescent="0.25">
      <c r="B44" s="301"/>
      <c r="C44" s="302"/>
      <c r="D44" s="301"/>
      <c r="E44" s="301"/>
      <c r="F44" s="301"/>
      <c r="I44" s="127"/>
      <c r="P44" s="129"/>
      <c r="U44" s="125"/>
      <c r="V44" s="125"/>
      <c r="W44" s="240">
        <v>65</v>
      </c>
      <c r="X44" s="240"/>
      <c r="Y44" s="125"/>
      <c r="Z44" s="125"/>
      <c r="AD44" s="127"/>
      <c r="AL44" s="127"/>
    </row>
    <row r="45" spans="1:52" x14ac:dyDescent="0.25">
      <c r="B45" s="301"/>
      <c r="C45" s="302"/>
      <c r="D45" s="301"/>
      <c r="E45" s="301"/>
      <c r="F45" s="301"/>
      <c r="I45" s="127"/>
      <c r="N45" s="125"/>
      <c r="O45" s="125"/>
      <c r="P45" s="369">
        <v>25</v>
      </c>
      <c r="Q45" s="369"/>
      <c r="R45" s="125"/>
      <c r="S45" s="125"/>
      <c r="W45" s="304">
        <v>7000</v>
      </c>
      <c r="AD45" s="127"/>
      <c r="AL45" s="127"/>
    </row>
    <row r="46" spans="1:52" x14ac:dyDescent="0.25">
      <c r="B46" s="301"/>
      <c r="C46" s="302"/>
      <c r="D46" s="301"/>
      <c r="E46" s="301"/>
      <c r="F46" s="301"/>
      <c r="I46" s="127"/>
      <c r="N46" s="337">
        <f>'Diário de Gastos e Diversos'!G49</f>
        <v>1830</v>
      </c>
      <c r="P46" t="s">
        <v>258</v>
      </c>
      <c r="Q46" t="s">
        <v>255</v>
      </c>
      <c r="S46" s="336">
        <f>'Diário de Gastos e Diversos'!G47</f>
        <v>34686</v>
      </c>
      <c r="W46" s="127"/>
      <c r="AD46" s="127"/>
    </row>
    <row r="47" spans="1:52" x14ac:dyDescent="0.25">
      <c r="B47" s="301"/>
      <c r="C47" s="302"/>
      <c r="D47" s="301"/>
      <c r="E47" s="301"/>
      <c r="F47" s="301"/>
      <c r="I47" s="127"/>
      <c r="N47" s="337">
        <f>'Diário de Gastos e Diversos'!G52</f>
        <v>1830</v>
      </c>
      <c r="P47" t="s">
        <v>261</v>
      </c>
      <c r="S47" s="342"/>
      <c r="W47" s="127"/>
      <c r="AD47" s="127"/>
    </row>
    <row r="48" spans="1:52" x14ac:dyDescent="0.25">
      <c r="C48" s="127"/>
      <c r="P48" s="127"/>
      <c r="W48" s="127"/>
      <c r="AD48" s="127"/>
    </row>
    <row r="49" spans="2:38" x14ac:dyDescent="0.25">
      <c r="C49" s="127"/>
      <c r="P49" s="127"/>
      <c r="W49" s="127"/>
    </row>
    <row r="50" spans="2:38" x14ac:dyDescent="0.25">
      <c r="C50" s="127"/>
      <c r="H50" s="125"/>
      <c r="I50" s="369">
        <v>245</v>
      </c>
      <c r="J50" s="369"/>
      <c r="K50" s="125"/>
      <c r="P50" s="127"/>
      <c r="W50" s="127"/>
      <c r="AL50">
        <v>61</v>
      </c>
    </row>
    <row r="51" spans="2:38" x14ac:dyDescent="0.25">
      <c r="C51" s="127"/>
      <c r="I51" s="366">
        <f>17678.57-D57-D58</f>
        <v>14732.141428571429</v>
      </c>
      <c r="J51" s="327">
        <f>'Diário de Gastos e Diversos'!G10+'Diário de Gastos e Diversos'!G11+'Diário de Gastos e Diversos'!G15+'Diário de Gastos e Diversos'!G16-D57-D58</f>
        <v>17678.571428571428</v>
      </c>
    </row>
    <row r="52" spans="2:38" x14ac:dyDescent="0.25">
      <c r="C52" s="127"/>
      <c r="I52" s="127"/>
      <c r="J52" s="254"/>
      <c r="N52" s="125"/>
      <c r="O52" s="125"/>
      <c r="P52" s="361">
        <v>281</v>
      </c>
      <c r="Q52" s="361"/>
      <c r="R52" s="125" t="s">
        <v>288</v>
      </c>
      <c r="S52" s="125"/>
      <c r="U52" s="125"/>
      <c r="V52" s="125"/>
      <c r="W52" s="361">
        <v>282</v>
      </c>
      <c r="X52" s="361"/>
      <c r="Y52" s="125" t="s">
        <v>289</v>
      </c>
      <c r="Z52" s="125"/>
    </row>
    <row r="53" spans="2:38" x14ac:dyDescent="0.25">
      <c r="C53" s="127"/>
      <c r="I53" s="127"/>
      <c r="J53" s="254"/>
      <c r="N53" t="s">
        <v>261</v>
      </c>
      <c r="P53" s="336">
        <f>'Diário de Gastos e Diversos'!G54</f>
        <v>746.66666666666674</v>
      </c>
      <c r="Q53" s="254"/>
      <c r="W53" s="255"/>
      <c r="X53" s="352">
        <v>5000</v>
      </c>
      <c r="Z53" t="s">
        <v>66</v>
      </c>
    </row>
    <row r="54" spans="2:38" x14ac:dyDescent="0.25">
      <c r="C54" s="127"/>
      <c r="I54" s="127"/>
      <c r="N54" t="s">
        <v>285</v>
      </c>
      <c r="P54" s="353">
        <f>'Diário de Gastos e Diversos'!G58</f>
        <v>1069.5890410958905</v>
      </c>
      <c r="Q54" s="254"/>
      <c r="W54" s="127"/>
      <c r="X54" s="314">
        <f>+AE6*0.23</f>
        <v>483</v>
      </c>
      <c r="Y54" t="s">
        <v>271</v>
      </c>
    </row>
    <row r="55" spans="2:38" x14ac:dyDescent="0.25">
      <c r="I55" s="127"/>
      <c r="N55" t="s">
        <v>267</v>
      </c>
      <c r="P55" s="355">
        <f>'Diário de Gastos e Diversos'!G70</f>
        <v>1197.5999999999999</v>
      </c>
      <c r="W55" s="127"/>
      <c r="X55" s="314">
        <f>+X54+AE6</f>
        <v>2583</v>
      </c>
      <c r="Y55" t="s">
        <v>272</v>
      </c>
    </row>
    <row r="56" spans="2:38" x14ac:dyDescent="0.25">
      <c r="B56" s="125"/>
      <c r="C56" s="362" t="s">
        <v>290</v>
      </c>
      <c r="D56" s="125"/>
      <c r="I56" s="127"/>
      <c r="P56" s="127"/>
      <c r="W56" s="127"/>
      <c r="X56" s="301"/>
    </row>
    <row r="57" spans="2:38" x14ac:dyDescent="0.25">
      <c r="B57" t="s">
        <v>292</v>
      </c>
      <c r="C57" s="312">
        <f>15000/14*2</f>
        <v>2142.8571428571427</v>
      </c>
      <c r="D57" s="312">
        <f>+C57*0.3325</f>
        <v>712.5</v>
      </c>
      <c r="E57" s="312" t="s">
        <v>291</v>
      </c>
      <c r="I57" s="127"/>
      <c r="P57" s="127"/>
      <c r="W57" s="127"/>
    </row>
    <row r="58" spans="2:38" x14ac:dyDescent="0.25">
      <c r="B58" t="s">
        <v>292</v>
      </c>
      <c r="C58" s="312">
        <f>45000/14*2</f>
        <v>6428.5714285714284</v>
      </c>
      <c r="D58" s="312">
        <f>+C58*0.3475</f>
        <v>2233.9285714285711</v>
      </c>
      <c r="E58" s="312" t="s">
        <v>291</v>
      </c>
      <c r="I58" s="127"/>
      <c r="P58" s="127"/>
      <c r="R58" s="1"/>
      <c r="W58" s="127"/>
    </row>
    <row r="59" spans="2:38" x14ac:dyDescent="0.25">
      <c r="C59" s="312"/>
      <c r="D59" s="312"/>
      <c r="E59" s="312">
        <f>+D57+D58+C57+C58</f>
        <v>11517.857142857141</v>
      </c>
      <c r="F59">
        <v>-2722</v>
      </c>
      <c r="I59" s="127"/>
    </row>
    <row r="61" spans="2:38" x14ac:dyDescent="0.25">
      <c r="B61" t="s">
        <v>293</v>
      </c>
      <c r="C61" s="312">
        <f>C57*0.18</f>
        <v>385.71428571428567</v>
      </c>
      <c r="N61" s="125"/>
      <c r="O61" s="125"/>
      <c r="P61" s="240">
        <v>271</v>
      </c>
      <c r="Q61" s="240"/>
      <c r="R61" s="125"/>
      <c r="S61" s="125"/>
    </row>
    <row r="62" spans="2:38" x14ac:dyDescent="0.25">
      <c r="C62" s="312">
        <f>+C58*0.2</f>
        <v>1285.7142857142858</v>
      </c>
      <c r="N62" s="5"/>
      <c r="O62" s="1"/>
      <c r="P62" s="345">
        <v>2980</v>
      </c>
      <c r="Q62" s="344">
        <f>AZ26</f>
        <v>30750</v>
      </c>
      <c r="R62" s="1"/>
      <c r="S62" s="334"/>
    </row>
    <row r="63" spans="2:38" x14ac:dyDescent="0.25">
      <c r="N63" s="5"/>
      <c r="O63" s="1"/>
      <c r="P63" s="1"/>
      <c r="Q63" s="1"/>
      <c r="R63" s="1"/>
      <c r="S63" s="342"/>
    </row>
    <row r="64" spans="2:38" x14ac:dyDescent="0.25">
      <c r="N64" s="1"/>
      <c r="O64" s="1"/>
      <c r="P64" s="343"/>
      <c r="Q64" s="1"/>
      <c r="R64" s="1"/>
      <c r="S64" s="1"/>
    </row>
    <row r="65" spans="9:16" x14ac:dyDescent="0.25">
      <c r="P65" s="127"/>
    </row>
    <row r="66" spans="9:16" x14ac:dyDescent="0.25">
      <c r="P66" s="127"/>
    </row>
    <row r="67" spans="9:16" x14ac:dyDescent="0.25">
      <c r="I67" s="240">
        <v>2435</v>
      </c>
      <c r="J67" s="240"/>
      <c r="K67" s="240"/>
      <c r="L67" s="240"/>
    </row>
    <row r="68" spans="9:16" x14ac:dyDescent="0.25">
      <c r="J68" s="255">
        <f>P6+Q7+Q8</f>
        <v>34023.170731707316</v>
      </c>
      <c r="K68">
        <f>+J25</f>
        <v>10143</v>
      </c>
    </row>
    <row r="69" spans="9:16" x14ac:dyDescent="0.25">
      <c r="J69" s="127"/>
      <c r="K69">
        <f>+D40+D41</f>
        <v>0</v>
      </c>
    </row>
    <row r="70" spans="9:16" x14ac:dyDescent="0.25">
      <c r="J70" s="127"/>
    </row>
    <row r="71" spans="9:16" x14ac:dyDescent="0.25">
      <c r="J71" s="127"/>
    </row>
    <row r="72" spans="9:16" x14ac:dyDescent="0.25">
      <c r="J72" s="127"/>
      <c r="K72" s="335">
        <f>+K69+K68-J68</f>
        <v>-23880.170731707316</v>
      </c>
    </row>
    <row r="73" spans="9:16" x14ac:dyDescent="0.25">
      <c r="J73" s="127"/>
    </row>
    <row r="74" spans="9:16" x14ac:dyDescent="0.25">
      <c r="J74" s="127"/>
    </row>
    <row r="75" spans="9:16" x14ac:dyDescent="0.25">
      <c r="J75" s="127"/>
    </row>
    <row r="76" spans="9:16" x14ac:dyDescent="0.25">
      <c r="J76" s="127"/>
    </row>
    <row r="77" spans="9:16" x14ac:dyDescent="0.25">
      <c r="J77" s="127"/>
    </row>
    <row r="78" spans="9:16" x14ac:dyDescent="0.25">
      <c r="J78" s="127"/>
    </row>
    <row r="79" spans="9:16" x14ac:dyDescent="0.25">
      <c r="J79" s="127"/>
    </row>
    <row r="80" spans="9:16" x14ac:dyDescent="0.25">
      <c r="J80" s="127"/>
    </row>
  </sheetData>
  <mergeCells count="30">
    <mergeCell ref="AZ3:BA3"/>
    <mergeCell ref="AZ24:BA24"/>
    <mergeCell ref="P61:Q61"/>
    <mergeCell ref="AY10:AZ10"/>
    <mergeCell ref="I67:L67"/>
    <mergeCell ref="P45:Q45"/>
    <mergeCell ref="P52:Q52"/>
    <mergeCell ref="I38:J38"/>
    <mergeCell ref="W52:X52"/>
    <mergeCell ref="W44:X44"/>
    <mergeCell ref="I50:J50"/>
    <mergeCell ref="C38:D38"/>
    <mergeCell ref="AL3:AM3"/>
    <mergeCell ref="AS3:AT3"/>
    <mergeCell ref="AR24:AS24"/>
    <mergeCell ref="W37:X37"/>
    <mergeCell ref="AS10:AT10"/>
    <mergeCell ref="AD3:AE3"/>
    <mergeCell ref="AD24:AE24"/>
    <mergeCell ref="C24:D24"/>
    <mergeCell ref="P37:Q37"/>
    <mergeCell ref="AK24:AL24"/>
    <mergeCell ref="AD37:AE37"/>
    <mergeCell ref="AL37:AM37"/>
    <mergeCell ref="C3:D3"/>
    <mergeCell ref="I3:J3"/>
    <mergeCell ref="P3:Q3"/>
    <mergeCell ref="W3:X3"/>
    <mergeCell ref="P24:Q24"/>
    <mergeCell ref="H24:K24"/>
  </mergeCells>
  <pageMargins left="0.7" right="0.7" top="0.75" bottom="0.75" header="0.3" footer="0.3"/>
  <pageSetup paperSize="9" scale="41" orientation="landscape" horizontalDpi="300" verticalDpi="300" r:id="rId1"/>
  <colBreaks count="2" manualBreakCount="2">
    <brk id="20" max="1048575" man="1"/>
    <brk id="34" max="104857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92"/>
  <sheetViews>
    <sheetView tabSelected="1" topLeftCell="B25" zoomScaleNormal="100" workbookViewId="0">
      <selection activeCell="F26" sqref="F26"/>
    </sheetView>
  </sheetViews>
  <sheetFormatPr defaultRowHeight="15" x14ac:dyDescent="0.25"/>
  <cols>
    <col min="1" max="1" width="3.140625" style="1" customWidth="1"/>
    <col min="2" max="2" width="9.140625" style="1"/>
    <col min="3" max="3" width="6.42578125" style="1" customWidth="1"/>
    <col min="4" max="4" width="53.7109375" style="1" bestFit="1" customWidth="1"/>
    <col min="5" max="5" width="5.28515625" style="1" bestFit="1" customWidth="1"/>
    <col min="6" max="6" width="13.42578125" style="1" bestFit="1" customWidth="1"/>
    <col min="7" max="7" width="9.140625" style="1"/>
    <col min="8" max="8" width="46.28515625" style="1" customWidth="1"/>
    <col min="9" max="9" width="7.42578125" style="1" bestFit="1" customWidth="1"/>
    <col min="10" max="10" width="15.28515625" style="1" customWidth="1"/>
    <col min="11" max="11" width="17.140625" style="1" customWidth="1"/>
    <col min="12" max="12" width="9.140625" style="1"/>
    <col min="13" max="13" width="12" style="1" bestFit="1" customWidth="1"/>
    <col min="14" max="16384" width="9.140625" style="1"/>
  </cols>
  <sheetData>
    <row r="1" spans="2:13" x14ac:dyDescent="0.25">
      <c r="H1" s="58"/>
    </row>
    <row r="2" spans="2:13" ht="15.75" thickBot="1" x14ac:dyDescent="0.3">
      <c r="B2" s="81"/>
      <c r="C2" s="81"/>
      <c r="D2" s="81"/>
      <c r="E2" s="82"/>
      <c r="F2" s="81"/>
      <c r="H2" s="59" t="s">
        <v>178</v>
      </c>
      <c r="I2" s="60"/>
      <c r="J2" s="251"/>
      <c r="K2" s="251"/>
    </row>
    <row r="3" spans="2:13" ht="15.75" thickBot="1" x14ac:dyDescent="0.3">
      <c r="B3" s="249" t="s">
        <v>182</v>
      </c>
      <c r="C3" s="250"/>
      <c r="D3" s="247" t="s">
        <v>183</v>
      </c>
      <c r="E3" s="245" t="s">
        <v>184</v>
      </c>
      <c r="F3" s="245" t="s">
        <v>213</v>
      </c>
      <c r="H3" s="247" t="s">
        <v>151</v>
      </c>
      <c r="I3" s="245" t="s">
        <v>152</v>
      </c>
      <c r="J3" s="247" t="s">
        <v>180</v>
      </c>
      <c r="K3" s="252"/>
    </row>
    <row r="4" spans="2:13" ht="15.75" thickBot="1" x14ac:dyDescent="0.3">
      <c r="B4" s="83" t="s">
        <v>185</v>
      </c>
      <c r="C4" s="84" t="s">
        <v>186</v>
      </c>
      <c r="D4" s="248"/>
      <c r="E4" s="246"/>
      <c r="F4" s="253"/>
      <c r="H4" s="248"/>
      <c r="I4" s="246"/>
      <c r="J4" s="79" t="s">
        <v>18</v>
      </c>
      <c r="K4" s="80" t="s">
        <v>105</v>
      </c>
    </row>
    <row r="5" spans="2:13" x14ac:dyDescent="0.25">
      <c r="B5" s="86" t="s">
        <v>187</v>
      </c>
      <c r="C5" s="87"/>
      <c r="D5" s="88" t="s">
        <v>188</v>
      </c>
      <c r="E5" s="88" t="s">
        <v>189</v>
      </c>
      <c r="F5" s="372">
        <f>224000+135000+323000-32300-9000</f>
        <v>640700</v>
      </c>
      <c r="H5" s="61" t="s">
        <v>92</v>
      </c>
      <c r="I5" s="62"/>
      <c r="J5" s="63"/>
      <c r="K5" s="63"/>
    </row>
    <row r="6" spans="2:13" x14ac:dyDescent="0.25">
      <c r="B6" s="89">
        <v>75</v>
      </c>
      <c r="C6" s="90"/>
      <c r="D6" s="88" t="s">
        <v>190</v>
      </c>
      <c r="E6" s="88" t="s">
        <v>189</v>
      </c>
      <c r="F6" s="106">
        <v>0</v>
      </c>
      <c r="H6" s="64"/>
      <c r="I6" s="62"/>
      <c r="J6" s="63"/>
      <c r="K6" s="63"/>
    </row>
    <row r="7" spans="2:13" x14ac:dyDescent="0.25">
      <c r="B7" s="89">
        <v>73</v>
      </c>
      <c r="C7" s="91"/>
      <c r="D7" s="88" t="s">
        <v>191</v>
      </c>
      <c r="E7" s="88" t="s">
        <v>189</v>
      </c>
      <c r="F7" s="106">
        <v>0</v>
      </c>
      <c r="H7" s="65" t="s">
        <v>153</v>
      </c>
      <c r="I7" s="62"/>
      <c r="J7" s="63"/>
      <c r="K7" s="63"/>
    </row>
    <row r="8" spans="2:13" x14ac:dyDescent="0.25">
      <c r="B8" s="89">
        <v>74</v>
      </c>
      <c r="C8" s="90"/>
      <c r="D8" s="88" t="s">
        <v>192</v>
      </c>
      <c r="E8" s="88" t="s">
        <v>189</v>
      </c>
      <c r="F8" s="106">
        <v>0</v>
      </c>
      <c r="H8" s="64" t="s">
        <v>179</v>
      </c>
      <c r="I8" s="62"/>
      <c r="J8" s="371">
        <f>270000+F17</f>
        <v>284773.88</v>
      </c>
      <c r="K8" s="115">
        <v>270000</v>
      </c>
    </row>
    <row r="9" spans="2:13" x14ac:dyDescent="0.25">
      <c r="B9" s="92"/>
      <c r="C9" s="93">
        <v>61</v>
      </c>
      <c r="D9" s="88" t="s">
        <v>193</v>
      </c>
      <c r="E9" s="88" t="s">
        <v>189</v>
      </c>
      <c r="F9" s="370">
        <f>-'Ficha de Valorimetria'!H8-'Ficha de Valorimetria'!H11-'Ficha de Valorimetria'!H16</f>
        <v>-251014.54515970967</v>
      </c>
      <c r="H9" s="64" t="s">
        <v>96</v>
      </c>
      <c r="I9" s="62"/>
      <c r="J9" s="288">
        <f>420000+Operações!AZ25+Operações!AZ26</f>
        <v>485436</v>
      </c>
      <c r="K9" s="116">
        <v>420000</v>
      </c>
    </row>
    <row r="10" spans="2:13" x14ac:dyDescent="0.25">
      <c r="B10" s="92"/>
      <c r="C10" s="93">
        <v>62</v>
      </c>
      <c r="D10" s="88" t="s">
        <v>194</v>
      </c>
      <c r="E10" s="88" t="s">
        <v>189</v>
      </c>
      <c r="F10" s="106">
        <f>-2439.02-1440-1268.29-1920-2980-2130.41</f>
        <v>-12177.72</v>
      </c>
      <c r="H10" s="64" t="s">
        <v>154</v>
      </c>
      <c r="I10" s="67"/>
      <c r="J10" s="288">
        <v>15000</v>
      </c>
      <c r="K10" s="116">
        <v>15000</v>
      </c>
    </row>
    <row r="11" spans="2:13" x14ac:dyDescent="0.25">
      <c r="B11" s="92"/>
      <c r="C11" s="93">
        <v>63</v>
      </c>
      <c r="D11" s="88" t="s">
        <v>195</v>
      </c>
      <c r="E11" s="88" t="s">
        <v>189</v>
      </c>
      <c r="F11" s="106">
        <f>-74175-8571-14175-713-2234</f>
        <v>-99868</v>
      </c>
      <c r="H11" s="64" t="s">
        <v>177</v>
      </c>
      <c r="I11" s="62"/>
      <c r="J11" s="287">
        <f>K11-'Diário Op. de Fim de Exercício'!G10-'Diário Op. de Fim de Exercício'!G11-'Diário Op. de Fim de Exercício'!G12-'Diário Op. de Fim de Exercício'!G14-'Diário Op. de Fim de Exercício'!G6</f>
        <v>-96052</v>
      </c>
      <c r="K11" s="117">
        <f>-42500</f>
        <v>-42500</v>
      </c>
    </row>
    <row r="12" spans="2:13" x14ac:dyDescent="0.25">
      <c r="B12" s="89">
        <v>7622</v>
      </c>
      <c r="C12" s="93">
        <v>652</v>
      </c>
      <c r="D12" s="88" t="s">
        <v>196</v>
      </c>
      <c r="E12" s="88" t="s">
        <v>189</v>
      </c>
      <c r="F12" s="106">
        <v>0</v>
      </c>
      <c r="H12" s="64"/>
      <c r="I12" s="62"/>
      <c r="J12" s="68">
        <f>SUM(J8:J11)</f>
        <v>689157.88</v>
      </c>
      <c r="K12" s="68">
        <f>SUM(K8:K11)</f>
        <v>662500</v>
      </c>
    </row>
    <row r="13" spans="2:13" x14ac:dyDescent="0.25">
      <c r="B13" s="89">
        <v>7621</v>
      </c>
      <c r="C13" s="93">
        <v>651</v>
      </c>
      <c r="D13" s="88" t="s">
        <v>197</v>
      </c>
      <c r="E13" s="88" t="s">
        <v>189</v>
      </c>
      <c r="F13" s="106">
        <f>-Operações!W45</f>
        <v>-7000</v>
      </c>
      <c r="H13" s="64"/>
      <c r="I13" s="62"/>
      <c r="J13" s="63"/>
      <c r="K13" s="63"/>
      <c r="M13" s="5"/>
    </row>
    <row r="14" spans="2:13" x14ac:dyDescent="0.25">
      <c r="B14" s="89">
        <v>763</v>
      </c>
      <c r="C14" s="93">
        <v>67</v>
      </c>
      <c r="D14" s="88" t="s">
        <v>198</v>
      </c>
      <c r="E14" s="88" t="s">
        <v>189</v>
      </c>
      <c r="F14" s="106">
        <v>0</v>
      </c>
      <c r="H14" s="65" t="s">
        <v>93</v>
      </c>
      <c r="I14" s="62"/>
      <c r="J14" s="63"/>
      <c r="K14" s="63"/>
    </row>
    <row r="15" spans="2:13" x14ac:dyDescent="0.25">
      <c r="B15" s="94" t="s">
        <v>199</v>
      </c>
      <c r="C15" s="91" t="s">
        <v>200</v>
      </c>
      <c r="D15" s="88" t="s">
        <v>201</v>
      </c>
      <c r="E15" s="88" t="s">
        <v>189</v>
      </c>
      <c r="F15" s="106">
        <v>0</v>
      </c>
      <c r="H15" s="64" t="s">
        <v>94</v>
      </c>
      <c r="I15" s="62"/>
      <c r="J15" s="358">
        <f>'Ficha de Valorimetria'!K16</f>
        <v>43492.682544214957</v>
      </c>
      <c r="K15" s="116">
        <v>54000</v>
      </c>
    </row>
    <row r="16" spans="2:13" x14ac:dyDescent="0.25">
      <c r="B16" s="89">
        <v>77</v>
      </c>
      <c r="C16" s="93">
        <v>66</v>
      </c>
      <c r="D16" s="88" t="s">
        <v>202</v>
      </c>
      <c r="E16" s="88" t="s">
        <v>189</v>
      </c>
      <c r="F16" s="106">
        <v>0</v>
      </c>
      <c r="H16" s="64" t="s">
        <v>95</v>
      </c>
      <c r="I16" s="67"/>
      <c r="J16" s="358">
        <f>Operações!O37+Operações!P38+Operações!P39-Operações!Q38-Operações!Q39-Operações!Q41</f>
        <v>438251</v>
      </c>
      <c r="K16" s="116">
        <v>72000</v>
      </c>
    </row>
    <row r="17" spans="2:11" x14ac:dyDescent="0.25">
      <c r="B17" s="89">
        <v>78</v>
      </c>
      <c r="C17" s="90"/>
      <c r="D17" s="88" t="s">
        <v>203</v>
      </c>
      <c r="E17" s="88" t="s">
        <v>189</v>
      </c>
      <c r="F17" s="106">
        <f>45000*0.3+1273.88</f>
        <v>14773.880000000001</v>
      </c>
      <c r="H17" s="64" t="s">
        <v>156</v>
      </c>
      <c r="I17" s="62"/>
      <c r="J17" s="66"/>
      <c r="K17" s="66"/>
    </row>
    <row r="18" spans="2:11" ht="15.75" thickBot="1" x14ac:dyDescent="0.3">
      <c r="B18" s="95"/>
      <c r="C18" s="96">
        <v>68</v>
      </c>
      <c r="D18" s="97" t="s">
        <v>204</v>
      </c>
      <c r="E18" s="97" t="s">
        <v>189</v>
      </c>
      <c r="F18" s="107">
        <f>-22400-102.18</f>
        <v>-22502.18</v>
      </c>
      <c r="H18" s="64" t="s">
        <v>155</v>
      </c>
      <c r="I18" s="62"/>
      <c r="J18" s="66"/>
      <c r="K18" s="66"/>
    </row>
    <row r="19" spans="2:11" x14ac:dyDescent="0.25">
      <c r="B19" s="92"/>
      <c r="C19" s="90"/>
      <c r="D19" s="98" t="s">
        <v>205</v>
      </c>
      <c r="E19" s="99"/>
      <c r="F19" s="106">
        <f>SUM(F$5:F$18)</f>
        <v>262911.4348402904</v>
      </c>
      <c r="H19" s="64" t="s">
        <v>157</v>
      </c>
      <c r="I19" s="62"/>
      <c r="J19" s="66"/>
      <c r="K19" s="66"/>
    </row>
    <row r="20" spans="2:11" x14ac:dyDescent="0.25">
      <c r="B20" s="100"/>
      <c r="C20" s="101"/>
      <c r="D20" s="100"/>
      <c r="E20" s="100"/>
      <c r="F20" s="108"/>
      <c r="H20" s="64" t="s">
        <v>158</v>
      </c>
      <c r="I20" s="62"/>
      <c r="J20" s="358">
        <f>Operações!P53+Operações!P54+Operações!P55</f>
        <v>3013.8557077625574</v>
      </c>
      <c r="K20" s="66"/>
    </row>
    <row r="21" spans="2:11" ht="15.75" thickBot="1" x14ac:dyDescent="0.3">
      <c r="B21" s="102">
        <v>761</v>
      </c>
      <c r="C21" s="96">
        <v>64</v>
      </c>
      <c r="D21" s="97" t="s">
        <v>206</v>
      </c>
      <c r="E21" s="97" t="s">
        <v>189</v>
      </c>
      <c r="F21" s="107">
        <f>-'Diário Op. de Fim de Exercício'!G6-'Diário Op. de Fim de Exercício'!G10-'Diário Op. de Fim de Exercício'!G11-'Diário Op. de Fim de Exercício'!G12-'Diário Op. de Fim de Exercício'!G14</f>
        <v>-53552</v>
      </c>
      <c r="H21" s="64" t="s">
        <v>181</v>
      </c>
      <c r="I21" s="62"/>
      <c r="J21" s="358">
        <f>-2000-Operações!Q40-5500</f>
        <v>-14500</v>
      </c>
      <c r="K21" s="116">
        <f>-5500-2000</f>
        <v>-7500</v>
      </c>
    </row>
    <row r="22" spans="2:11" x14ac:dyDescent="0.25">
      <c r="B22" s="92"/>
      <c r="C22" s="90"/>
      <c r="D22" s="98" t="s">
        <v>207</v>
      </c>
      <c r="E22" s="88" t="s">
        <v>189</v>
      </c>
      <c r="F22" s="106">
        <f>SUM(F$19:F$21)</f>
        <v>209359.4348402904</v>
      </c>
      <c r="H22" s="64" t="s">
        <v>159</v>
      </c>
      <c r="I22" s="62"/>
      <c r="J22" s="360">
        <f>Operações!H3+Operações!G4+Operações!G5+Operações!G6+Operações!G7-Operações!L4-Operações!L5-Operações!L6-Operações!L7-Operações!L8-Operações!L9-Operações!L10-Operações!L11-Operações!L12-Operações!L14-Operações!L15-Operações!L16-Operações!L17-Operações!L18-Operações!L19-Operações!L20-Operações!L21</f>
        <v>16098.632474265571</v>
      </c>
      <c r="K22" s="115">
        <v>26000</v>
      </c>
    </row>
    <row r="23" spans="2:11" x14ac:dyDescent="0.25">
      <c r="B23" s="92"/>
      <c r="C23" s="90"/>
      <c r="D23" s="99"/>
      <c r="E23" s="88" t="s">
        <v>189</v>
      </c>
      <c r="F23" s="106"/>
      <c r="H23" s="64"/>
      <c r="I23" s="67"/>
      <c r="J23" s="69"/>
      <c r="K23" s="69"/>
    </row>
    <row r="24" spans="2:11" ht="15.75" thickBot="1" x14ac:dyDescent="0.3">
      <c r="B24" s="89">
        <v>79</v>
      </c>
      <c r="C24" s="90"/>
      <c r="D24" s="88" t="s">
        <v>208</v>
      </c>
      <c r="E24" s="88" t="s">
        <v>189</v>
      </c>
      <c r="F24" s="106">
        <v>10000</v>
      </c>
      <c r="H24" s="65" t="s">
        <v>160</v>
      </c>
      <c r="I24" s="67"/>
      <c r="J24" s="70">
        <f>SUM(J12:J23)</f>
        <v>1175514.0507262431</v>
      </c>
      <c r="K24" s="118">
        <f>SUM(K12:K23)</f>
        <v>807000</v>
      </c>
    </row>
    <row r="25" spans="2:11" ht="16.5" thickTop="1" thickBot="1" x14ac:dyDescent="0.3">
      <c r="B25" s="95"/>
      <c r="C25" s="96">
        <v>69</v>
      </c>
      <c r="D25" s="97" t="s">
        <v>209</v>
      </c>
      <c r="E25" s="97" t="s">
        <v>189</v>
      </c>
      <c r="F25" s="107">
        <f>-9600-1120-373.33</f>
        <v>-11093.33</v>
      </c>
      <c r="H25" s="64"/>
      <c r="I25" s="62"/>
      <c r="J25" s="63"/>
      <c r="K25" s="63"/>
    </row>
    <row r="26" spans="2:11" x14ac:dyDescent="0.25">
      <c r="B26" s="92"/>
      <c r="C26" s="90"/>
      <c r="D26" s="98" t="s">
        <v>210</v>
      </c>
      <c r="E26" s="88" t="s">
        <v>189</v>
      </c>
      <c r="F26" s="106">
        <f>SUM(F$22:F$25)</f>
        <v>208266.10484029041</v>
      </c>
      <c r="H26" s="61" t="s">
        <v>161</v>
      </c>
      <c r="I26" s="62"/>
      <c r="J26" s="63"/>
      <c r="K26" s="63"/>
    </row>
    <row r="27" spans="2:11" x14ac:dyDescent="0.25">
      <c r="B27" s="92"/>
      <c r="C27" s="90"/>
      <c r="D27" s="99"/>
      <c r="E27" s="88" t="s">
        <v>189</v>
      </c>
      <c r="F27" s="106"/>
      <c r="H27" s="64"/>
      <c r="I27" s="62"/>
      <c r="J27" s="63"/>
      <c r="K27" s="63"/>
    </row>
    <row r="28" spans="2:11" ht="15.75" thickBot="1" x14ac:dyDescent="0.3">
      <c r="B28" s="95"/>
      <c r="C28" s="96">
        <v>812</v>
      </c>
      <c r="D28" s="97" t="s">
        <v>211</v>
      </c>
      <c r="E28" s="97"/>
      <c r="F28" s="107">
        <f>(F26*-0.25)</f>
        <v>-52066.526210072603</v>
      </c>
      <c r="H28" s="65" t="s">
        <v>162</v>
      </c>
      <c r="I28" s="62"/>
      <c r="J28" s="63"/>
      <c r="K28" s="63"/>
    </row>
    <row r="29" spans="2:11" ht="15.75" thickBot="1" x14ac:dyDescent="0.3">
      <c r="B29" s="95"/>
      <c r="C29" s="103"/>
      <c r="D29" s="104" t="s">
        <v>212</v>
      </c>
      <c r="E29" s="85"/>
      <c r="F29" s="107">
        <f>SUM(F$26:F$28)</f>
        <v>156199.57863021782</v>
      </c>
      <c r="H29" s="64"/>
      <c r="I29" s="62"/>
      <c r="J29" s="63"/>
      <c r="K29" s="63"/>
    </row>
    <row r="30" spans="2:11" x14ac:dyDescent="0.25">
      <c r="B30" s="101"/>
      <c r="C30" s="101"/>
      <c r="D30" s="101"/>
      <c r="E30" s="101"/>
      <c r="F30" s="110"/>
      <c r="H30" s="64" t="s">
        <v>163</v>
      </c>
      <c r="I30" s="62"/>
      <c r="J30" s="358">
        <v>600000</v>
      </c>
      <c r="K30" s="116">
        <v>600000</v>
      </c>
    </row>
    <row r="31" spans="2:11" x14ac:dyDescent="0.25">
      <c r="B31" s="101"/>
      <c r="C31" s="101"/>
      <c r="D31" s="101"/>
      <c r="E31" s="101"/>
      <c r="F31" s="105"/>
      <c r="H31" s="64" t="s">
        <v>164</v>
      </c>
      <c r="I31" s="67"/>
      <c r="J31" s="66"/>
      <c r="K31" s="66"/>
    </row>
    <row r="32" spans="2:11" x14ac:dyDescent="0.25">
      <c r="B32" s="101"/>
      <c r="C32" s="105"/>
      <c r="D32" s="101"/>
      <c r="E32" s="101"/>
      <c r="F32" s="101"/>
      <c r="H32" s="64" t="s">
        <v>165</v>
      </c>
      <c r="I32" s="62"/>
      <c r="J32" s="358">
        <f>10000+38000*0.05</f>
        <v>11900</v>
      </c>
      <c r="K32" s="116">
        <v>10000</v>
      </c>
    </row>
    <row r="33" spans="2:11" x14ac:dyDescent="0.25">
      <c r="B33" s="101"/>
      <c r="C33" s="101"/>
      <c r="D33" s="101"/>
      <c r="E33" s="101"/>
      <c r="F33" s="101"/>
      <c r="H33" s="64" t="s">
        <v>166</v>
      </c>
      <c r="I33" s="62"/>
      <c r="J33" s="358">
        <f>38000*0.45</f>
        <v>17100</v>
      </c>
      <c r="K33" s="66"/>
    </row>
    <row r="34" spans="2:11" x14ac:dyDescent="0.25">
      <c r="B34" s="101"/>
      <c r="C34" s="105"/>
      <c r="D34" s="101"/>
      <c r="E34" s="101"/>
      <c r="F34" s="109"/>
      <c r="H34" s="64" t="s">
        <v>104</v>
      </c>
      <c r="I34" s="62"/>
      <c r="J34" s="66"/>
      <c r="K34" s="66"/>
    </row>
    <row r="35" spans="2:11" x14ac:dyDescent="0.25">
      <c r="H35" s="64" t="s">
        <v>167</v>
      </c>
      <c r="I35" s="62"/>
      <c r="J35" s="66"/>
      <c r="K35" s="66"/>
    </row>
    <row r="36" spans="2:11" x14ac:dyDescent="0.25">
      <c r="H36" s="64" t="s">
        <v>168</v>
      </c>
      <c r="I36" s="62"/>
      <c r="J36" s="63"/>
      <c r="K36" s="63"/>
    </row>
    <row r="37" spans="2:11" x14ac:dyDescent="0.25">
      <c r="H37" s="64"/>
      <c r="I37" s="62"/>
      <c r="J37" s="71"/>
      <c r="K37" s="71"/>
    </row>
    <row r="38" spans="2:11" x14ac:dyDescent="0.25">
      <c r="H38" s="64" t="s">
        <v>169</v>
      </c>
      <c r="I38" s="62"/>
      <c r="J38" s="72">
        <f>F29</f>
        <v>156199.57863021782</v>
      </c>
      <c r="K38" s="119">
        <v>38000</v>
      </c>
    </row>
    <row r="39" spans="2:11" x14ac:dyDescent="0.25">
      <c r="H39" s="65" t="s">
        <v>170</v>
      </c>
      <c r="I39" s="62"/>
      <c r="J39" s="68">
        <f>SUM(J30:J38)</f>
        <v>785199.57863021782</v>
      </c>
      <c r="K39" s="120">
        <f>SUM(K30:K38)</f>
        <v>648000</v>
      </c>
    </row>
    <row r="40" spans="2:11" x14ac:dyDescent="0.25">
      <c r="H40" s="61" t="s">
        <v>171</v>
      </c>
      <c r="I40" s="62"/>
      <c r="J40" s="63"/>
      <c r="K40" s="63"/>
    </row>
    <row r="41" spans="2:11" x14ac:dyDescent="0.25">
      <c r="H41" s="65" t="s">
        <v>97</v>
      </c>
      <c r="I41" s="62"/>
      <c r="J41" s="63"/>
      <c r="K41" s="63"/>
    </row>
    <row r="42" spans="2:11" x14ac:dyDescent="0.25">
      <c r="H42" s="64" t="s">
        <v>172</v>
      </c>
      <c r="I42" s="62"/>
      <c r="J42" s="63"/>
      <c r="K42" s="63"/>
    </row>
    <row r="43" spans="2:11" x14ac:dyDescent="0.25">
      <c r="H43" s="64" t="s">
        <v>173</v>
      </c>
      <c r="I43" s="62"/>
      <c r="J43" s="286">
        <f>80000+Operações!S46-Operações!N46-Operações!N47</f>
        <v>111026</v>
      </c>
      <c r="K43" s="115">
        <v>80000</v>
      </c>
    </row>
    <row r="44" spans="2:11" x14ac:dyDescent="0.25">
      <c r="H44" s="64" t="s">
        <v>100</v>
      </c>
      <c r="I44" s="67"/>
      <c r="J44" s="73"/>
      <c r="K44" s="73"/>
    </row>
    <row r="45" spans="2:11" x14ac:dyDescent="0.25">
      <c r="H45" s="64"/>
      <c r="I45" s="67"/>
      <c r="J45" s="69">
        <f>SUM(J42:J44)</f>
        <v>111026</v>
      </c>
      <c r="K45" s="69">
        <f>SUM(K42:K44)</f>
        <v>80000</v>
      </c>
    </row>
    <row r="46" spans="2:11" x14ac:dyDescent="0.25">
      <c r="H46" s="65" t="s">
        <v>137</v>
      </c>
      <c r="I46" s="67"/>
      <c r="J46" s="74"/>
      <c r="K46" s="74"/>
    </row>
    <row r="47" spans="2:11" x14ac:dyDescent="0.25">
      <c r="H47" s="64" t="s">
        <v>98</v>
      </c>
      <c r="I47" s="67"/>
      <c r="J47" s="359">
        <f>Operações!S24+Operações!Q25+Operações!Q26-Operações!P26-Operações!P27</f>
        <v>116604</v>
      </c>
      <c r="K47" s="121">
        <v>62500</v>
      </c>
    </row>
    <row r="48" spans="2:11" x14ac:dyDescent="0.25">
      <c r="H48" s="64" t="s">
        <v>99</v>
      </c>
      <c r="I48" s="67"/>
      <c r="J48" s="359">
        <f>-Operações!K72-Operações!J43-Operações!I51-F28</f>
        <v>59543.126941779919</v>
      </c>
      <c r="K48" s="74"/>
    </row>
    <row r="49" spans="8:12" x14ac:dyDescent="0.25">
      <c r="H49" s="64" t="s">
        <v>158</v>
      </c>
      <c r="I49" s="67"/>
      <c r="J49" s="359">
        <f>Operações!X53+Operações!X54+Operações!X55</f>
        <v>8066</v>
      </c>
      <c r="K49" s="74"/>
    </row>
    <row r="50" spans="8:12" x14ac:dyDescent="0.25">
      <c r="H50" s="64" t="s">
        <v>100</v>
      </c>
      <c r="I50" s="67"/>
      <c r="J50" s="359">
        <f>Operações!E59</f>
        <v>11517.857142857141</v>
      </c>
      <c r="K50" s="121">
        <v>15000</v>
      </c>
    </row>
    <row r="51" spans="8:12" x14ac:dyDescent="0.25">
      <c r="H51" s="64" t="s">
        <v>174</v>
      </c>
      <c r="I51" s="67"/>
      <c r="J51" s="74"/>
      <c r="K51" s="121">
        <v>1500</v>
      </c>
    </row>
    <row r="52" spans="8:12" x14ac:dyDescent="0.25">
      <c r="H52" s="64"/>
      <c r="I52" s="67"/>
      <c r="J52" s="69">
        <f>SUM(J47:J51)</f>
        <v>195730.98408463705</v>
      </c>
      <c r="K52" s="69">
        <f>SUM(K47:K51)</f>
        <v>79000</v>
      </c>
    </row>
    <row r="53" spans="8:12" x14ac:dyDescent="0.25">
      <c r="H53" s="64" t="s">
        <v>175</v>
      </c>
      <c r="I53" s="67"/>
      <c r="J53" s="69">
        <f>J52+J45</f>
        <v>306756.98408463702</v>
      </c>
      <c r="K53" s="69">
        <f>K52+K45</f>
        <v>159000</v>
      </c>
    </row>
    <row r="54" spans="8:12" ht="15.75" thickBot="1" x14ac:dyDescent="0.3">
      <c r="H54" s="64" t="s">
        <v>176</v>
      </c>
      <c r="I54" s="67"/>
      <c r="J54" s="70">
        <f>J53+J39</f>
        <v>1091956.5627148547</v>
      </c>
      <c r="K54" s="70">
        <f>K53+K39</f>
        <v>807000</v>
      </c>
      <c r="L54" s="122">
        <f>+K54-K24</f>
        <v>0</v>
      </c>
    </row>
    <row r="55" spans="8:12" ht="16.5" thickTop="1" thickBot="1" x14ac:dyDescent="0.3">
      <c r="H55" s="75"/>
      <c r="I55" s="76"/>
      <c r="J55" s="77"/>
      <c r="K55" s="77"/>
    </row>
    <row r="56" spans="8:12" x14ac:dyDescent="0.25">
      <c r="H56" s="78"/>
      <c r="I56" s="60"/>
      <c r="J56" s="60"/>
      <c r="K56" s="60"/>
    </row>
    <row r="57" spans="8:12" x14ac:dyDescent="0.25">
      <c r="H57" s="59"/>
      <c r="I57" s="60"/>
      <c r="J57" s="60"/>
      <c r="K57" s="60"/>
    </row>
    <row r="58" spans="8:12" x14ac:dyDescent="0.25">
      <c r="H58" s="59"/>
      <c r="I58" s="60"/>
      <c r="J58" s="111">
        <f>+J24-J54</f>
        <v>83557.488011388341</v>
      </c>
      <c r="K58" s="60"/>
    </row>
    <row r="59" spans="8:12" x14ac:dyDescent="0.25">
      <c r="H59" s="59"/>
      <c r="I59" s="60"/>
      <c r="J59" s="60"/>
      <c r="K59" s="60"/>
    </row>
    <row r="60" spans="8:12" x14ac:dyDescent="0.25">
      <c r="H60" s="59"/>
      <c r="I60" s="60"/>
      <c r="J60" s="60"/>
      <c r="K60" s="60"/>
    </row>
    <row r="61" spans="8:12" x14ac:dyDescent="0.25">
      <c r="H61" s="59"/>
      <c r="I61" s="60"/>
      <c r="J61" s="60"/>
      <c r="K61" s="60"/>
    </row>
    <row r="62" spans="8:12" x14ac:dyDescent="0.25">
      <c r="H62" s="59"/>
      <c r="I62" s="60"/>
      <c r="J62" s="60"/>
      <c r="K62" s="60"/>
    </row>
    <row r="63" spans="8:12" x14ac:dyDescent="0.25">
      <c r="H63" s="60"/>
      <c r="I63" s="60"/>
      <c r="J63" s="60"/>
      <c r="K63" s="60"/>
    </row>
    <row r="64" spans="8:12" x14ac:dyDescent="0.25">
      <c r="H64" s="60"/>
      <c r="I64" s="60"/>
      <c r="J64" s="60"/>
      <c r="K64" s="60"/>
    </row>
    <row r="65" spans="8:11" x14ac:dyDescent="0.25">
      <c r="H65" s="60"/>
      <c r="I65" s="60"/>
      <c r="J65" s="60"/>
      <c r="K65" s="60"/>
    </row>
    <row r="66" spans="8:11" x14ac:dyDescent="0.25">
      <c r="H66" s="60"/>
      <c r="I66" s="60"/>
      <c r="J66" s="60"/>
      <c r="K66" s="60"/>
    </row>
    <row r="67" spans="8:11" x14ac:dyDescent="0.25">
      <c r="H67" s="60"/>
      <c r="I67" s="60"/>
      <c r="J67" s="60"/>
      <c r="K67" s="60"/>
    </row>
    <row r="68" spans="8:11" x14ac:dyDescent="0.25">
      <c r="H68" s="60"/>
      <c r="I68" s="60"/>
      <c r="J68" s="60"/>
      <c r="K68" s="60"/>
    </row>
    <row r="69" spans="8:11" x14ac:dyDescent="0.25">
      <c r="H69" s="60"/>
      <c r="I69" s="60"/>
      <c r="J69" s="60"/>
      <c r="K69" s="60"/>
    </row>
    <row r="70" spans="8:11" x14ac:dyDescent="0.25">
      <c r="H70" s="60"/>
      <c r="I70" s="60"/>
      <c r="J70" s="60"/>
      <c r="K70" s="60"/>
    </row>
    <row r="71" spans="8:11" x14ac:dyDescent="0.25">
      <c r="H71" s="60"/>
      <c r="I71" s="60"/>
      <c r="J71" s="60"/>
      <c r="K71" s="60"/>
    </row>
    <row r="72" spans="8:11" x14ac:dyDescent="0.25">
      <c r="H72" s="60"/>
      <c r="I72" s="60"/>
      <c r="J72" s="60"/>
      <c r="K72" s="60"/>
    </row>
    <row r="73" spans="8:11" x14ac:dyDescent="0.25">
      <c r="H73" s="60"/>
      <c r="I73" s="60"/>
      <c r="J73" s="60"/>
      <c r="K73" s="60"/>
    </row>
    <row r="74" spans="8:11" x14ac:dyDescent="0.25">
      <c r="H74" s="60"/>
      <c r="I74" s="60"/>
      <c r="J74" s="60"/>
      <c r="K74" s="60"/>
    </row>
    <row r="75" spans="8:11" x14ac:dyDescent="0.25">
      <c r="H75" s="60"/>
      <c r="I75" s="60"/>
      <c r="J75" s="60"/>
      <c r="K75" s="60"/>
    </row>
    <row r="76" spans="8:11" x14ac:dyDescent="0.25">
      <c r="H76" s="60"/>
      <c r="I76" s="60"/>
      <c r="J76" s="60"/>
      <c r="K76" s="60"/>
    </row>
    <row r="77" spans="8:11" x14ac:dyDescent="0.25">
      <c r="H77" s="60"/>
      <c r="I77" s="60"/>
      <c r="J77" s="60"/>
      <c r="K77" s="60"/>
    </row>
    <row r="78" spans="8:11" x14ac:dyDescent="0.25">
      <c r="H78" s="60"/>
      <c r="I78" s="60"/>
      <c r="J78" s="60"/>
      <c r="K78" s="60"/>
    </row>
    <row r="79" spans="8:11" x14ac:dyDescent="0.25">
      <c r="H79" s="60"/>
      <c r="I79" s="60"/>
      <c r="J79" s="60"/>
      <c r="K79" s="60"/>
    </row>
    <row r="80" spans="8:11" x14ac:dyDescent="0.25">
      <c r="H80" s="60"/>
      <c r="I80" s="60"/>
      <c r="J80" s="60"/>
      <c r="K80" s="60"/>
    </row>
    <row r="81" spans="8:11" x14ac:dyDescent="0.25">
      <c r="H81" s="60"/>
      <c r="I81" s="60"/>
      <c r="J81" s="60"/>
      <c r="K81" s="60"/>
    </row>
    <row r="82" spans="8:11" x14ac:dyDescent="0.25">
      <c r="H82" s="60"/>
      <c r="I82" s="60"/>
      <c r="J82" s="60"/>
      <c r="K82" s="60"/>
    </row>
    <row r="83" spans="8:11" x14ac:dyDescent="0.25">
      <c r="H83" s="60"/>
      <c r="I83" s="60"/>
      <c r="J83" s="60"/>
      <c r="K83" s="60"/>
    </row>
    <row r="84" spans="8:11" x14ac:dyDescent="0.25">
      <c r="H84" s="60"/>
      <c r="I84" s="60"/>
      <c r="J84" s="60"/>
      <c r="K84" s="60"/>
    </row>
    <row r="85" spans="8:11" x14ac:dyDescent="0.25">
      <c r="H85" s="60"/>
      <c r="I85" s="60"/>
      <c r="J85" s="60"/>
      <c r="K85" s="60"/>
    </row>
    <row r="86" spans="8:11" x14ac:dyDescent="0.25">
      <c r="H86" s="60"/>
      <c r="I86" s="60"/>
      <c r="J86" s="60"/>
      <c r="K86" s="60"/>
    </row>
    <row r="87" spans="8:11" x14ac:dyDescent="0.25">
      <c r="H87" s="60"/>
      <c r="I87" s="60"/>
      <c r="J87" s="60"/>
      <c r="K87" s="60"/>
    </row>
    <row r="88" spans="8:11" x14ac:dyDescent="0.25">
      <c r="H88" s="60"/>
      <c r="I88" s="60"/>
      <c r="J88" s="60"/>
      <c r="K88" s="60"/>
    </row>
    <row r="89" spans="8:11" x14ac:dyDescent="0.25">
      <c r="H89" s="60"/>
      <c r="I89" s="60"/>
      <c r="J89" s="60"/>
      <c r="K89" s="60"/>
    </row>
    <row r="90" spans="8:11" x14ac:dyDescent="0.25">
      <c r="H90" s="60"/>
      <c r="I90" s="60"/>
      <c r="J90" s="60"/>
      <c r="K90" s="60"/>
    </row>
    <row r="91" spans="8:11" x14ac:dyDescent="0.25">
      <c r="H91" s="60"/>
      <c r="I91" s="60"/>
      <c r="J91" s="60"/>
      <c r="K91" s="60"/>
    </row>
    <row r="92" spans="8:11" x14ac:dyDescent="0.25">
      <c r="H92" s="60"/>
      <c r="I92" s="60"/>
      <c r="J92" s="60"/>
      <c r="K92" s="60"/>
    </row>
  </sheetData>
  <mergeCells count="8">
    <mergeCell ref="E3:E4"/>
    <mergeCell ref="D3:D4"/>
    <mergeCell ref="B3:C3"/>
    <mergeCell ref="J2:K2"/>
    <mergeCell ref="H3:H4"/>
    <mergeCell ref="J3:K3"/>
    <mergeCell ref="I3:I4"/>
    <mergeCell ref="F3:F4"/>
  </mergeCells>
  <pageMargins left="0.7" right="0.7" top="0.75" bottom="0.75" header="0.3" footer="0.3"/>
  <pageSetup paperSize="9" scale="86" orientation="portrait" horizontalDpi="300" verticalDpi="300" r:id="rId1"/>
  <colBreaks count="1" manualBreakCount="1">
    <brk id="6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8</vt:i4>
      </vt:variant>
      <vt:variant>
        <vt:lpstr>Intervalos com nome</vt:lpstr>
      </vt:variant>
      <vt:variant>
        <vt:i4>3</vt:i4>
      </vt:variant>
    </vt:vector>
  </HeadingPairs>
  <TitlesOfParts>
    <vt:vector size="11" baseType="lpstr">
      <vt:lpstr>Diário de Compras-Vendas</vt:lpstr>
      <vt:lpstr>Ficha de Valorimetria</vt:lpstr>
      <vt:lpstr>Diário de Gastos e Diversos</vt:lpstr>
      <vt:lpstr>Diário Op. de Fim de Exercício</vt:lpstr>
      <vt:lpstr>INFORMAÇÃO</vt:lpstr>
      <vt:lpstr>Apuramento do IVA</vt:lpstr>
      <vt:lpstr>Operações</vt:lpstr>
      <vt:lpstr>Balanço e Demons. Resultados</vt:lpstr>
      <vt:lpstr>'Balanço e Demons. Resultados'!Área_de_Impressão</vt:lpstr>
      <vt:lpstr>'Diário de Compras-Vendas'!Área_de_Impressão</vt:lpstr>
      <vt:lpstr>'Ficha de Valorimetria'!Área_de_Impressão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2012-06-13T17:08:51Z</dcterms:modified>
</cp:coreProperties>
</file>