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firstSheet="2" activeTab="3"/>
  </bookViews>
  <sheets>
    <sheet name="Diário de Compras-Vendas" sheetId="1" r:id="rId1"/>
    <sheet name="Diário de Gastos e Diversos" sheetId="2" r:id="rId2"/>
    <sheet name="Diário Op. de Fim de Exercício" sheetId="3" r:id="rId3"/>
    <sheet name="Balanço e Demons. Resultados" sheetId="4" r:id="rId4"/>
    <sheet name="Apuramento do IVA" sheetId="6" r:id="rId5"/>
    <sheet name="Ficha de Valorimetria" sheetId="5" r:id="rId6"/>
  </sheets>
  <calcPr calcId="125725"/>
</workbook>
</file>

<file path=xl/calcChain.xml><?xml version="1.0" encoding="utf-8"?>
<calcChain xmlns="http://schemas.openxmlformats.org/spreadsheetml/2006/main">
  <c r="J21" i="4"/>
  <c r="J22"/>
  <c r="F26"/>
  <c r="F10"/>
  <c r="F19" l="1"/>
  <c r="J20"/>
  <c r="J10"/>
  <c r="J12"/>
  <c r="J13"/>
  <c r="J16"/>
  <c r="G24" i="3"/>
  <c r="E5" i="6"/>
  <c r="G15" i="5"/>
  <c r="G16"/>
  <c r="G8"/>
  <c r="J19" i="4"/>
  <c r="P25"/>
  <c r="P24"/>
  <c r="O24"/>
  <c r="F11"/>
  <c r="F22" l="1"/>
  <c r="J9"/>
  <c r="G35" i="3"/>
  <c r="G33"/>
  <c r="G32"/>
  <c r="G28"/>
  <c r="G29" s="1"/>
  <c r="G26" s="1"/>
  <c r="G26" i="2"/>
  <c r="G20"/>
  <c r="G22" s="1"/>
  <c r="F18" i="4"/>
  <c r="G21" i="2" l="1"/>
  <c r="G28"/>
  <c r="G27" s="1"/>
  <c r="J34" i="4"/>
  <c r="J33"/>
  <c r="K22"/>
  <c r="K12"/>
  <c r="K13" s="1"/>
  <c r="K25" s="1"/>
  <c r="K53"/>
  <c r="K46"/>
  <c r="J46"/>
  <c r="K40"/>
  <c r="G62" i="2"/>
  <c r="G40" i="1"/>
  <c r="G36"/>
  <c r="G71" i="2"/>
  <c r="G30"/>
  <c r="G24"/>
  <c r="G29" i="1"/>
  <c r="G50" i="2"/>
  <c r="G48" s="1"/>
  <c r="G8" i="3"/>
  <c r="G6"/>
  <c r="G19"/>
  <c r="G18" s="1"/>
  <c r="G47" i="2"/>
  <c r="G60"/>
  <c r="G59"/>
  <c r="E16" i="5"/>
  <c r="E15"/>
  <c r="E14"/>
  <c r="E12"/>
  <c r="E11"/>
  <c r="E10"/>
  <c r="E9"/>
  <c r="E8"/>
  <c r="H16"/>
  <c r="G60" i="1" s="1"/>
  <c r="H15" i="5"/>
  <c r="H13"/>
  <c r="H12"/>
  <c r="H9"/>
  <c r="G56" i="2"/>
  <c r="G54" s="1"/>
  <c r="H8" i="5"/>
  <c r="G21" i="1" s="1"/>
  <c r="I7" i="5"/>
  <c r="I8" s="1"/>
  <c r="I9" s="1"/>
  <c r="I10" s="1"/>
  <c r="I11" s="1"/>
  <c r="I12" s="1"/>
  <c r="I13" s="1"/>
  <c r="I14" s="1"/>
  <c r="I15" s="1"/>
  <c r="I16" s="1"/>
  <c r="K6"/>
  <c r="E7"/>
  <c r="G51" i="1"/>
  <c r="G52" s="1"/>
  <c r="G39"/>
  <c r="G14" i="3"/>
  <c r="G12"/>
  <c r="G11"/>
  <c r="G10"/>
  <c r="G39" i="2"/>
  <c r="G40" s="1"/>
  <c r="G42" s="1"/>
  <c r="G43" s="1"/>
  <c r="G38"/>
  <c r="G37"/>
  <c r="G16"/>
  <c r="G15"/>
  <c r="G11"/>
  <c r="G10"/>
  <c r="G9"/>
  <c r="G8"/>
  <c r="G56" i="1"/>
  <c r="G59" s="1"/>
  <c r="G44"/>
  <c r="G43" s="1"/>
  <c r="G42" s="1"/>
  <c r="G45" s="1"/>
  <c r="G35"/>
  <c r="G34" s="1"/>
  <c r="G33" s="1"/>
  <c r="G25"/>
  <c r="G24" s="1"/>
  <c r="G23" s="1"/>
  <c r="G20"/>
  <c r="F6" i="4" s="1"/>
  <c r="G14" i="1"/>
  <c r="G8"/>
  <c r="G7" s="1"/>
  <c r="G6" s="1"/>
  <c r="G15" l="1"/>
  <c r="F12" i="4"/>
  <c r="K54"/>
  <c r="K55" s="1"/>
  <c r="J7" i="5"/>
  <c r="J8" s="1"/>
  <c r="G30" i="1"/>
  <c r="E11" i="6" s="1"/>
  <c r="G31" i="1"/>
  <c r="K8" i="5"/>
  <c r="J9" s="1"/>
  <c r="G10" s="1"/>
  <c r="G11" s="1"/>
  <c r="H11" s="1"/>
  <c r="E7" i="6"/>
  <c r="G12" i="2"/>
  <c r="K7" i="5"/>
  <c r="G38" i="1"/>
  <c r="G50"/>
  <c r="G12"/>
  <c r="G13" s="1"/>
  <c r="G18"/>
  <c r="G19" s="1"/>
  <c r="G9"/>
  <c r="G46"/>
  <c r="E12" i="6" s="1"/>
  <c r="G26" i="1"/>
  <c r="G41" i="2"/>
  <c r="G13"/>
  <c r="E6" i="6"/>
  <c r="G47" i="1"/>
  <c r="G48" s="1"/>
  <c r="G55"/>
  <c r="G58" s="1"/>
  <c r="E9" i="6" s="1"/>
  <c r="K9" i="5" l="1"/>
  <c r="H10"/>
  <c r="G17" i="1"/>
  <c r="O23" i="4" s="1"/>
  <c r="O27" s="1"/>
  <c r="E10" i="6"/>
  <c r="G11" i="1"/>
  <c r="P23" i="4" s="1"/>
  <c r="P27" s="1"/>
  <c r="G37" i="1"/>
  <c r="E8" i="6"/>
  <c r="G28" i="1"/>
  <c r="F20" i="4" s="1"/>
  <c r="F23" s="1"/>
  <c r="F27" s="1"/>
  <c r="F29" s="1"/>
  <c r="G49" i="1"/>
  <c r="P11" i="4" s="1"/>
  <c r="E13" i="6"/>
  <c r="J10" i="5"/>
  <c r="J11" s="1"/>
  <c r="K10"/>
  <c r="G54" i="1"/>
  <c r="G57" s="1"/>
  <c r="O11" i="4" l="1"/>
  <c r="O13" s="1"/>
  <c r="J17" s="1"/>
  <c r="J25" s="1"/>
  <c r="P28"/>
  <c r="J23" s="1"/>
  <c r="E15" i="6"/>
  <c r="E14"/>
  <c r="K11" i="5"/>
  <c r="J12"/>
  <c r="K12" s="1"/>
  <c r="E13"/>
  <c r="H14" s="1"/>
  <c r="F30" i="4" l="1"/>
  <c r="J39" s="1"/>
  <c r="J40" s="1"/>
  <c r="E16" i="6"/>
  <c r="J49" i="4" s="1"/>
  <c r="J53" s="1"/>
  <c r="J54" s="1"/>
  <c r="J13" i="5"/>
  <c r="K13" s="1"/>
  <c r="J14" s="1"/>
  <c r="J55" i="4" l="1"/>
  <c r="F34" s="1"/>
  <c r="K14" i="5"/>
  <c r="J15"/>
  <c r="K15" l="1"/>
  <c r="J16"/>
  <c r="K16" s="1"/>
</calcChain>
</file>

<file path=xl/sharedStrings.xml><?xml version="1.0" encoding="utf-8"?>
<sst xmlns="http://schemas.openxmlformats.org/spreadsheetml/2006/main" count="577" uniqueCount="261">
  <si>
    <t>Data</t>
  </si>
  <si>
    <t>Nr.</t>
  </si>
  <si>
    <t>Descrição</t>
  </si>
  <si>
    <t>Débito</t>
  </si>
  <si>
    <t>Crédito</t>
  </si>
  <si>
    <t>Valor</t>
  </si>
  <si>
    <t>Aquisição de Mercadorias</t>
  </si>
  <si>
    <t>-</t>
  </si>
  <si>
    <t>12-03-N</t>
  </si>
  <si>
    <t>30-12-N-1</t>
  </si>
  <si>
    <t>21-03-N</t>
  </si>
  <si>
    <t>15-09-N</t>
  </si>
  <si>
    <t>03-10-N</t>
  </si>
  <si>
    <t>15-12-N</t>
  </si>
  <si>
    <t>Desconto comercial de 30%</t>
  </si>
  <si>
    <t>Desconto comercial de 10%</t>
  </si>
  <si>
    <t>Entrada em armazém</t>
  </si>
  <si>
    <t>Saída de armazém</t>
  </si>
  <si>
    <t>N</t>
  </si>
  <si>
    <t>Salários
(Orgãos Sociais e Pessoal)</t>
  </si>
  <si>
    <t>Gasto com comunicação</t>
  </si>
  <si>
    <t>Gasto com gasolina</t>
  </si>
  <si>
    <t>Gasto com material
 de escritório</t>
  </si>
  <si>
    <t>Gasto com deslocações
 e estadias</t>
  </si>
  <si>
    <t>31-3-N</t>
  </si>
  <si>
    <t>Distribuição de resultados 
líquidos (38.000€ de N-1)</t>
  </si>
  <si>
    <t>Entrega de IRS ao Estado</t>
  </si>
  <si>
    <t>31-08-N</t>
  </si>
  <si>
    <t>Contrato de Leasing</t>
  </si>
  <si>
    <t>01-12-N</t>
  </si>
  <si>
    <t>31-12-N</t>
  </si>
  <si>
    <t>Amortização Leasing</t>
  </si>
  <si>
    <t>Amortização Patente</t>
  </si>
  <si>
    <t>20-09-N</t>
  </si>
  <si>
    <t>V-2</t>
  </si>
  <si>
    <t>C-3</t>
  </si>
  <si>
    <t>Devolução de 1000 unidades</t>
  </si>
  <si>
    <t>C-2</t>
  </si>
  <si>
    <t>Devolução de 600 unidades</t>
  </si>
  <si>
    <t>Aquisição de mercadorias
A Pronto Pagamento
(10% de desconto financ.)</t>
  </si>
  <si>
    <t>Aquisição de Mercadorias
A Crédito</t>
  </si>
  <si>
    <t>Venda de Mercadorias
A Pronto Pagamento
(10% de desconto financ.)</t>
  </si>
  <si>
    <t>Venda de Mercadorias
A Crédito</t>
  </si>
  <si>
    <t>N+1</t>
  </si>
  <si>
    <t>Quantidade</t>
  </si>
  <si>
    <t>Preço Unit.</t>
  </si>
  <si>
    <t>Entrada</t>
  </si>
  <si>
    <t>Saídas</t>
  </si>
  <si>
    <t>Armazém</t>
  </si>
  <si>
    <t>Oferta de 25 unidades</t>
  </si>
  <si>
    <t>15-12-N
 (Desconto Comercial)</t>
  </si>
  <si>
    <t>18-12-N</t>
  </si>
  <si>
    <t>15-12-N
 (Devolução)</t>
  </si>
  <si>
    <t>Processo Judicial</t>
  </si>
  <si>
    <t>65.11</t>
  </si>
  <si>
    <t>69.1</t>
  </si>
  <si>
    <t>12.1</t>
  </si>
  <si>
    <t>Juros de Depósitos à Ordem</t>
  </si>
  <si>
    <t>79.11</t>
  </si>
  <si>
    <t>24.2</t>
  </si>
  <si>
    <t>1-12-N</t>
  </si>
  <si>
    <t>Subsídio</t>
  </si>
  <si>
    <t>Pagamento Seguro</t>
  </si>
  <si>
    <t>Juros (Empréstimo em N-1)</t>
  </si>
  <si>
    <t>C-1</t>
  </si>
  <si>
    <t>V-1</t>
  </si>
  <si>
    <t>G-1</t>
  </si>
  <si>
    <t>G-2</t>
  </si>
  <si>
    <t>G-3</t>
  </si>
  <si>
    <t>OP-1</t>
  </si>
  <si>
    <t>G-4</t>
  </si>
  <si>
    <t>OP-2</t>
  </si>
  <si>
    <t>OP-3</t>
  </si>
  <si>
    <t>OI-5</t>
  </si>
  <si>
    <t>OI-2</t>
  </si>
  <si>
    <t>OI-3</t>
  </si>
  <si>
    <t>22.1</t>
  </si>
  <si>
    <t>Pagamento a fornecedores
(N-1)</t>
  </si>
  <si>
    <t>OI-4</t>
  </si>
  <si>
    <t>Pagamento a outros credores (N-1)</t>
  </si>
  <si>
    <t>Recibimento de dívidas de
outros clientes</t>
  </si>
  <si>
    <t>Factura em mora</t>
  </si>
  <si>
    <t>21.9</t>
  </si>
  <si>
    <t>Apuramento
do IVA</t>
  </si>
  <si>
    <t>ACTIVO</t>
  </si>
  <si>
    <t>Activo Corrente</t>
  </si>
  <si>
    <t>Inventários</t>
  </si>
  <si>
    <t>Clientes</t>
  </si>
  <si>
    <t>Activos fixos tangíveis</t>
  </si>
  <si>
    <t>Passivo não corrente</t>
  </si>
  <si>
    <t>Fornecedores</t>
  </si>
  <si>
    <t>Estado e outros entes públicos</t>
  </si>
  <si>
    <t>Outras contas a pagar</t>
  </si>
  <si>
    <t>Encargos sobre a 
remuneração (patronais)</t>
  </si>
  <si>
    <t>V-4</t>
  </si>
  <si>
    <t>Resultados líquido (N-1)</t>
  </si>
  <si>
    <t>Resultados transitados</t>
  </si>
  <si>
    <t>N-1</t>
  </si>
  <si>
    <t>1-1-N</t>
  </si>
  <si>
    <t>V-3</t>
  </si>
  <si>
    <t>OP-5</t>
  </si>
  <si>
    <t>28.1</t>
  </si>
  <si>
    <t>Pagamento da renda do 
periodo (1/N+1)</t>
  </si>
  <si>
    <t>28.2</t>
  </si>
  <si>
    <t>78.83</t>
  </si>
  <si>
    <t>31-11-N</t>
  </si>
  <si>
    <t>Pagamento de Rendas
(ALD)</t>
  </si>
  <si>
    <t>Pagamento 1ª Renda
(Leasing)</t>
  </si>
  <si>
    <t>Subsídios compra viatura comercial
(Ganhos deferidos)</t>
  </si>
  <si>
    <t>Saldar conta
do IVA</t>
  </si>
  <si>
    <t>DIÁRIO DE COMPRA E VENDA</t>
  </si>
  <si>
    <t>DIÁRIO DE FIM DE EXERCÍCIO</t>
  </si>
  <si>
    <t>DIÁRIO DE GASTOS E RESTANTES OPERAÇÕES</t>
  </si>
  <si>
    <t>APURAMENTO DO IVA</t>
  </si>
  <si>
    <t>Situação Inicial</t>
  </si>
  <si>
    <t>Entrada de armazém</t>
  </si>
  <si>
    <t>Aquisição de 30% da 
empresa "O Navio"</t>
  </si>
  <si>
    <t>41.21</t>
  </si>
  <si>
    <t>Resultado líquidos da
empresa "O Navio"</t>
  </si>
  <si>
    <t>78.71</t>
  </si>
  <si>
    <t>Passivo corrente</t>
  </si>
  <si>
    <t>31-4-N</t>
  </si>
  <si>
    <t>Depreciação Edifício</t>
  </si>
  <si>
    <t>Depreciação de Transporte</t>
  </si>
  <si>
    <t>Depreciação de Eq. Básico</t>
  </si>
  <si>
    <t>FICHA DE VALORIMETRIA</t>
  </si>
  <si>
    <t>Pagamento de dividendos</t>
  </si>
  <si>
    <t>RUBRICAS</t>
  </si>
  <si>
    <t>NOTAS</t>
  </si>
  <si>
    <t>Activo não corrente</t>
  </si>
  <si>
    <t>Activos intangíveis</t>
  </si>
  <si>
    <t>Accionistas/sócios</t>
  </si>
  <si>
    <t>Estados e outros entes públicos</t>
  </si>
  <si>
    <t>Outras contas a receber</t>
  </si>
  <si>
    <t>Diferimentos</t>
  </si>
  <si>
    <t>Caixa e depósitos bancários</t>
  </si>
  <si>
    <t>Total do activo</t>
  </si>
  <si>
    <t>CAPITAL PRÓPRIO E PASSIVO</t>
  </si>
  <si>
    <t>Capital próprio</t>
  </si>
  <si>
    <t>Capital realizado</t>
  </si>
  <si>
    <t>Prémios de emissão</t>
  </si>
  <si>
    <t>Reservas legais</t>
  </si>
  <si>
    <t>Outras reservas</t>
  </si>
  <si>
    <t>Excedentes de revalorização</t>
  </si>
  <si>
    <t>Outras variações no capital próprio</t>
  </si>
  <si>
    <t>Resultado líquido do período</t>
  </si>
  <si>
    <t>Total do capital próprio</t>
  </si>
  <si>
    <t>PASSIVO</t>
  </si>
  <si>
    <t>Accionistas</t>
  </si>
  <si>
    <t>Financiamentos obtidos</t>
  </si>
  <si>
    <t>Outros passivos financeiros</t>
  </si>
  <si>
    <t>Total do passivo</t>
  </si>
  <si>
    <t>Total do capital próprio e do passivo</t>
  </si>
  <si>
    <t>Amortizações Acumuladas</t>
  </si>
  <si>
    <t>Investimento Financeiro</t>
  </si>
  <si>
    <t>PERIODO</t>
  </si>
  <si>
    <t>Imparidades Acumuladas</t>
  </si>
  <si>
    <t>Conta</t>
  </si>
  <si>
    <t>Rendimentos e Gastos</t>
  </si>
  <si>
    <t>Notas</t>
  </si>
  <si>
    <t>Pos</t>
  </si>
  <si>
    <t>Neg</t>
  </si>
  <si>
    <t>71/72</t>
  </si>
  <si>
    <t>Vendas e serviços prestados</t>
  </si>
  <si>
    <t xml:space="preserve"> </t>
  </si>
  <si>
    <t>Subsídios à exploração</t>
  </si>
  <si>
    <t>Variação de Inventários na produção</t>
  </si>
  <si>
    <t>Trabalhos para a própria entidade</t>
  </si>
  <si>
    <t>Custo das mercadorias vendidas e das matérias consumidas</t>
  </si>
  <si>
    <t>Fornecimentos e serviços externos</t>
  </si>
  <si>
    <t>Gastos com pessoal</t>
  </si>
  <si>
    <t>Ajustamentos de inventários (perdas/reversões)</t>
  </si>
  <si>
    <t>Imparidade de dívidas a receber (perdas/reversões)</t>
  </si>
  <si>
    <t>Provisões (aumentos/reduções)</t>
  </si>
  <si>
    <t>7623/8</t>
  </si>
  <si>
    <t>653/8</t>
  </si>
  <si>
    <t>Imparidade de activos não depreciáveis / amortizáveis (perdas/reversões)</t>
  </si>
  <si>
    <t>Aumentos / Reduções de justo valor</t>
  </si>
  <si>
    <t>Outros rendimentos e ganhos</t>
  </si>
  <si>
    <t>Outros gastos e perdas</t>
  </si>
  <si>
    <t>Resultado antes de depreciações, gastos de financiamento e impostos</t>
  </si>
  <si>
    <t>Gastos / reversões de depreciação e de amortização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</si>
  <si>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</si>
  <si>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</si>
  <si>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</si>
  <si>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</si>
  <si>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Resultado liquido do periodo</t>
  </si>
  <si>
    <t>ANO N</t>
  </si>
  <si>
    <t>21.1</t>
  </si>
  <si>
    <t>32.9</t>
  </si>
  <si>
    <t>Reversão de imparidade</t>
  </si>
  <si>
    <t>Imparidade de mercadorias</t>
  </si>
  <si>
    <t>76.22</t>
  </si>
  <si>
    <t>Renda antecipada
(ALD)</t>
  </si>
  <si>
    <t>Seguro</t>
  </si>
  <si>
    <t>Pagamento 2ª Renda
antecipada
(Leasing)</t>
  </si>
  <si>
    <t>Impostos sobre o rendimento do periodo (IRC 25%)</t>
  </si>
  <si>
    <t>Pagamento
a realizar</t>
  </si>
  <si>
    <t>65.2</t>
  </si>
  <si>
    <t>27.8</t>
  </si>
  <si>
    <t>24.32.3</t>
  </si>
  <si>
    <t>62.63</t>
  </si>
  <si>
    <t>27.1</t>
  </si>
  <si>
    <t>43.4</t>
  </si>
  <si>
    <t>26.4</t>
  </si>
  <si>
    <t>55.2</t>
  </si>
  <si>
    <t>55.1</t>
  </si>
  <si>
    <t>62.52</t>
  </si>
  <si>
    <t>62.33</t>
  </si>
  <si>
    <t>24.32.2</t>
  </si>
  <si>
    <t>62.42</t>
  </si>
  <si>
    <t>62.62</t>
  </si>
  <si>
    <t>24.32</t>
  </si>
  <si>
    <t>31.1</t>
  </si>
  <si>
    <t>32.1</t>
  </si>
  <si>
    <t>78.2</t>
  </si>
  <si>
    <t>24.32.1</t>
  </si>
  <si>
    <t>68.2</t>
  </si>
  <si>
    <t>24.33.1</t>
  </si>
  <si>
    <t>71.1</t>
  </si>
  <si>
    <t>61.1</t>
  </si>
  <si>
    <t>22.11</t>
  </si>
  <si>
    <t>68.84</t>
  </si>
  <si>
    <t>38.2</t>
  </si>
  <si>
    <t>24.33.2</t>
  </si>
  <si>
    <t>21.11</t>
  </si>
  <si>
    <t>24.34.1</t>
  </si>
  <si>
    <t>71.7</t>
  </si>
  <si>
    <t>31.8</t>
  </si>
  <si>
    <t>24.34.2</t>
  </si>
  <si>
    <t>31.7</t>
  </si>
  <si>
    <t>71.8</t>
  </si>
  <si>
    <t>62.61</t>
  </si>
  <si>
    <t>64.2</t>
  </si>
  <si>
    <t>43.8</t>
  </si>
  <si>
    <t>64.3</t>
  </si>
  <si>
    <t>44.8</t>
  </si>
  <si>
    <t>69.18</t>
  </si>
  <si>
    <t>24.35</t>
  </si>
  <si>
    <t>24.36</t>
  </si>
  <si>
    <t>DEMONSTRAÇÃO DE RESULTADOS</t>
  </si>
  <si>
    <t>BALANÇO</t>
  </si>
  <si>
    <t>75.1</t>
  </si>
  <si>
    <t>65.1</t>
  </si>
  <si>
    <t>Mercadorias</t>
  </si>
  <si>
    <t>Gastos</t>
  </si>
  <si>
    <t>D</t>
  </si>
  <si>
    <t>C</t>
  </si>
  <si>
    <t>Cliente</t>
  </si>
  <si>
    <t>OP</t>
  </si>
  <si>
    <t>O BALANÇO ESTÁ INCORRECTO, POIS O ACTIVO DEVERIA SER IGUAL
 AO CAPITAL PRÓPRIO MAIS PASSIVO</t>
  </si>
  <si>
    <t>63.1</t>
  </si>
  <si>
    <t>63.2</t>
  </si>
  <si>
    <t>24.21</t>
  </si>
  <si>
    <t>24.22</t>
  </si>
  <si>
    <t>24.51</t>
  </si>
  <si>
    <t>24.52</t>
  </si>
  <si>
    <t>23.11</t>
  </si>
  <si>
    <t>23.12</t>
  </si>
  <si>
    <t>63.51</t>
  </si>
  <si>
    <t>63.52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</si>
</sst>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_-* #,##0.000\ &quot;€&quot;_-;\-* #,##0.000\ &quot;€&quot;_-;_-* &quot;-&quot;???\ &quot;€&quot;_-;_-@_-"/>
    <numFmt numFmtId="165" formatCode="_-* #,##0.00\ [$€-1]_-;\-* #,##0.00\ [$€-1]_-;_-* &quot;-&quot;??\ [$€-1]_-"/>
    <numFmt numFmtId="166" formatCode="_-* #,##0.00\ [$€-1]_-;\-* #,##0.00\ [$€-1]_-;_-* &quot;-&quot;??\ [$€-1]_-;_-@_-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5" fontId="10" fillId="0" borderId="0" applyFont="0" applyFill="0" applyBorder="0" applyAlignment="0" applyProtection="0"/>
  </cellStyleXfs>
  <cellXfs count="214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44" fontId="0" fillId="2" borderId="0" xfId="0" applyNumberFormat="1" applyFill="1"/>
    <xf numFmtId="0" fontId="2" fillId="2" borderId="1" xfId="0" applyFont="1" applyFill="1" applyBorder="1" applyAlignment="1">
      <alignment horizontal="center" vertical="center"/>
    </xf>
    <xf numFmtId="4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44" fontId="0" fillId="2" borderId="18" xfId="0" applyNumberFormat="1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4" fontId="0" fillId="2" borderId="9" xfId="0" applyNumberFormat="1" applyFill="1" applyBorder="1" applyAlignment="1">
      <alignment horizontal="center"/>
    </xf>
    <xf numFmtId="44" fontId="0" fillId="2" borderId="20" xfId="0" applyNumberFormat="1" applyFont="1" applyFill="1" applyBorder="1" applyAlignment="1">
      <alignment horizontal="center"/>
    </xf>
    <xf numFmtId="44" fontId="0" fillId="2" borderId="18" xfId="0" applyNumberFormat="1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44" fontId="0" fillId="2" borderId="20" xfId="0" applyNumberForma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44" fontId="0" fillId="2" borderId="3" xfId="0" applyNumberFormat="1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44" fontId="0" fillId="2" borderId="24" xfId="0" applyNumberFormat="1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164" fontId="0" fillId="2" borderId="3" xfId="0" applyNumberFormat="1" applyFont="1" applyFill="1" applyBorder="1" applyAlignment="1">
      <alignment horizontal="center"/>
    </xf>
    <xf numFmtId="44" fontId="0" fillId="2" borderId="24" xfId="0" applyNumberFormat="1" applyFont="1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44" fontId="0" fillId="2" borderId="1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4" fontId="0" fillId="2" borderId="18" xfId="0" applyNumberFormat="1" applyFill="1" applyBorder="1" applyAlignment="1">
      <alignment horizontal="center" vertical="center"/>
    </xf>
    <xf numFmtId="44" fontId="0" fillId="2" borderId="30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44" fontId="0" fillId="2" borderId="20" xfId="0" applyNumberForma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44" fontId="0" fillId="2" borderId="33" xfId="0" applyNumberForma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2" borderId="0" xfId="0" applyFont="1" applyFill="1"/>
    <xf numFmtId="0" fontId="4" fillId="3" borderId="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14" xfId="0" applyFill="1" applyBorder="1" applyAlignment="1">
      <alignment horizontal="center" wrapText="1"/>
    </xf>
    <xf numFmtId="0" fontId="0" fillId="3" borderId="43" xfId="0" applyFill="1" applyBorder="1" applyAlignment="1">
      <alignment horizontal="center"/>
    </xf>
    <xf numFmtId="0" fontId="4" fillId="4" borderId="26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44" fontId="0" fillId="2" borderId="24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44" fontId="0" fillId="2" borderId="54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2" borderId="38" xfId="0" applyFill="1" applyBorder="1" applyAlignment="1"/>
    <xf numFmtId="0" fontId="0" fillId="2" borderId="38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5" fillId="2" borderId="0" xfId="0" applyFont="1" applyFill="1"/>
    <xf numFmtId="0" fontId="0" fillId="2" borderId="2" xfId="0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/>
    </xf>
    <xf numFmtId="0" fontId="7" fillId="2" borderId="0" xfId="0" applyFont="1" applyFill="1" applyBorder="1"/>
    <xf numFmtId="0" fontId="7" fillId="2" borderId="0" xfId="0" applyFont="1" applyFill="1"/>
    <xf numFmtId="0" fontId="6" fillId="2" borderId="38" xfId="0" applyFont="1" applyFill="1" applyBorder="1" applyAlignment="1">
      <alignment horizontal="center"/>
    </xf>
    <xf numFmtId="0" fontId="0" fillId="2" borderId="56" xfId="0" applyFill="1" applyBorder="1"/>
    <xf numFmtId="165" fontId="0" fillId="2" borderId="57" xfId="1" applyFont="1" applyFill="1" applyBorder="1"/>
    <xf numFmtId="0" fontId="7" fillId="2" borderId="38" xfId="0" applyFont="1" applyFill="1" applyBorder="1"/>
    <xf numFmtId="0" fontId="6" fillId="2" borderId="38" xfId="0" applyFont="1" applyFill="1" applyBorder="1"/>
    <xf numFmtId="165" fontId="0" fillId="2" borderId="58" xfId="1" applyFont="1" applyFill="1" applyBorder="1"/>
    <xf numFmtId="0" fontId="7" fillId="2" borderId="56" xfId="0" applyFont="1" applyFill="1" applyBorder="1"/>
    <xf numFmtId="165" fontId="0" fillId="2" borderId="18" xfId="1" applyFont="1" applyFill="1" applyBorder="1"/>
    <xf numFmtId="165" fontId="9" fillId="2" borderId="18" xfId="1" applyFont="1" applyFill="1" applyBorder="1"/>
    <xf numFmtId="165" fontId="9" fillId="2" borderId="59" xfId="1" applyFont="1" applyFill="1" applyBorder="1"/>
    <xf numFmtId="165" fontId="9" fillId="2" borderId="60" xfId="1" applyFont="1" applyFill="1" applyBorder="1"/>
    <xf numFmtId="165" fontId="0" fillId="2" borderId="30" xfId="1" applyFont="1" applyFill="1" applyBorder="1"/>
    <xf numFmtId="165" fontId="0" fillId="2" borderId="24" xfId="1" applyFont="1" applyFill="1" applyBorder="1"/>
    <xf numFmtId="165" fontId="7" fillId="2" borderId="57" xfId="1" applyFont="1" applyFill="1" applyBorder="1"/>
    <xf numFmtId="165" fontId="9" fillId="2" borderId="57" xfId="1" applyFont="1" applyFill="1" applyBorder="1"/>
    <xf numFmtId="0" fontId="7" fillId="2" borderId="39" xfId="0" applyFont="1" applyFill="1" applyBorder="1"/>
    <xf numFmtId="0" fontId="7" fillId="2" borderId="61" xfId="0" applyFont="1" applyFill="1" applyBorder="1"/>
    <xf numFmtId="0" fontId="7" fillId="2" borderId="33" xfId="0" applyFont="1" applyFill="1" applyBorder="1"/>
    <xf numFmtId="166" fontId="0" fillId="2" borderId="57" xfId="1" applyNumberFormat="1" applyFont="1" applyFill="1" applyBorder="1"/>
    <xf numFmtId="0" fontId="7" fillId="2" borderId="67" xfId="0" applyFont="1" applyFill="1" applyBorder="1" applyAlignment="1" applyProtection="1">
      <alignment horizontal="left" vertical="top"/>
    </xf>
    <xf numFmtId="49" fontId="7" fillId="2" borderId="62" xfId="0" applyNumberFormat="1" applyFont="1" applyFill="1" applyBorder="1" applyAlignment="1" applyProtection="1">
      <alignment horizontal="center" vertical="top"/>
    </xf>
    <xf numFmtId="0" fontId="7" fillId="2" borderId="64" xfId="0" applyFont="1" applyFill="1" applyBorder="1" applyAlignment="1" applyProtection="1">
      <alignment horizontal="center" vertical="top"/>
    </xf>
    <xf numFmtId="49" fontId="7" fillId="2" borderId="69" xfId="0" applyNumberFormat="1" applyFont="1" applyFill="1" applyBorder="1" applyAlignment="1" applyProtection="1">
      <alignment horizontal="left" vertical="top"/>
    </xf>
    <xf numFmtId="1" fontId="7" fillId="2" borderId="70" xfId="0" applyNumberFormat="1" applyFont="1" applyFill="1" applyBorder="1" applyAlignment="1" applyProtection="1">
      <alignment horizontal="center" vertical="top"/>
    </xf>
    <xf numFmtId="0" fontId="7" fillId="2" borderId="71" xfId="0" applyFont="1" applyFill="1" applyBorder="1" applyAlignment="1" applyProtection="1">
      <alignment horizontal="center" vertical="top"/>
    </xf>
    <xf numFmtId="49" fontId="7" fillId="2" borderId="71" xfId="0" applyNumberFormat="1" applyFont="1" applyFill="1" applyBorder="1" applyAlignment="1" applyProtection="1">
      <alignment horizontal="center" vertical="top"/>
    </xf>
    <xf numFmtId="0" fontId="7" fillId="2" borderId="70" xfId="0" applyFont="1" applyFill="1" applyBorder="1" applyAlignment="1" applyProtection="1">
      <alignment horizontal="center" vertical="top"/>
    </xf>
    <xf numFmtId="1" fontId="7" fillId="2" borderId="71" xfId="0" applyNumberFormat="1" applyFont="1" applyFill="1" applyBorder="1" applyAlignment="1" applyProtection="1">
      <alignment horizontal="center" vertical="top"/>
    </xf>
    <xf numFmtId="49" fontId="7" fillId="2" borderId="70" xfId="0" applyNumberFormat="1" applyFont="1" applyFill="1" applyBorder="1" applyAlignment="1" applyProtection="1">
      <alignment horizontal="center" vertical="top"/>
    </xf>
    <xf numFmtId="0" fontId="7" fillId="2" borderId="65" xfId="0" applyFont="1" applyFill="1" applyBorder="1" applyAlignment="1" applyProtection="1">
      <alignment horizontal="center" vertical="top"/>
    </xf>
    <xf numFmtId="1" fontId="7" fillId="2" borderId="68" xfId="0" applyNumberFormat="1" applyFont="1" applyFill="1" applyBorder="1" applyAlignment="1" applyProtection="1">
      <alignment horizontal="center" vertical="top"/>
    </xf>
    <xf numFmtId="49" fontId="7" fillId="2" borderId="67" xfId="0" applyNumberFormat="1" applyFont="1" applyFill="1" applyBorder="1" applyAlignment="1" applyProtection="1">
      <alignment horizontal="left" vertical="top"/>
    </xf>
    <xf numFmtId="49" fontId="7" fillId="2" borderId="69" xfId="0" applyNumberFormat="1" applyFont="1" applyFill="1" applyBorder="1" applyAlignment="1" applyProtection="1">
      <alignment horizontal="right" vertical="top"/>
    </xf>
    <xf numFmtId="0" fontId="7" fillId="2" borderId="69" xfId="0" applyFont="1" applyFill="1" applyBorder="1" applyAlignment="1" applyProtection="1">
      <alignment horizontal="left" vertical="top"/>
    </xf>
    <xf numFmtId="0" fontId="7" fillId="2" borderId="70" xfId="0" applyFont="1" applyFill="1" applyBorder="1" applyAlignment="1" applyProtection="1">
      <alignment horizontal="left" vertical="top"/>
    </xf>
    <xf numFmtId="0" fontId="7" fillId="2" borderId="0" xfId="0" applyFont="1" applyFill="1" applyAlignment="1" applyProtection="1">
      <alignment horizontal="left" vertical="top"/>
    </xf>
    <xf numFmtId="1" fontId="7" fillId="2" borderId="65" xfId="0" applyNumberFormat="1" applyFont="1" applyFill="1" applyBorder="1" applyAlignment="1" applyProtection="1">
      <alignment horizontal="center" vertical="top"/>
    </xf>
    <xf numFmtId="0" fontId="7" fillId="2" borderId="68" xfId="0" applyFont="1" applyFill="1" applyBorder="1" applyAlignment="1" applyProtection="1">
      <alignment horizontal="center" vertical="top"/>
    </xf>
    <xf numFmtId="49" fontId="7" fillId="2" borderId="67" xfId="0" applyNumberFormat="1" applyFont="1" applyFill="1" applyBorder="1" applyAlignment="1" applyProtection="1">
      <alignment horizontal="right" vertical="top"/>
    </xf>
    <xf numFmtId="49" fontId="7" fillId="2" borderId="0" xfId="0" applyNumberFormat="1" applyFont="1" applyFill="1" applyAlignment="1" applyProtection="1">
      <alignment horizontal="left" vertical="top"/>
    </xf>
    <xf numFmtId="44" fontId="7" fillId="2" borderId="69" xfId="0" applyNumberFormat="1" applyFont="1" applyFill="1" applyBorder="1" applyAlignment="1" applyProtection="1">
      <alignment horizontal="right" vertical="top"/>
    </xf>
    <xf numFmtId="44" fontId="7" fillId="2" borderId="63" xfId="0" applyNumberFormat="1" applyFont="1" applyFill="1" applyBorder="1" applyAlignment="1" applyProtection="1">
      <alignment horizontal="right" vertical="top"/>
    </xf>
    <xf numFmtId="44" fontId="7" fillId="2" borderId="67" xfId="0" applyNumberFormat="1" applyFont="1" applyFill="1" applyBorder="1" applyAlignment="1" applyProtection="1">
      <alignment horizontal="right" vertical="top"/>
    </xf>
    <xf numFmtId="44" fontId="7" fillId="2" borderId="69" xfId="0" applyNumberFormat="1" applyFont="1" applyFill="1" applyBorder="1" applyAlignment="1" applyProtection="1">
      <alignment horizontal="left" vertical="top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4" fontId="0" fillId="2" borderId="30" xfId="0" applyNumberFormat="1" applyFill="1" applyBorder="1" applyAlignment="1">
      <alignment horizontal="center" vertical="center"/>
    </xf>
    <xf numFmtId="44" fontId="0" fillId="2" borderId="24" xfId="0" applyNumberFormat="1" applyFill="1" applyBorder="1" applyAlignment="1">
      <alignment horizontal="center" vertical="center"/>
    </xf>
    <xf numFmtId="166" fontId="7" fillId="2" borderId="0" xfId="0" applyNumberFormat="1" applyFont="1" applyFill="1" applyAlignment="1" applyProtection="1">
      <alignment horizontal="left" vertical="top"/>
    </xf>
    <xf numFmtId="0" fontId="0" fillId="2" borderId="3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7" fillId="3" borderId="65" xfId="0" applyNumberFormat="1" applyFont="1" applyFill="1" applyBorder="1" applyAlignment="1" applyProtection="1">
      <alignment horizontal="center" vertical="top"/>
    </xf>
    <xf numFmtId="49" fontId="7" fillId="3" borderId="66" xfId="0" applyNumberFormat="1" applyFont="1" applyFill="1" applyBorder="1" applyAlignment="1" applyProtection="1">
      <alignment horizontal="center" vertical="top"/>
    </xf>
    <xf numFmtId="0" fontId="6" fillId="3" borderId="26" xfId="0" applyFont="1" applyFill="1" applyBorder="1" applyAlignment="1">
      <alignment horizontal="center"/>
    </xf>
    <xf numFmtId="0" fontId="6" fillId="3" borderId="54" xfId="0" applyFont="1" applyFill="1" applyBorder="1" applyAlignment="1">
      <alignment horizontal="center"/>
    </xf>
    <xf numFmtId="166" fontId="11" fillId="2" borderId="0" xfId="0" applyNumberFormat="1" applyFont="1" applyFill="1" applyAlignment="1" applyProtection="1">
      <alignment horizontal="left" vertical="top"/>
    </xf>
    <xf numFmtId="44" fontId="7" fillId="2" borderId="0" xfId="0" applyNumberFormat="1" applyFont="1" applyFill="1" applyBorder="1" applyAlignment="1" applyProtection="1">
      <alignment horizontal="right" vertical="top"/>
    </xf>
    <xf numFmtId="0" fontId="0" fillId="2" borderId="0" xfId="0" applyFill="1" applyAlignment="1">
      <alignment horizontal="center" vertical="center"/>
    </xf>
    <xf numFmtId="166" fontId="0" fillId="2" borderId="0" xfId="0" applyNumberFormat="1" applyFill="1"/>
    <xf numFmtId="0" fontId="0" fillId="2" borderId="34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73" xfId="0" applyFill="1" applyBorder="1" applyAlignment="1">
      <alignment horizontal="center" vertical="center"/>
    </xf>
    <xf numFmtId="44" fontId="0" fillId="2" borderId="30" xfId="0" applyNumberFormat="1" applyFill="1" applyBorder="1" applyAlignment="1">
      <alignment horizontal="center" vertical="center"/>
    </xf>
    <xf numFmtId="44" fontId="0" fillId="2" borderId="24" xfId="0" applyNumberFormat="1" applyFill="1" applyBorder="1" applyAlignment="1">
      <alignment horizontal="center" vertical="center"/>
    </xf>
    <xf numFmtId="0" fontId="0" fillId="2" borderId="38" xfId="0" applyFill="1" applyBorder="1" applyAlignment="1">
      <alignment horizontal="left" wrapText="1" shrinkToFit="1"/>
    </xf>
    <xf numFmtId="0" fontId="0" fillId="2" borderId="0" xfId="0" applyFill="1" applyAlignment="1">
      <alignment horizontal="left" wrapText="1" shrinkToFit="1"/>
    </xf>
    <xf numFmtId="0" fontId="0" fillId="2" borderId="12" xfId="0" applyFill="1" applyBorder="1" applyAlignment="1">
      <alignment horizontal="center" vertical="center" wrapText="1"/>
    </xf>
    <xf numFmtId="0" fontId="0" fillId="3" borderId="48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73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49" fontId="7" fillId="3" borderId="62" xfId="0" applyNumberFormat="1" applyFont="1" applyFill="1" applyBorder="1" applyAlignment="1" applyProtection="1">
      <alignment horizontal="center" vertical="top"/>
    </xf>
    <xf numFmtId="49" fontId="7" fillId="3" borderId="64" xfId="0" applyNumberFormat="1" applyFont="1" applyFill="1" applyBorder="1" applyAlignment="1" applyProtection="1">
      <alignment horizontal="center" vertical="top"/>
    </xf>
    <xf numFmtId="0" fontId="6" fillId="3" borderId="37" xfId="0" applyFont="1" applyFill="1" applyBorder="1" applyAlignment="1">
      <alignment horizontal="center" vertical="center"/>
    </xf>
    <xf numFmtId="0" fontId="6" fillId="3" borderId="72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3"/>
  <sheetViews>
    <sheetView zoomScale="90" zoomScaleNormal="90" workbookViewId="0">
      <pane ySplit="3" topLeftCell="A4" activePane="bottomLeft" state="frozen"/>
      <selection pane="bottomLeft" activeCell="A7" sqref="A7"/>
    </sheetView>
  </sheetViews>
  <sheetFormatPr defaultRowHeight="15"/>
  <cols>
    <col min="1" max="1" width="13.85546875" style="1" customWidth="1"/>
    <col min="2" max="2" width="9.85546875" style="1" bestFit="1" customWidth="1"/>
    <col min="3" max="3" width="9.140625" style="1"/>
    <col min="4" max="4" width="25.5703125" style="1" bestFit="1" customWidth="1"/>
    <col min="5" max="5" width="9.7109375" style="1" customWidth="1"/>
    <col min="6" max="6" width="9.85546875" style="1" customWidth="1"/>
    <col min="7" max="7" width="13.85546875" style="1" bestFit="1" customWidth="1"/>
    <col min="8" max="16384" width="9.140625" style="1"/>
  </cols>
  <sheetData>
    <row r="1" spans="2:7" ht="15.75" thickBot="1"/>
    <row r="2" spans="2:7">
      <c r="B2" s="148" t="s">
        <v>110</v>
      </c>
      <c r="C2" s="149"/>
      <c r="D2" s="149"/>
      <c r="E2" s="149"/>
      <c r="F2" s="149"/>
      <c r="G2" s="150"/>
    </row>
    <row r="3" spans="2:7" ht="15.75" thickBot="1">
      <c r="B3" s="151"/>
      <c r="C3" s="152"/>
      <c r="D3" s="152"/>
      <c r="E3" s="152"/>
      <c r="F3" s="152"/>
      <c r="G3" s="153"/>
    </row>
    <row r="4" spans="2:7">
      <c r="B4" s="161" t="s">
        <v>0</v>
      </c>
      <c r="C4" s="163" t="s">
        <v>1</v>
      </c>
      <c r="D4" s="163" t="s">
        <v>2</v>
      </c>
      <c r="E4" s="163" t="s">
        <v>3</v>
      </c>
      <c r="F4" s="163" t="s">
        <v>4</v>
      </c>
      <c r="G4" s="159" t="s">
        <v>5</v>
      </c>
    </row>
    <row r="5" spans="2:7">
      <c r="B5" s="162"/>
      <c r="C5" s="164"/>
      <c r="D5" s="164"/>
      <c r="E5" s="164"/>
      <c r="F5" s="164"/>
      <c r="G5" s="160"/>
    </row>
    <row r="6" spans="2:7">
      <c r="B6" s="154" t="s">
        <v>9</v>
      </c>
      <c r="C6" s="156"/>
      <c r="D6" s="156" t="s">
        <v>6</v>
      </c>
      <c r="E6" s="2" t="s">
        <v>7</v>
      </c>
      <c r="F6" s="2" t="s">
        <v>56</v>
      </c>
      <c r="G6" s="40">
        <f>G7+G8</f>
        <v>66420</v>
      </c>
    </row>
    <row r="7" spans="2:7">
      <c r="B7" s="140"/>
      <c r="C7" s="143"/>
      <c r="D7" s="143"/>
      <c r="E7" s="2" t="s">
        <v>212</v>
      </c>
      <c r="F7" s="2" t="s">
        <v>7</v>
      </c>
      <c r="G7" s="40">
        <f>G8*0.23</f>
        <v>12420</v>
      </c>
    </row>
    <row r="8" spans="2:7" ht="15.75" thickBot="1">
      <c r="B8" s="155"/>
      <c r="C8" s="157"/>
      <c r="D8" s="157"/>
      <c r="E8" s="2" t="s">
        <v>213</v>
      </c>
      <c r="F8" s="2" t="s">
        <v>7</v>
      </c>
      <c r="G8" s="40">
        <f>18000*3</f>
        <v>54000</v>
      </c>
    </row>
    <row r="9" spans="2:7">
      <c r="B9" s="59" t="s">
        <v>9</v>
      </c>
      <c r="C9" s="4"/>
      <c r="D9" s="4" t="s">
        <v>16</v>
      </c>
      <c r="E9" s="4" t="s">
        <v>214</v>
      </c>
      <c r="F9" s="4" t="s">
        <v>213</v>
      </c>
      <c r="G9" s="38">
        <f>G8</f>
        <v>54000</v>
      </c>
    </row>
    <row r="10" spans="2:7">
      <c r="B10" s="166"/>
      <c r="C10" s="167"/>
      <c r="D10" s="167"/>
      <c r="E10" s="167"/>
      <c r="F10" s="167"/>
      <c r="G10" s="168"/>
    </row>
    <row r="11" spans="2:7">
      <c r="B11" s="154" t="s">
        <v>8</v>
      </c>
      <c r="C11" s="156" t="s">
        <v>64</v>
      </c>
      <c r="D11" s="158" t="s">
        <v>39</v>
      </c>
      <c r="E11" s="2" t="s">
        <v>7</v>
      </c>
      <c r="F11" s="2" t="s">
        <v>56</v>
      </c>
      <c r="G11" s="40">
        <f>G14+G13-G12</f>
        <v>110700</v>
      </c>
    </row>
    <row r="12" spans="2:7">
      <c r="B12" s="140"/>
      <c r="C12" s="143"/>
      <c r="D12" s="165"/>
      <c r="E12" s="2" t="s">
        <v>7</v>
      </c>
      <c r="F12" s="7" t="s">
        <v>215</v>
      </c>
      <c r="G12" s="40">
        <f>G14*0.1</f>
        <v>10000</v>
      </c>
    </row>
    <row r="13" spans="2:7">
      <c r="B13" s="140"/>
      <c r="C13" s="143"/>
      <c r="D13" s="143"/>
      <c r="E13" s="2" t="s">
        <v>216</v>
      </c>
      <c r="F13" s="2" t="s">
        <v>7</v>
      </c>
      <c r="G13" s="40">
        <f>(G14-G12)*0.23</f>
        <v>20700</v>
      </c>
    </row>
    <row r="14" spans="2:7" ht="15.75" thickBot="1">
      <c r="B14" s="155"/>
      <c r="C14" s="157"/>
      <c r="D14" s="157"/>
      <c r="E14" s="2" t="s">
        <v>213</v>
      </c>
      <c r="F14" s="2" t="s">
        <v>7</v>
      </c>
      <c r="G14" s="40">
        <f>25000*4</f>
        <v>100000</v>
      </c>
    </row>
    <row r="15" spans="2:7">
      <c r="B15" s="59" t="s">
        <v>8</v>
      </c>
      <c r="C15" s="4" t="s">
        <v>64</v>
      </c>
      <c r="D15" s="4" t="s">
        <v>16</v>
      </c>
      <c r="E15" s="4" t="s">
        <v>214</v>
      </c>
      <c r="F15" s="4" t="s">
        <v>213</v>
      </c>
      <c r="G15" s="38">
        <f>G14</f>
        <v>100000</v>
      </c>
    </row>
    <row r="16" spans="2:7">
      <c r="B16" s="166"/>
      <c r="C16" s="167"/>
      <c r="D16" s="167"/>
      <c r="E16" s="167"/>
      <c r="F16" s="167"/>
      <c r="G16" s="168"/>
    </row>
    <row r="17" spans="2:8">
      <c r="B17" s="154" t="s">
        <v>10</v>
      </c>
      <c r="C17" s="156" t="s">
        <v>65</v>
      </c>
      <c r="D17" s="158" t="s">
        <v>41</v>
      </c>
      <c r="E17" s="2" t="s">
        <v>56</v>
      </c>
      <c r="F17" s="2" t="s">
        <v>7</v>
      </c>
      <c r="G17" s="40">
        <f>+G19+G20-G18</f>
        <v>247968</v>
      </c>
    </row>
    <row r="18" spans="2:8">
      <c r="B18" s="140"/>
      <c r="C18" s="143"/>
      <c r="D18" s="165"/>
      <c r="E18" s="2" t="s">
        <v>217</v>
      </c>
      <c r="F18" s="2" t="s">
        <v>7</v>
      </c>
      <c r="G18" s="40">
        <f>0.1*G20</f>
        <v>22400</v>
      </c>
    </row>
    <row r="19" spans="2:8">
      <c r="B19" s="140"/>
      <c r="C19" s="143"/>
      <c r="D19" s="143"/>
      <c r="E19" s="2" t="s">
        <v>7</v>
      </c>
      <c r="F19" s="2" t="s">
        <v>218</v>
      </c>
      <c r="G19" s="40">
        <f>(G20-G18)*0.23</f>
        <v>46368</v>
      </c>
    </row>
    <row r="20" spans="2:8" ht="15.75" thickBot="1">
      <c r="B20" s="140"/>
      <c r="C20" s="143"/>
      <c r="D20" s="143"/>
      <c r="E20" s="30" t="s">
        <v>7</v>
      </c>
      <c r="F20" s="129" t="s">
        <v>219</v>
      </c>
      <c r="G20" s="41">
        <f>28000*8</f>
        <v>224000</v>
      </c>
    </row>
    <row r="21" spans="2:8">
      <c r="B21" s="59" t="s">
        <v>10</v>
      </c>
      <c r="C21" s="4" t="s">
        <v>65</v>
      </c>
      <c r="D21" s="4" t="s">
        <v>17</v>
      </c>
      <c r="E21" s="4" t="s">
        <v>220</v>
      </c>
      <c r="F21" s="4" t="s">
        <v>214</v>
      </c>
      <c r="G21" s="38">
        <f>'Ficha de Valorimetria'!H8</f>
        <v>100279.06976744186</v>
      </c>
      <c r="H21" s="51"/>
    </row>
    <row r="22" spans="2:8">
      <c r="B22" s="166"/>
      <c r="C22" s="167"/>
      <c r="D22" s="167"/>
      <c r="E22" s="167"/>
      <c r="F22" s="167"/>
      <c r="G22" s="168"/>
    </row>
    <row r="23" spans="2:8">
      <c r="B23" s="154" t="s">
        <v>11</v>
      </c>
      <c r="C23" s="156" t="s">
        <v>64</v>
      </c>
      <c r="D23" s="158" t="s">
        <v>40</v>
      </c>
      <c r="E23" s="2" t="s">
        <v>7</v>
      </c>
      <c r="F23" s="2" t="s">
        <v>221</v>
      </c>
      <c r="G23" s="40">
        <f>+G24+G25</f>
        <v>44280</v>
      </c>
    </row>
    <row r="24" spans="2:8">
      <c r="B24" s="140"/>
      <c r="C24" s="143"/>
      <c r="D24" s="143"/>
      <c r="E24" s="2" t="s">
        <v>216</v>
      </c>
      <c r="F24" s="2" t="s">
        <v>7</v>
      </c>
      <c r="G24" s="40">
        <f>G25*0.23</f>
        <v>8280</v>
      </c>
    </row>
    <row r="25" spans="2:8" ht="15.75" thickBot="1">
      <c r="B25" s="140"/>
      <c r="C25" s="143"/>
      <c r="D25" s="143"/>
      <c r="E25" s="129" t="s">
        <v>213</v>
      </c>
      <c r="F25" s="30" t="s">
        <v>7</v>
      </c>
      <c r="G25" s="41">
        <f>12000*3</f>
        <v>36000</v>
      </c>
    </row>
    <row r="26" spans="2:8">
      <c r="B26" s="59" t="s">
        <v>11</v>
      </c>
      <c r="C26" s="4" t="s">
        <v>64</v>
      </c>
      <c r="D26" s="4" t="s">
        <v>16</v>
      </c>
      <c r="E26" s="4" t="s">
        <v>214</v>
      </c>
      <c r="F26" s="4" t="s">
        <v>213</v>
      </c>
      <c r="G26" s="38">
        <f>G25</f>
        <v>36000</v>
      </c>
    </row>
    <row r="27" spans="2:8">
      <c r="B27" s="166"/>
      <c r="C27" s="167"/>
      <c r="D27" s="167"/>
      <c r="E27" s="167"/>
      <c r="F27" s="167"/>
      <c r="G27" s="168"/>
    </row>
    <row r="28" spans="2:8">
      <c r="B28" s="154" t="s">
        <v>33</v>
      </c>
      <c r="C28" s="156" t="s">
        <v>35</v>
      </c>
      <c r="D28" s="156" t="s">
        <v>49</v>
      </c>
      <c r="E28" s="2" t="s">
        <v>222</v>
      </c>
      <c r="F28" s="7" t="s">
        <v>7</v>
      </c>
      <c r="G28" s="40">
        <f>+G29+G30</f>
        <v>102.18225000000001</v>
      </c>
    </row>
    <row r="29" spans="2:8">
      <c r="B29" s="140"/>
      <c r="C29" s="143"/>
      <c r="D29" s="143"/>
      <c r="E29" s="31" t="s">
        <v>7</v>
      </c>
      <c r="F29" s="33" t="s">
        <v>223</v>
      </c>
      <c r="G29" s="60">
        <f>3.323*25</f>
        <v>83.075000000000003</v>
      </c>
    </row>
    <row r="30" spans="2:8">
      <c r="B30" s="155"/>
      <c r="C30" s="157"/>
      <c r="D30" s="157"/>
      <c r="E30" s="31" t="s">
        <v>7</v>
      </c>
      <c r="F30" s="33" t="s">
        <v>224</v>
      </c>
      <c r="G30" s="60">
        <f>G29*0.23</f>
        <v>19.107250000000001</v>
      </c>
    </row>
    <row r="31" spans="2:8">
      <c r="B31" s="61" t="s">
        <v>33</v>
      </c>
      <c r="C31" s="31" t="s">
        <v>35</v>
      </c>
      <c r="D31" s="2" t="s">
        <v>17</v>
      </c>
      <c r="E31" s="130" t="s">
        <v>223</v>
      </c>
      <c r="F31" s="130" t="s">
        <v>214</v>
      </c>
      <c r="G31" s="60">
        <f>G29</f>
        <v>83.075000000000003</v>
      </c>
    </row>
    <row r="32" spans="2:8">
      <c r="B32" s="166"/>
      <c r="C32" s="167"/>
      <c r="D32" s="167"/>
      <c r="E32" s="167"/>
      <c r="F32" s="167"/>
      <c r="G32" s="168"/>
    </row>
    <row r="33" spans="2:8">
      <c r="B33" s="154" t="s">
        <v>12</v>
      </c>
      <c r="C33" s="156" t="s">
        <v>65</v>
      </c>
      <c r="D33" s="158" t="s">
        <v>42</v>
      </c>
      <c r="E33" s="2" t="s">
        <v>225</v>
      </c>
      <c r="F33" s="2" t="s">
        <v>7</v>
      </c>
      <c r="G33" s="40">
        <f>+G34+G35</f>
        <v>166050</v>
      </c>
    </row>
    <row r="34" spans="2:8">
      <c r="B34" s="140"/>
      <c r="C34" s="143"/>
      <c r="D34" s="143"/>
      <c r="E34" s="2" t="s">
        <v>7</v>
      </c>
      <c r="F34" s="2" t="s">
        <v>218</v>
      </c>
      <c r="G34" s="40">
        <f>0.23*G35</f>
        <v>31050</v>
      </c>
    </row>
    <row r="35" spans="2:8" ht="15.75" thickBot="1">
      <c r="B35" s="141"/>
      <c r="C35" s="144"/>
      <c r="D35" s="144"/>
      <c r="E35" s="3" t="s">
        <v>7</v>
      </c>
      <c r="F35" s="3" t="s">
        <v>219</v>
      </c>
      <c r="G35" s="43">
        <f>15000*9</f>
        <v>135000</v>
      </c>
    </row>
    <row r="36" spans="2:8" ht="15.75" thickBot="1">
      <c r="B36" s="62" t="s">
        <v>12</v>
      </c>
      <c r="C36" s="5" t="s">
        <v>65</v>
      </c>
      <c r="D36" s="5" t="s">
        <v>17</v>
      </c>
      <c r="E36" s="5" t="s">
        <v>220</v>
      </c>
      <c r="F36" s="5" t="s">
        <v>214</v>
      </c>
      <c r="G36" s="63">
        <f>'Ficha de Valorimetria'!H11</f>
        <v>49844.961240310076</v>
      </c>
      <c r="H36" s="51"/>
    </row>
    <row r="37" spans="2:8">
      <c r="B37" s="140" t="s">
        <v>12</v>
      </c>
      <c r="C37" s="143" t="s">
        <v>34</v>
      </c>
      <c r="D37" s="143" t="s">
        <v>36</v>
      </c>
      <c r="E37" s="31" t="s">
        <v>7</v>
      </c>
      <c r="F37" s="130" t="s">
        <v>225</v>
      </c>
      <c r="G37" s="60">
        <f>+G38+G39</f>
        <v>11070</v>
      </c>
    </row>
    <row r="38" spans="2:8">
      <c r="B38" s="140"/>
      <c r="C38" s="143"/>
      <c r="D38" s="143"/>
      <c r="E38" s="2" t="s">
        <v>226</v>
      </c>
      <c r="F38" s="2" t="s">
        <v>7</v>
      </c>
      <c r="G38" s="40">
        <f>G39*0.23</f>
        <v>2070</v>
      </c>
    </row>
    <row r="39" spans="2:8" ht="15.75" thickBot="1">
      <c r="B39" s="141"/>
      <c r="C39" s="144"/>
      <c r="D39" s="144"/>
      <c r="E39" s="3" t="s">
        <v>227</v>
      </c>
      <c r="F39" s="3" t="s">
        <v>7</v>
      </c>
      <c r="G39" s="43">
        <f>1000*9</f>
        <v>9000</v>
      </c>
    </row>
    <row r="40" spans="2:8">
      <c r="B40" s="61" t="s">
        <v>12</v>
      </c>
      <c r="C40" s="31" t="s">
        <v>34</v>
      </c>
      <c r="D40" s="31" t="s">
        <v>16</v>
      </c>
      <c r="E40" s="130" t="s">
        <v>214</v>
      </c>
      <c r="F40" s="130" t="s">
        <v>220</v>
      </c>
      <c r="G40" s="60">
        <f>'Ficha de Valorimetria'!E12</f>
        <v>3323</v>
      </c>
      <c r="H40" s="51"/>
    </row>
    <row r="41" spans="2:8">
      <c r="B41" s="166"/>
      <c r="C41" s="167"/>
      <c r="D41" s="167"/>
      <c r="E41" s="167"/>
      <c r="F41" s="167"/>
      <c r="G41" s="168"/>
    </row>
    <row r="42" spans="2:8">
      <c r="B42" s="154" t="s">
        <v>13</v>
      </c>
      <c r="C42" s="156" t="s">
        <v>64</v>
      </c>
      <c r="D42" s="158" t="s">
        <v>40</v>
      </c>
      <c r="E42" s="2" t="s">
        <v>7</v>
      </c>
      <c r="F42" s="2" t="s">
        <v>221</v>
      </c>
      <c r="G42" s="40">
        <f>+G43+G44</f>
        <v>180810</v>
      </c>
    </row>
    <row r="43" spans="2:8">
      <c r="B43" s="140"/>
      <c r="C43" s="143"/>
      <c r="D43" s="143"/>
      <c r="E43" s="2" t="s">
        <v>216</v>
      </c>
      <c r="F43" s="2" t="s">
        <v>7</v>
      </c>
      <c r="G43" s="40">
        <f>G44*0.23</f>
        <v>33810</v>
      </c>
    </row>
    <row r="44" spans="2:8" ht="15.75" thickBot="1">
      <c r="B44" s="155"/>
      <c r="C44" s="157"/>
      <c r="D44" s="157"/>
      <c r="E44" s="2" t="s">
        <v>213</v>
      </c>
      <c r="F44" s="2" t="s">
        <v>7</v>
      </c>
      <c r="G44" s="40">
        <f>42000*3.5</f>
        <v>147000</v>
      </c>
    </row>
    <row r="45" spans="2:8">
      <c r="B45" s="139" t="s">
        <v>13</v>
      </c>
      <c r="C45" s="142" t="s">
        <v>64</v>
      </c>
      <c r="D45" s="142" t="s">
        <v>14</v>
      </c>
      <c r="E45" s="4" t="s">
        <v>221</v>
      </c>
      <c r="F45" s="4" t="s">
        <v>7</v>
      </c>
      <c r="G45" s="38">
        <f>G42*0.3</f>
        <v>54243</v>
      </c>
    </row>
    <row r="46" spans="2:8">
      <c r="B46" s="140"/>
      <c r="C46" s="143"/>
      <c r="D46" s="143"/>
      <c r="E46" s="2" t="s">
        <v>7</v>
      </c>
      <c r="F46" s="2" t="s">
        <v>226</v>
      </c>
      <c r="G46" s="40">
        <f>G43*0.3</f>
        <v>10143</v>
      </c>
    </row>
    <row r="47" spans="2:8" ht="15.75" thickBot="1">
      <c r="B47" s="141"/>
      <c r="C47" s="144"/>
      <c r="D47" s="144"/>
      <c r="E47" s="3" t="s">
        <v>7</v>
      </c>
      <c r="F47" s="3" t="s">
        <v>228</v>
      </c>
      <c r="G47" s="43">
        <f>G44*0.3</f>
        <v>44100</v>
      </c>
    </row>
    <row r="48" spans="2:8" ht="15.75" thickBot="1">
      <c r="B48" s="64" t="s">
        <v>13</v>
      </c>
      <c r="C48" s="2" t="s">
        <v>64</v>
      </c>
      <c r="D48" s="2" t="s">
        <v>115</v>
      </c>
      <c r="E48" s="2" t="s">
        <v>214</v>
      </c>
      <c r="F48" s="2" t="s">
        <v>213</v>
      </c>
      <c r="G48" s="40">
        <f>G44-G47</f>
        <v>102900</v>
      </c>
      <c r="H48" s="51"/>
    </row>
    <row r="49" spans="1:7">
      <c r="B49" s="139" t="s">
        <v>43</v>
      </c>
      <c r="C49" s="142" t="s">
        <v>37</v>
      </c>
      <c r="D49" s="142" t="s">
        <v>38</v>
      </c>
      <c r="E49" s="4" t="s">
        <v>221</v>
      </c>
      <c r="F49" s="4" t="s">
        <v>7</v>
      </c>
      <c r="G49" s="38">
        <f>+G50+G51</f>
        <v>2583</v>
      </c>
    </row>
    <row r="50" spans="1:7">
      <c r="B50" s="140"/>
      <c r="C50" s="143"/>
      <c r="D50" s="143"/>
      <c r="E50" s="2" t="s">
        <v>7</v>
      </c>
      <c r="F50" s="7" t="s">
        <v>229</v>
      </c>
      <c r="G50" s="40">
        <f>G51*0.23</f>
        <v>483</v>
      </c>
    </row>
    <row r="51" spans="1:7" ht="15.75" thickBot="1">
      <c r="B51" s="141"/>
      <c r="C51" s="144"/>
      <c r="D51" s="144"/>
      <c r="E51" s="3" t="s">
        <v>7</v>
      </c>
      <c r="F51" s="34" t="s">
        <v>230</v>
      </c>
      <c r="G51" s="43">
        <f>600*3.5</f>
        <v>2100</v>
      </c>
    </row>
    <row r="52" spans="1:7">
      <c r="B52" s="64" t="s">
        <v>43</v>
      </c>
      <c r="C52" s="2" t="s">
        <v>37</v>
      </c>
      <c r="D52" s="2" t="s">
        <v>17</v>
      </c>
      <c r="E52" s="2" t="s">
        <v>230</v>
      </c>
      <c r="F52" s="2" t="s">
        <v>214</v>
      </c>
      <c r="G52" s="40">
        <f>G51</f>
        <v>2100</v>
      </c>
    </row>
    <row r="53" spans="1:7">
      <c r="B53" s="166"/>
      <c r="C53" s="167"/>
      <c r="D53" s="167"/>
      <c r="E53" s="167"/>
      <c r="F53" s="167"/>
      <c r="G53" s="168"/>
    </row>
    <row r="54" spans="1:7">
      <c r="A54" s="74"/>
      <c r="B54" s="154" t="s">
        <v>51</v>
      </c>
      <c r="C54" s="156" t="s">
        <v>65</v>
      </c>
      <c r="D54" s="158" t="s">
        <v>42</v>
      </c>
      <c r="E54" s="2" t="s">
        <v>225</v>
      </c>
      <c r="F54" s="2" t="s">
        <v>7</v>
      </c>
      <c r="G54" s="40">
        <f>+G55+G56</f>
        <v>397290</v>
      </c>
    </row>
    <row r="55" spans="1:7">
      <c r="B55" s="140"/>
      <c r="C55" s="143"/>
      <c r="D55" s="143"/>
      <c r="E55" s="2" t="s">
        <v>7</v>
      </c>
      <c r="F55" s="2" t="s">
        <v>218</v>
      </c>
      <c r="G55" s="40">
        <f>0.23*G56</f>
        <v>74290</v>
      </c>
    </row>
    <row r="56" spans="1:7" ht="15.75" thickBot="1">
      <c r="B56" s="141"/>
      <c r="C56" s="144"/>
      <c r="D56" s="144"/>
      <c r="E56" s="3" t="s">
        <v>7</v>
      </c>
      <c r="F56" s="3" t="s">
        <v>219</v>
      </c>
      <c r="G56" s="43">
        <f>38000*8.5</f>
        <v>323000</v>
      </c>
    </row>
    <row r="57" spans="1:7">
      <c r="B57" s="139" t="s">
        <v>51</v>
      </c>
      <c r="C57" s="142" t="s">
        <v>65</v>
      </c>
      <c r="D57" s="142" t="s">
        <v>15</v>
      </c>
      <c r="E57" s="4" t="s">
        <v>7</v>
      </c>
      <c r="F57" s="4" t="s">
        <v>225</v>
      </c>
      <c r="G57" s="38">
        <f>G54*0.1</f>
        <v>39729</v>
      </c>
    </row>
    <row r="58" spans="1:7">
      <c r="B58" s="140"/>
      <c r="C58" s="143"/>
      <c r="D58" s="143"/>
      <c r="E58" s="2" t="s">
        <v>229</v>
      </c>
      <c r="F58" s="2" t="s">
        <v>7</v>
      </c>
      <c r="G58" s="40">
        <f>G55*0.1</f>
        <v>7429</v>
      </c>
    </row>
    <row r="59" spans="1:7" ht="15.75" thickBot="1">
      <c r="B59" s="141"/>
      <c r="C59" s="144"/>
      <c r="D59" s="144"/>
      <c r="E59" s="3" t="s">
        <v>231</v>
      </c>
      <c r="F59" s="3" t="s">
        <v>7</v>
      </c>
      <c r="G59" s="43">
        <f>G56*0.1</f>
        <v>32300</v>
      </c>
    </row>
    <row r="60" spans="1:7">
      <c r="B60" s="64" t="s">
        <v>51</v>
      </c>
      <c r="C60" s="2" t="s">
        <v>65</v>
      </c>
      <c r="D60" s="2" t="s">
        <v>17</v>
      </c>
      <c r="E60" s="2" t="s">
        <v>220</v>
      </c>
      <c r="F60" s="2" t="s">
        <v>214</v>
      </c>
      <c r="G60" s="40">
        <f>'Ficha de Valorimetria'!H16</f>
        <v>100929.58391939959</v>
      </c>
    </row>
    <row r="61" spans="1:7">
      <c r="B61" s="166"/>
      <c r="C61" s="167"/>
      <c r="D61" s="167"/>
      <c r="E61" s="167"/>
      <c r="F61" s="167"/>
      <c r="G61" s="168"/>
    </row>
    <row r="62" spans="1:7">
      <c r="B62" s="64" t="s">
        <v>27</v>
      </c>
      <c r="C62" s="2" t="s">
        <v>94</v>
      </c>
      <c r="D62" s="2" t="s">
        <v>81</v>
      </c>
      <c r="E62" s="2" t="s">
        <v>54</v>
      </c>
      <c r="F62" s="2" t="s">
        <v>82</v>
      </c>
      <c r="G62" s="40">
        <v>1250</v>
      </c>
    </row>
    <row r="63" spans="1:7" ht="15.75" thickBot="1">
      <c r="B63" s="145"/>
      <c r="C63" s="146"/>
      <c r="D63" s="146"/>
      <c r="E63" s="146"/>
      <c r="F63" s="146"/>
      <c r="G63" s="147"/>
    </row>
  </sheetData>
  <mergeCells count="52">
    <mergeCell ref="B61:G61"/>
    <mergeCell ref="B22:G22"/>
    <mergeCell ref="B49:B51"/>
    <mergeCell ref="B45:B47"/>
    <mergeCell ref="C45:C47"/>
    <mergeCell ref="D45:D47"/>
    <mergeCell ref="B41:G41"/>
    <mergeCell ref="B53:G53"/>
    <mergeCell ref="C49:C51"/>
    <mergeCell ref="D49:D51"/>
    <mergeCell ref="B54:B56"/>
    <mergeCell ref="C54:C56"/>
    <mergeCell ref="D54:D56"/>
    <mergeCell ref="B33:B35"/>
    <mergeCell ref="C33:C35"/>
    <mergeCell ref="D33:D35"/>
    <mergeCell ref="B16:G16"/>
    <mergeCell ref="B27:G27"/>
    <mergeCell ref="B37:B39"/>
    <mergeCell ref="C37:C39"/>
    <mergeCell ref="D37:D39"/>
    <mergeCell ref="B32:G32"/>
    <mergeCell ref="B17:B20"/>
    <mergeCell ref="C17:C20"/>
    <mergeCell ref="D17:D20"/>
    <mergeCell ref="B23:B25"/>
    <mergeCell ref="C23:C25"/>
    <mergeCell ref="D23:D25"/>
    <mergeCell ref="B28:B30"/>
    <mergeCell ref="C28:C30"/>
    <mergeCell ref="D28:D30"/>
    <mergeCell ref="C6:C8"/>
    <mergeCell ref="D11:D14"/>
    <mergeCell ref="B11:B14"/>
    <mergeCell ref="C11:C14"/>
    <mergeCell ref="B10:G10"/>
    <mergeCell ref="B57:B59"/>
    <mergeCell ref="C57:C59"/>
    <mergeCell ref="D57:D59"/>
    <mergeCell ref="B63:G63"/>
    <mergeCell ref="B2:G3"/>
    <mergeCell ref="B42:B44"/>
    <mergeCell ref="C42:C44"/>
    <mergeCell ref="D42:D44"/>
    <mergeCell ref="G4:G5"/>
    <mergeCell ref="B4:B5"/>
    <mergeCell ref="C4:C5"/>
    <mergeCell ref="D4:D5"/>
    <mergeCell ref="E4:E5"/>
    <mergeCell ref="F4:F5"/>
    <mergeCell ref="B6:B8"/>
    <mergeCell ref="D6:D8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  <headerFooter>
    <oddHeader>&amp;L&amp;"Arial,Normal"&amp;14Contabilidade e Consolidação de Contas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1:Q74"/>
  <sheetViews>
    <sheetView topLeftCell="A40" zoomScale="90" zoomScaleNormal="90" workbookViewId="0">
      <selection activeCell="J44" sqref="J44"/>
    </sheetView>
  </sheetViews>
  <sheetFormatPr defaultRowHeight="15"/>
  <cols>
    <col min="1" max="1" width="9.140625" style="1"/>
    <col min="2" max="2" width="9.85546875" style="1" bestFit="1" customWidth="1"/>
    <col min="3" max="3" width="9.140625" style="1"/>
    <col min="4" max="4" width="26.140625" style="1" bestFit="1" customWidth="1"/>
    <col min="5" max="5" width="9.7109375" style="1" customWidth="1"/>
    <col min="6" max="6" width="9.85546875" style="1" customWidth="1"/>
    <col min="7" max="7" width="13.85546875" style="1" bestFit="1" customWidth="1"/>
    <col min="8" max="8" width="11" style="1" bestFit="1" customWidth="1"/>
    <col min="9" max="9" width="9.140625" style="1"/>
    <col min="10" max="10" width="12.7109375" style="1" bestFit="1" customWidth="1"/>
    <col min="11" max="16384" width="9.140625" style="1"/>
  </cols>
  <sheetData>
    <row r="1" spans="2:10" ht="15.75" thickBot="1"/>
    <row r="2" spans="2:10">
      <c r="B2" s="148" t="s">
        <v>112</v>
      </c>
      <c r="C2" s="149"/>
      <c r="D2" s="149"/>
      <c r="E2" s="149"/>
      <c r="F2" s="149"/>
      <c r="G2" s="150"/>
    </row>
    <row r="3" spans="2:10" ht="15.75" thickBot="1">
      <c r="B3" s="151"/>
      <c r="C3" s="152"/>
      <c r="D3" s="152"/>
      <c r="E3" s="152"/>
      <c r="F3" s="152"/>
      <c r="G3" s="153"/>
    </row>
    <row r="4" spans="2:10">
      <c r="B4" s="161" t="s">
        <v>0</v>
      </c>
      <c r="C4" s="163" t="s">
        <v>1</v>
      </c>
      <c r="D4" s="163" t="s">
        <v>2</v>
      </c>
      <c r="E4" s="163" t="s">
        <v>3</v>
      </c>
      <c r="F4" s="163" t="s">
        <v>4</v>
      </c>
      <c r="G4" s="159" t="s">
        <v>5</v>
      </c>
    </row>
    <row r="5" spans="2:10">
      <c r="B5" s="162"/>
      <c r="C5" s="164"/>
      <c r="D5" s="164"/>
      <c r="E5" s="164"/>
      <c r="F5" s="164"/>
      <c r="G5" s="160"/>
    </row>
    <row r="6" spans="2:10">
      <c r="B6" s="154" t="s">
        <v>18</v>
      </c>
      <c r="C6" s="156" t="s">
        <v>66</v>
      </c>
      <c r="D6" s="158" t="s">
        <v>19</v>
      </c>
      <c r="E6" s="2" t="s">
        <v>251</v>
      </c>
      <c r="F6" s="2" t="s">
        <v>7</v>
      </c>
      <c r="G6" s="40">
        <v>15000</v>
      </c>
    </row>
    <row r="7" spans="2:10">
      <c r="B7" s="140"/>
      <c r="C7" s="143"/>
      <c r="D7" s="143"/>
      <c r="E7" s="2" t="s">
        <v>252</v>
      </c>
      <c r="F7" s="2" t="s">
        <v>7</v>
      </c>
      <c r="G7" s="40">
        <v>45000</v>
      </c>
    </row>
    <row r="8" spans="2:10">
      <c r="B8" s="140"/>
      <c r="C8" s="143"/>
      <c r="D8" s="143"/>
      <c r="E8" s="2" t="s">
        <v>7</v>
      </c>
      <c r="F8" s="2" t="s">
        <v>253</v>
      </c>
      <c r="G8" s="40">
        <f>G6*0.18</f>
        <v>2700</v>
      </c>
    </row>
    <row r="9" spans="2:10">
      <c r="B9" s="140"/>
      <c r="C9" s="143"/>
      <c r="D9" s="143"/>
      <c r="E9" s="2" t="s">
        <v>7</v>
      </c>
      <c r="F9" s="2" t="s">
        <v>254</v>
      </c>
      <c r="G9" s="40">
        <f>G7*0.2</f>
        <v>9000</v>
      </c>
    </row>
    <row r="10" spans="2:10">
      <c r="B10" s="140"/>
      <c r="C10" s="143"/>
      <c r="D10" s="143"/>
      <c r="E10" s="2" t="s">
        <v>7</v>
      </c>
      <c r="F10" s="2" t="s">
        <v>255</v>
      </c>
      <c r="G10" s="40">
        <f>G6*0.1</f>
        <v>1500</v>
      </c>
    </row>
    <row r="11" spans="2:10">
      <c r="B11" s="140"/>
      <c r="C11" s="143"/>
      <c r="D11" s="143"/>
      <c r="E11" s="2" t="s">
        <v>7</v>
      </c>
      <c r="F11" s="2" t="s">
        <v>256</v>
      </c>
      <c r="G11" s="40">
        <f>G7*0.11</f>
        <v>4950</v>
      </c>
    </row>
    <row r="12" spans="2:10">
      <c r="B12" s="140"/>
      <c r="C12" s="143"/>
      <c r="D12" s="143"/>
      <c r="E12" s="2" t="s">
        <v>7</v>
      </c>
      <c r="F12" s="2" t="s">
        <v>257</v>
      </c>
      <c r="G12" s="40">
        <f>G6-G8-G10</f>
        <v>10800</v>
      </c>
      <c r="J12" s="6"/>
    </row>
    <row r="13" spans="2:10">
      <c r="B13" s="155"/>
      <c r="C13" s="157"/>
      <c r="D13" s="157"/>
      <c r="E13" s="2" t="s">
        <v>7</v>
      </c>
      <c r="F13" s="2" t="s">
        <v>258</v>
      </c>
      <c r="G13" s="40">
        <f>G7-G9-G11</f>
        <v>31050</v>
      </c>
    </row>
    <row r="14" spans="2:10">
      <c r="B14" s="166"/>
      <c r="C14" s="167"/>
      <c r="D14" s="167"/>
      <c r="E14" s="167"/>
      <c r="F14" s="167"/>
      <c r="G14" s="168"/>
    </row>
    <row r="15" spans="2:10" ht="15" customHeight="1">
      <c r="B15" s="154" t="s">
        <v>18</v>
      </c>
      <c r="C15" s="156" t="s">
        <v>66</v>
      </c>
      <c r="D15" s="158" t="s">
        <v>93</v>
      </c>
      <c r="E15" s="2" t="s">
        <v>259</v>
      </c>
      <c r="F15" s="2" t="s">
        <v>255</v>
      </c>
      <c r="G15" s="40">
        <f>G6*0.2325</f>
        <v>3487.5</v>
      </c>
    </row>
    <row r="16" spans="2:10">
      <c r="B16" s="140"/>
      <c r="C16" s="143"/>
      <c r="D16" s="165"/>
      <c r="E16" s="2" t="s">
        <v>260</v>
      </c>
      <c r="F16" s="2" t="s">
        <v>256</v>
      </c>
      <c r="G16" s="40">
        <f>G7*0.2375</f>
        <v>10687.5</v>
      </c>
    </row>
    <row r="17" spans="2:17">
      <c r="B17" s="166"/>
      <c r="C17" s="167"/>
      <c r="D17" s="167"/>
      <c r="E17" s="167"/>
      <c r="F17" s="167"/>
      <c r="G17" s="168"/>
    </row>
    <row r="18" spans="2:17">
      <c r="B18" s="64" t="s">
        <v>18</v>
      </c>
      <c r="C18" s="2" t="s">
        <v>67</v>
      </c>
      <c r="D18" s="2" t="s">
        <v>63</v>
      </c>
      <c r="E18" s="2" t="s">
        <v>55</v>
      </c>
      <c r="F18" s="2" t="s">
        <v>56</v>
      </c>
      <c r="G18" s="40">
        <v>9600</v>
      </c>
    </row>
    <row r="19" spans="2:17">
      <c r="B19" s="166"/>
      <c r="C19" s="167"/>
      <c r="D19" s="167"/>
      <c r="E19" s="167"/>
      <c r="F19" s="167"/>
      <c r="G19" s="168"/>
    </row>
    <row r="20" spans="2:17">
      <c r="B20" s="154" t="s">
        <v>18</v>
      </c>
      <c r="C20" s="156" t="s">
        <v>68</v>
      </c>
      <c r="D20" s="156" t="s">
        <v>20</v>
      </c>
      <c r="E20" s="2" t="s">
        <v>7</v>
      </c>
      <c r="F20" s="2" t="s">
        <v>56</v>
      </c>
      <c r="G20" s="40">
        <f>250*12</f>
        <v>3000</v>
      </c>
    </row>
    <row r="21" spans="2:17" ht="15" customHeight="1">
      <c r="B21" s="140"/>
      <c r="C21" s="143"/>
      <c r="D21" s="143"/>
      <c r="E21" s="2" t="s">
        <v>209</v>
      </c>
      <c r="F21" s="2" t="s">
        <v>7</v>
      </c>
      <c r="G21" s="40">
        <f>G20-G22</f>
        <v>560.97560975609758</v>
      </c>
      <c r="H21" s="174"/>
      <c r="I21" s="175"/>
      <c r="J21" s="175"/>
      <c r="K21" s="175"/>
      <c r="L21" s="175"/>
      <c r="M21" s="175"/>
      <c r="N21" s="175"/>
      <c r="O21" s="175"/>
      <c r="P21" s="175"/>
      <c r="Q21" s="175"/>
    </row>
    <row r="22" spans="2:17">
      <c r="B22" s="155"/>
      <c r="C22" s="157"/>
      <c r="D22" s="157"/>
      <c r="E22" s="2" t="s">
        <v>211</v>
      </c>
      <c r="F22" s="2" t="s">
        <v>7</v>
      </c>
      <c r="G22" s="40">
        <f>G20/1.23</f>
        <v>2439.0243902439024</v>
      </c>
      <c r="H22" s="174"/>
      <c r="I22" s="175"/>
      <c r="J22" s="175"/>
      <c r="K22" s="175"/>
      <c r="L22" s="175"/>
      <c r="M22" s="175"/>
      <c r="N22" s="175"/>
      <c r="O22" s="175"/>
      <c r="P22" s="175"/>
      <c r="Q22" s="175"/>
    </row>
    <row r="23" spans="2:17">
      <c r="B23" s="166"/>
      <c r="C23" s="167"/>
      <c r="D23" s="167"/>
      <c r="E23" s="167"/>
      <c r="F23" s="167"/>
      <c r="G23" s="168"/>
      <c r="H23" s="70"/>
      <c r="I23" s="71"/>
      <c r="J23" s="71"/>
      <c r="K23" s="71"/>
      <c r="L23" s="71"/>
      <c r="M23" s="71"/>
      <c r="N23" s="71"/>
      <c r="O23" s="71"/>
      <c r="P23" s="71"/>
      <c r="Q23" s="71"/>
    </row>
    <row r="24" spans="2:17">
      <c r="B24" s="65" t="s">
        <v>18</v>
      </c>
      <c r="C24" s="30" t="s">
        <v>68</v>
      </c>
      <c r="D24" s="30" t="s">
        <v>21</v>
      </c>
      <c r="E24" s="2" t="s">
        <v>210</v>
      </c>
      <c r="F24" s="2" t="s">
        <v>56</v>
      </c>
      <c r="G24" s="40">
        <f>120*12*1.23</f>
        <v>1771.2</v>
      </c>
      <c r="H24" s="69"/>
      <c r="I24" s="71"/>
      <c r="J24" s="71"/>
      <c r="K24" s="71"/>
      <c r="L24" s="71"/>
      <c r="M24" s="71"/>
      <c r="N24" s="71"/>
      <c r="O24" s="71"/>
      <c r="P24" s="71"/>
      <c r="Q24" s="71"/>
    </row>
    <row r="25" spans="2:17">
      <c r="B25" s="166"/>
      <c r="C25" s="167"/>
      <c r="D25" s="167"/>
      <c r="E25" s="167"/>
      <c r="F25" s="167"/>
      <c r="G25" s="168"/>
    </row>
    <row r="26" spans="2:17">
      <c r="B26" s="154" t="s">
        <v>18</v>
      </c>
      <c r="C26" s="156" t="s">
        <v>68</v>
      </c>
      <c r="D26" s="158" t="s">
        <v>22</v>
      </c>
      <c r="E26" s="2" t="s">
        <v>7</v>
      </c>
      <c r="F26" s="2" t="s">
        <v>56</v>
      </c>
      <c r="G26" s="40">
        <f>130*12</f>
        <v>1560</v>
      </c>
      <c r="H26" s="6"/>
    </row>
    <row r="27" spans="2:17">
      <c r="B27" s="140"/>
      <c r="C27" s="143"/>
      <c r="D27" s="143"/>
      <c r="E27" s="2" t="s">
        <v>209</v>
      </c>
      <c r="F27" s="2" t="s">
        <v>7</v>
      </c>
      <c r="G27" s="40">
        <f>G26-G28</f>
        <v>291.70731707317077</v>
      </c>
      <c r="H27" s="174"/>
      <c r="I27" s="175"/>
      <c r="J27" s="175"/>
      <c r="K27" s="175"/>
      <c r="L27" s="175"/>
      <c r="M27" s="175"/>
      <c r="N27" s="175"/>
      <c r="O27" s="175"/>
      <c r="P27" s="175"/>
      <c r="Q27" s="175"/>
    </row>
    <row r="28" spans="2:17">
      <c r="B28" s="155"/>
      <c r="C28" s="157"/>
      <c r="D28" s="157"/>
      <c r="E28" s="2" t="s">
        <v>208</v>
      </c>
      <c r="F28" s="2" t="s">
        <v>7</v>
      </c>
      <c r="G28" s="40">
        <f>G26/1.23</f>
        <v>1268.2926829268292</v>
      </c>
      <c r="H28" s="174"/>
      <c r="I28" s="175"/>
      <c r="J28" s="175"/>
      <c r="K28" s="175"/>
      <c r="L28" s="175"/>
      <c r="M28" s="175"/>
      <c r="N28" s="175"/>
      <c r="O28" s="175"/>
      <c r="P28" s="175"/>
      <c r="Q28" s="175"/>
    </row>
    <row r="29" spans="2:17">
      <c r="B29" s="166"/>
      <c r="C29" s="167"/>
      <c r="D29" s="167"/>
      <c r="E29" s="167"/>
      <c r="F29" s="167"/>
      <c r="G29" s="168"/>
    </row>
    <row r="30" spans="2:17">
      <c r="B30" s="154" t="s">
        <v>18</v>
      </c>
      <c r="C30" s="156" t="s">
        <v>68</v>
      </c>
      <c r="D30" s="158" t="s">
        <v>23</v>
      </c>
      <c r="E30" s="156" t="s">
        <v>207</v>
      </c>
      <c r="F30" s="156" t="s">
        <v>56</v>
      </c>
      <c r="G30" s="172">
        <f>160*12*1.23</f>
        <v>2361.6</v>
      </c>
      <c r="H30" s="69"/>
    </row>
    <row r="31" spans="2:17">
      <c r="B31" s="155"/>
      <c r="C31" s="157"/>
      <c r="D31" s="157"/>
      <c r="E31" s="157"/>
      <c r="F31" s="157"/>
      <c r="G31" s="173"/>
    </row>
    <row r="32" spans="2:17">
      <c r="B32" s="166"/>
      <c r="C32" s="167"/>
      <c r="D32" s="167"/>
      <c r="E32" s="167"/>
      <c r="F32" s="167"/>
      <c r="G32" s="168"/>
    </row>
    <row r="33" spans="2:7">
      <c r="B33" s="64" t="s">
        <v>97</v>
      </c>
      <c r="C33" s="2"/>
      <c r="D33" s="2" t="s">
        <v>95</v>
      </c>
      <c r="E33" s="2" t="s">
        <v>7</v>
      </c>
      <c r="F33" s="2">
        <v>81</v>
      </c>
      <c r="G33" s="40">
        <v>38000</v>
      </c>
    </row>
    <row r="34" spans="2:7">
      <c r="B34" s="64" t="s">
        <v>98</v>
      </c>
      <c r="C34" s="2"/>
      <c r="D34" s="2" t="s">
        <v>96</v>
      </c>
      <c r="E34" s="2">
        <v>81</v>
      </c>
      <c r="F34" s="2">
        <v>56</v>
      </c>
      <c r="G34" s="40">
        <v>38000</v>
      </c>
    </row>
    <row r="35" spans="2:7">
      <c r="B35" s="66"/>
      <c r="C35" s="35"/>
      <c r="D35" s="35"/>
      <c r="E35" s="29"/>
      <c r="F35" s="29"/>
      <c r="G35" s="67"/>
    </row>
    <row r="36" spans="2:7">
      <c r="B36" s="154" t="s">
        <v>24</v>
      </c>
      <c r="C36" s="156" t="s">
        <v>73</v>
      </c>
      <c r="D36" s="158" t="s">
        <v>25</v>
      </c>
      <c r="E36" s="2">
        <v>56</v>
      </c>
      <c r="F36" s="2" t="s">
        <v>7</v>
      </c>
      <c r="G36" s="40">
        <v>38000</v>
      </c>
    </row>
    <row r="37" spans="2:7">
      <c r="B37" s="140"/>
      <c r="C37" s="143"/>
      <c r="D37" s="143"/>
      <c r="E37" s="2" t="s">
        <v>7</v>
      </c>
      <c r="F37" s="2" t="s">
        <v>206</v>
      </c>
      <c r="G37" s="40">
        <f>G36*0.05</f>
        <v>1900</v>
      </c>
    </row>
    <row r="38" spans="2:7">
      <c r="B38" s="140"/>
      <c r="C38" s="143"/>
      <c r="D38" s="143"/>
      <c r="E38" s="2" t="s">
        <v>7</v>
      </c>
      <c r="F38" s="2" t="s">
        <v>205</v>
      </c>
      <c r="G38" s="40">
        <f>G36*0.45</f>
        <v>17100</v>
      </c>
    </row>
    <row r="39" spans="2:7" ht="15.75" thickBot="1">
      <c r="B39" s="141"/>
      <c r="C39" s="144"/>
      <c r="D39" s="144"/>
      <c r="E39" s="3" t="s">
        <v>7</v>
      </c>
      <c r="F39" s="3" t="s">
        <v>204</v>
      </c>
      <c r="G39" s="43">
        <f>G36*0.5</f>
        <v>19000</v>
      </c>
    </row>
    <row r="40" spans="2:7">
      <c r="B40" s="154" t="s">
        <v>24</v>
      </c>
      <c r="C40" s="156" t="s">
        <v>73</v>
      </c>
      <c r="D40" s="156" t="s">
        <v>126</v>
      </c>
      <c r="E40" s="2" t="s">
        <v>204</v>
      </c>
      <c r="F40" s="2" t="s">
        <v>7</v>
      </c>
      <c r="G40" s="40">
        <f>G39</f>
        <v>19000</v>
      </c>
    </row>
    <row r="41" spans="2:7">
      <c r="B41" s="140"/>
      <c r="C41" s="143"/>
      <c r="D41" s="143"/>
      <c r="E41" s="2" t="s">
        <v>7</v>
      </c>
      <c r="F41" s="2" t="s">
        <v>56</v>
      </c>
      <c r="G41" s="40">
        <f>G40-G42</f>
        <v>14915</v>
      </c>
    </row>
    <row r="42" spans="2:7" ht="15.75" thickBot="1">
      <c r="B42" s="141"/>
      <c r="C42" s="144"/>
      <c r="D42" s="144"/>
      <c r="E42" s="3" t="s">
        <v>7</v>
      </c>
      <c r="F42" s="3" t="s">
        <v>59</v>
      </c>
      <c r="G42" s="43">
        <f>G40*0.215</f>
        <v>4085</v>
      </c>
    </row>
    <row r="43" spans="2:7">
      <c r="B43" s="64" t="s">
        <v>121</v>
      </c>
      <c r="C43" s="2" t="s">
        <v>73</v>
      </c>
      <c r="D43" s="2" t="s">
        <v>26</v>
      </c>
      <c r="E43" s="2" t="s">
        <v>59</v>
      </c>
      <c r="F43" s="2" t="s">
        <v>56</v>
      </c>
      <c r="G43" s="40">
        <f>G42</f>
        <v>4085</v>
      </c>
    </row>
    <row r="44" spans="2:7">
      <c r="B44" s="166"/>
      <c r="C44" s="167"/>
      <c r="D44" s="167"/>
      <c r="E44" s="167"/>
      <c r="F44" s="167"/>
      <c r="G44" s="168"/>
    </row>
    <row r="45" spans="2:7">
      <c r="B45" s="64" t="s">
        <v>60</v>
      </c>
      <c r="C45" s="2" t="s">
        <v>72</v>
      </c>
      <c r="D45" s="2" t="s">
        <v>61</v>
      </c>
      <c r="E45" s="2" t="s">
        <v>56</v>
      </c>
      <c r="F45" s="2" t="s">
        <v>242</v>
      </c>
      <c r="G45" s="40">
        <v>5000</v>
      </c>
    </row>
    <row r="46" spans="2:7">
      <c r="B46" s="66"/>
      <c r="C46" s="35"/>
      <c r="D46" s="35"/>
      <c r="E46" s="35"/>
      <c r="F46" s="35"/>
      <c r="G46" s="68"/>
    </row>
    <row r="47" spans="2:7" ht="15.75" thickBot="1">
      <c r="B47" s="42" t="s">
        <v>27</v>
      </c>
      <c r="C47" s="3" t="s">
        <v>69</v>
      </c>
      <c r="D47" s="3" t="s">
        <v>28</v>
      </c>
      <c r="E47" s="3" t="s">
        <v>203</v>
      </c>
      <c r="F47" s="3" t="s">
        <v>202</v>
      </c>
      <c r="G47" s="43">
        <f>28200</f>
        <v>28200</v>
      </c>
    </row>
    <row r="48" spans="2:7">
      <c r="B48" s="139" t="s">
        <v>105</v>
      </c>
      <c r="C48" s="142" t="s">
        <v>69</v>
      </c>
      <c r="D48" s="176" t="s">
        <v>107</v>
      </c>
      <c r="E48" s="4" t="s">
        <v>7</v>
      </c>
      <c r="F48" s="4" t="s">
        <v>56</v>
      </c>
      <c r="G48" s="38">
        <f>+G49+G50</f>
        <v>3628.5</v>
      </c>
    </row>
    <row r="49" spans="2:8">
      <c r="B49" s="140"/>
      <c r="C49" s="143"/>
      <c r="D49" s="143"/>
      <c r="E49" s="2" t="s">
        <v>202</v>
      </c>
      <c r="F49" s="2" t="s">
        <v>7</v>
      </c>
      <c r="G49" s="40">
        <v>2950</v>
      </c>
    </row>
    <row r="50" spans="2:8">
      <c r="B50" s="140"/>
      <c r="C50" s="143"/>
      <c r="D50" s="143"/>
      <c r="E50" s="129" t="s">
        <v>200</v>
      </c>
      <c r="F50" s="123" t="s">
        <v>7</v>
      </c>
      <c r="G50" s="125">
        <f>G49*0.23</f>
        <v>678.5</v>
      </c>
      <c r="H50" s="6"/>
    </row>
    <row r="51" spans="2:8">
      <c r="B51" s="166"/>
      <c r="C51" s="167"/>
      <c r="D51" s="167"/>
      <c r="E51" s="167"/>
      <c r="F51" s="167"/>
      <c r="G51" s="168"/>
      <c r="H51" s="6"/>
    </row>
    <row r="52" spans="2:8">
      <c r="B52" s="64" t="s">
        <v>27</v>
      </c>
      <c r="C52" s="2" t="s">
        <v>70</v>
      </c>
      <c r="D52" s="2" t="s">
        <v>62</v>
      </c>
      <c r="E52" s="2" t="s">
        <v>201</v>
      </c>
      <c r="F52" s="2" t="s">
        <v>56</v>
      </c>
      <c r="G52" s="40">
        <v>3200</v>
      </c>
      <c r="H52" s="6"/>
    </row>
    <row r="53" spans="2:8">
      <c r="B53" s="177"/>
      <c r="C53" s="178"/>
      <c r="D53" s="178"/>
      <c r="E53" s="178"/>
      <c r="F53" s="178"/>
      <c r="G53" s="179"/>
    </row>
    <row r="54" spans="2:8">
      <c r="B54" s="154" t="s">
        <v>29</v>
      </c>
      <c r="C54" s="156" t="s">
        <v>71</v>
      </c>
      <c r="D54" s="158" t="s">
        <v>106</v>
      </c>
      <c r="E54" s="2" t="s">
        <v>7</v>
      </c>
      <c r="F54" s="2" t="s">
        <v>56</v>
      </c>
      <c r="G54" s="40">
        <f>+G55+G56</f>
        <v>3665.4</v>
      </c>
    </row>
    <row r="55" spans="2:8">
      <c r="B55" s="140"/>
      <c r="C55" s="143"/>
      <c r="D55" s="143"/>
      <c r="E55" s="2" t="s">
        <v>232</v>
      </c>
      <c r="F55" s="2" t="s">
        <v>7</v>
      </c>
      <c r="G55" s="40">
        <v>2980</v>
      </c>
    </row>
    <row r="56" spans="2:8">
      <c r="B56" s="155"/>
      <c r="C56" s="157"/>
      <c r="D56" s="157"/>
      <c r="E56" s="2" t="s">
        <v>200</v>
      </c>
      <c r="F56" s="2" t="s">
        <v>7</v>
      </c>
      <c r="G56" s="40">
        <f>G55*0.23</f>
        <v>685.4</v>
      </c>
    </row>
    <row r="57" spans="2:8">
      <c r="B57" s="180"/>
      <c r="C57" s="181"/>
      <c r="D57" s="181"/>
      <c r="E57" s="181"/>
      <c r="F57" s="181"/>
      <c r="G57" s="182"/>
    </row>
    <row r="58" spans="2:8">
      <c r="B58" s="154" t="s">
        <v>30</v>
      </c>
      <c r="C58" s="156" t="s">
        <v>71</v>
      </c>
      <c r="D58" s="156" t="s">
        <v>57</v>
      </c>
      <c r="E58" s="2" t="s">
        <v>56</v>
      </c>
      <c r="F58" s="2" t="s">
        <v>7</v>
      </c>
      <c r="G58" s="40">
        <v>1000</v>
      </c>
    </row>
    <row r="59" spans="2:8">
      <c r="B59" s="140"/>
      <c r="C59" s="143"/>
      <c r="D59" s="143"/>
      <c r="E59" s="2" t="s">
        <v>7</v>
      </c>
      <c r="F59" s="2" t="s">
        <v>58</v>
      </c>
      <c r="G59" s="40">
        <f>1000*1.215</f>
        <v>1215</v>
      </c>
    </row>
    <row r="60" spans="2:8">
      <c r="B60" s="155"/>
      <c r="C60" s="157"/>
      <c r="D60" s="157"/>
      <c r="E60" s="2" t="s">
        <v>59</v>
      </c>
      <c r="F60" s="2" t="s">
        <v>7</v>
      </c>
      <c r="G60" s="40">
        <f>G58*0.215</f>
        <v>215</v>
      </c>
    </row>
    <row r="61" spans="2:8">
      <c r="B61" s="166"/>
      <c r="C61" s="167"/>
      <c r="D61" s="167"/>
      <c r="E61" s="167"/>
      <c r="F61" s="167"/>
      <c r="G61" s="168"/>
    </row>
    <row r="62" spans="2:8">
      <c r="B62" s="154" t="s">
        <v>18</v>
      </c>
      <c r="C62" s="156" t="s">
        <v>74</v>
      </c>
      <c r="D62" s="158" t="s">
        <v>80</v>
      </c>
      <c r="E62" s="156" t="s">
        <v>56</v>
      </c>
      <c r="F62" s="156" t="s">
        <v>188</v>
      </c>
      <c r="G62" s="172">
        <f>72000</f>
        <v>72000</v>
      </c>
    </row>
    <row r="63" spans="2:8">
      <c r="B63" s="155"/>
      <c r="C63" s="157"/>
      <c r="D63" s="157"/>
      <c r="E63" s="157"/>
      <c r="F63" s="157"/>
      <c r="G63" s="173"/>
    </row>
    <row r="64" spans="2:8">
      <c r="B64" s="166"/>
      <c r="C64" s="167"/>
      <c r="D64" s="167"/>
      <c r="E64" s="167"/>
      <c r="F64" s="167"/>
      <c r="G64" s="168"/>
    </row>
    <row r="65" spans="2:7">
      <c r="B65" s="154" t="s">
        <v>18</v>
      </c>
      <c r="C65" s="156" t="s">
        <v>75</v>
      </c>
      <c r="D65" s="158" t="s">
        <v>77</v>
      </c>
      <c r="E65" s="156" t="s">
        <v>76</v>
      </c>
      <c r="F65" s="156" t="s">
        <v>56</v>
      </c>
      <c r="G65" s="172">
        <v>62500</v>
      </c>
    </row>
    <row r="66" spans="2:7">
      <c r="B66" s="155"/>
      <c r="C66" s="157"/>
      <c r="D66" s="157"/>
      <c r="E66" s="157"/>
      <c r="F66" s="157"/>
      <c r="G66" s="173"/>
    </row>
    <row r="67" spans="2:7">
      <c r="B67" s="166"/>
      <c r="C67" s="167"/>
      <c r="D67" s="167"/>
      <c r="E67" s="167"/>
      <c r="F67" s="167"/>
      <c r="G67" s="168"/>
    </row>
    <row r="68" spans="2:7">
      <c r="B68" s="154" t="s">
        <v>18</v>
      </c>
      <c r="C68" s="156" t="s">
        <v>78</v>
      </c>
      <c r="D68" s="158" t="s">
        <v>79</v>
      </c>
      <c r="E68" s="156" t="s">
        <v>199</v>
      </c>
      <c r="F68" s="156" t="s">
        <v>56</v>
      </c>
      <c r="G68" s="172">
        <v>15000</v>
      </c>
    </row>
    <row r="69" spans="2:7">
      <c r="B69" s="155"/>
      <c r="C69" s="157"/>
      <c r="D69" s="157"/>
      <c r="E69" s="157"/>
      <c r="F69" s="157"/>
      <c r="G69" s="173"/>
    </row>
    <row r="70" spans="2:7">
      <c r="B70" s="166"/>
      <c r="C70" s="167"/>
      <c r="D70" s="167"/>
      <c r="E70" s="167"/>
      <c r="F70" s="167"/>
      <c r="G70" s="168"/>
    </row>
    <row r="71" spans="2:7" ht="30">
      <c r="B71" s="64" t="s">
        <v>97</v>
      </c>
      <c r="C71" s="2"/>
      <c r="D71" s="36" t="s">
        <v>116</v>
      </c>
      <c r="E71" s="2" t="s">
        <v>117</v>
      </c>
      <c r="F71" s="2" t="s">
        <v>56</v>
      </c>
      <c r="G71" s="40">
        <f>900000*0.3</f>
        <v>270000</v>
      </c>
    </row>
    <row r="72" spans="2:7">
      <c r="B72" s="169"/>
      <c r="C72" s="170"/>
      <c r="D72" s="170"/>
      <c r="E72" s="170"/>
      <c r="F72" s="170"/>
      <c r="G72" s="171"/>
    </row>
    <row r="73" spans="2:7">
      <c r="B73" s="64" t="s">
        <v>97</v>
      </c>
      <c r="C73" s="2"/>
      <c r="D73" s="2" t="s">
        <v>191</v>
      </c>
      <c r="E73" s="2" t="s">
        <v>198</v>
      </c>
      <c r="F73" s="2" t="s">
        <v>189</v>
      </c>
      <c r="G73" s="40">
        <v>5500</v>
      </c>
    </row>
    <row r="74" spans="2:7" ht="15.75" thickBot="1">
      <c r="B74" s="145"/>
      <c r="C74" s="146"/>
      <c r="D74" s="146"/>
      <c r="E74" s="146"/>
      <c r="F74" s="146"/>
      <c r="G74" s="147"/>
    </row>
  </sheetData>
  <mergeCells count="77">
    <mergeCell ref="B70:G70"/>
    <mergeCell ref="B54:B56"/>
    <mergeCell ref="C54:C56"/>
    <mergeCell ref="D54:D56"/>
    <mergeCell ref="B53:G53"/>
    <mergeCell ref="B57:G57"/>
    <mergeCell ref="D58:D60"/>
    <mergeCell ref="C58:C60"/>
    <mergeCell ref="B58:B60"/>
    <mergeCell ref="F65:F66"/>
    <mergeCell ref="G65:G66"/>
    <mergeCell ref="D62:D63"/>
    <mergeCell ref="B62:B63"/>
    <mergeCell ref="C62:C63"/>
    <mergeCell ref="E62:E63"/>
    <mergeCell ref="F62:F63"/>
    <mergeCell ref="B51:G51"/>
    <mergeCell ref="H21:Q22"/>
    <mergeCell ref="H27:Q28"/>
    <mergeCell ref="B40:B42"/>
    <mergeCell ref="C40:C42"/>
    <mergeCell ref="D40:D42"/>
    <mergeCell ref="B44:G44"/>
    <mergeCell ref="D48:D50"/>
    <mergeCell ref="B48:B50"/>
    <mergeCell ref="C48:C50"/>
    <mergeCell ref="G30:G31"/>
    <mergeCell ref="G4:G5"/>
    <mergeCell ref="B4:B5"/>
    <mergeCell ref="C4:C5"/>
    <mergeCell ref="D4:D5"/>
    <mergeCell ref="E4:E5"/>
    <mergeCell ref="F4:F5"/>
    <mergeCell ref="B6:B13"/>
    <mergeCell ref="D6:D13"/>
    <mergeCell ref="C6:C13"/>
    <mergeCell ref="B20:B22"/>
    <mergeCell ref="C20:C22"/>
    <mergeCell ref="D20:D22"/>
    <mergeCell ref="B19:G19"/>
    <mergeCell ref="B15:B16"/>
    <mergeCell ref="C15:C16"/>
    <mergeCell ref="D15:D16"/>
    <mergeCell ref="B17:G17"/>
    <mergeCell ref="B14:G14"/>
    <mergeCell ref="E65:E66"/>
    <mergeCell ref="B23:G23"/>
    <mergeCell ref="B32:G32"/>
    <mergeCell ref="D36:D39"/>
    <mergeCell ref="B36:B39"/>
    <mergeCell ref="C36:C39"/>
    <mergeCell ref="B30:B31"/>
    <mergeCell ref="B25:G25"/>
    <mergeCell ref="B29:G29"/>
    <mergeCell ref="B26:B28"/>
    <mergeCell ref="C26:C28"/>
    <mergeCell ref="D26:D28"/>
    <mergeCell ref="C30:C31"/>
    <mergeCell ref="D30:D31"/>
    <mergeCell ref="E30:E31"/>
    <mergeCell ref="F30:F31"/>
    <mergeCell ref="B72:G72"/>
    <mergeCell ref="B2:G3"/>
    <mergeCell ref="B74:G74"/>
    <mergeCell ref="B67:G67"/>
    <mergeCell ref="B68:B69"/>
    <mergeCell ref="C68:C69"/>
    <mergeCell ref="D68:D69"/>
    <mergeCell ref="E68:E69"/>
    <mergeCell ref="F68:F69"/>
    <mergeCell ref="G68:G69"/>
    <mergeCell ref="G62:G63"/>
    <mergeCell ref="B61:G61"/>
    <mergeCell ref="B64:G64"/>
    <mergeCell ref="B65:B66"/>
    <mergeCell ref="C65:C66"/>
    <mergeCell ref="D65:D66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I36"/>
  <sheetViews>
    <sheetView workbookViewId="0">
      <selection activeCell="I14" sqref="I14"/>
    </sheetView>
  </sheetViews>
  <sheetFormatPr defaultRowHeight="15"/>
  <cols>
    <col min="1" max="1" width="9.140625" style="1" customWidth="1"/>
    <col min="2" max="2" width="9.85546875" style="1" bestFit="1" customWidth="1"/>
    <col min="3" max="3" width="9.140625" style="1"/>
    <col min="4" max="4" width="25.140625" style="1" bestFit="1" customWidth="1"/>
    <col min="5" max="5" width="9.7109375" style="1" customWidth="1"/>
    <col min="6" max="6" width="9.85546875" style="1" customWidth="1"/>
    <col min="7" max="7" width="13.140625" style="1" bestFit="1" customWidth="1"/>
    <col min="8" max="9" width="11" style="1" bestFit="1" customWidth="1"/>
    <col min="10" max="16384" width="9.140625" style="1"/>
  </cols>
  <sheetData>
    <row r="1" spans="2:8" ht="15.75" thickBot="1"/>
    <row r="2" spans="2:8">
      <c r="B2" s="148" t="s">
        <v>111</v>
      </c>
      <c r="C2" s="149"/>
      <c r="D2" s="149"/>
      <c r="E2" s="149"/>
      <c r="F2" s="149"/>
      <c r="G2" s="150"/>
    </row>
    <row r="3" spans="2:8" ht="15.75" thickBot="1">
      <c r="B3" s="151"/>
      <c r="C3" s="152"/>
      <c r="D3" s="152"/>
      <c r="E3" s="152"/>
      <c r="F3" s="152"/>
      <c r="G3" s="153"/>
    </row>
    <row r="4" spans="2:8">
      <c r="B4" s="161" t="s">
        <v>0</v>
      </c>
      <c r="C4" s="163" t="s">
        <v>1</v>
      </c>
      <c r="D4" s="163" t="s">
        <v>2</v>
      </c>
      <c r="E4" s="163" t="s">
        <v>3</v>
      </c>
      <c r="F4" s="163" t="s">
        <v>4</v>
      </c>
      <c r="G4" s="159" t="s">
        <v>5</v>
      </c>
    </row>
    <row r="5" spans="2:8">
      <c r="B5" s="162"/>
      <c r="C5" s="164"/>
      <c r="D5" s="164"/>
      <c r="E5" s="164"/>
      <c r="F5" s="164"/>
      <c r="G5" s="160"/>
    </row>
    <row r="6" spans="2:8">
      <c r="B6" s="65" t="s">
        <v>30</v>
      </c>
      <c r="C6" s="30" t="s">
        <v>69</v>
      </c>
      <c r="D6" s="30" t="s">
        <v>31</v>
      </c>
      <c r="E6" s="129" t="s">
        <v>233</v>
      </c>
      <c r="F6" s="129" t="s">
        <v>234</v>
      </c>
      <c r="G6" s="41">
        <f>(28200-1410)/4</f>
        <v>6697.5</v>
      </c>
    </row>
    <row r="7" spans="2:8">
      <c r="B7" s="166"/>
      <c r="C7" s="167"/>
      <c r="D7" s="167"/>
      <c r="E7" s="167"/>
      <c r="F7" s="167"/>
      <c r="G7" s="168"/>
    </row>
    <row r="8" spans="2:8" ht="45">
      <c r="B8" s="64" t="s">
        <v>30</v>
      </c>
      <c r="C8" s="2" t="s">
        <v>72</v>
      </c>
      <c r="D8" s="36" t="s">
        <v>108</v>
      </c>
      <c r="E8" s="2" t="s">
        <v>103</v>
      </c>
      <c r="F8" s="2" t="s">
        <v>104</v>
      </c>
      <c r="G8" s="40">
        <f>5000/4</f>
        <v>1250</v>
      </c>
      <c r="H8" s="72"/>
    </row>
    <row r="9" spans="2:8">
      <c r="B9" s="166"/>
      <c r="C9" s="167"/>
      <c r="D9" s="167"/>
      <c r="E9" s="167"/>
      <c r="F9" s="167"/>
      <c r="G9" s="168"/>
    </row>
    <row r="10" spans="2:8">
      <c r="B10" s="64" t="s">
        <v>30</v>
      </c>
      <c r="C10" s="2"/>
      <c r="D10" s="2" t="s">
        <v>122</v>
      </c>
      <c r="E10" s="2" t="s">
        <v>233</v>
      </c>
      <c r="F10" s="2" t="s">
        <v>234</v>
      </c>
      <c r="G10" s="40">
        <f>300000/25</f>
        <v>12000</v>
      </c>
    </row>
    <row r="11" spans="2:8">
      <c r="B11" s="64" t="s">
        <v>30</v>
      </c>
      <c r="C11" s="2"/>
      <c r="D11" s="2" t="s">
        <v>123</v>
      </c>
      <c r="E11" s="2" t="s">
        <v>233</v>
      </c>
      <c r="F11" s="2" t="s">
        <v>234</v>
      </c>
      <c r="G11" s="40">
        <f>50000/4</f>
        <v>12500</v>
      </c>
    </row>
    <row r="12" spans="2:8">
      <c r="B12" s="65" t="s">
        <v>30</v>
      </c>
      <c r="C12" s="30"/>
      <c r="D12" s="73" t="s">
        <v>124</v>
      </c>
      <c r="E12" s="129" t="s">
        <v>233</v>
      </c>
      <c r="F12" s="129" t="s">
        <v>234</v>
      </c>
      <c r="G12" s="41">
        <f>70000/3</f>
        <v>23333.333333333332</v>
      </c>
    </row>
    <row r="13" spans="2:8">
      <c r="B13" s="166"/>
      <c r="C13" s="167"/>
      <c r="D13" s="167"/>
      <c r="E13" s="167"/>
      <c r="F13" s="167"/>
      <c r="G13" s="168"/>
    </row>
    <row r="14" spans="2:8">
      <c r="B14" s="64" t="s">
        <v>30</v>
      </c>
      <c r="C14" s="2"/>
      <c r="D14" s="2" t="s">
        <v>32</v>
      </c>
      <c r="E14" s="2" t="s">
        <v>235</v>
      </c>
      <c r="F14" s="2" t="s">
        <v>236</v>
      </c>
      <c r="G14" s="40">
        <f>15000/3</f>
        <v>5000</v>
      </c>
    </row>
    <row r="15" spans="2:8">
      <c r="B15" s="166"/>
      <c r="C15" s="167"/>
      <c r="D15" s="167"/>
      <c r="E15" s="167"/>
      <c r="F15" s="167"/>
      <c r="G15" s="168"/>
    </row>
    <row r="16" spans="2:8">
      <c r="B16" s="64" t="s">
        <v>30</v>
      </c>
      <c r="C16" s="2" t="s">
        <v>99</v>
      </c>
      <c r="D16" s="2" t="s">
        <v>53</v>
      </c>
      <c r="E16" s="2" t="s">
        <v>243</v>
      </c>
      <c r="F16" s="2" t="s">
        <v>82</v>
      </c>
      <c r="G16" s="40">
        <v>7000</v>
      </c>
    </row>
    <row r="17" spans="2:9">
      <c r="B17" s="166"/>
      <c r="C17" s="167"/>
      <c r="D17" s="167"/>
      <c r="E17" s="167"/>
      <c r="F17" s="167"/>
      <c r="G17" s="168"/>
    </row>
    <row r="18" spans="2:9">
      <c r="B18" s="154" t="s">
        <v>30</v>
      </c>
      <c r="C18" s="156" t="s">
        <v>100</v>
      </c>
      <c r="D18" s="158" t="s">
        <v>102</v>
      </c>
      <c r="E18" s="2" t="s">
        <v>7</v>
      </c>
      <c r="F18" s="2" t="s">
        <v>56</v>
      </c>
      <c r="G18" s="40">
        <f>G20-G19</f>
        <v>835</v>
      </c>
    </row>
    <row r="19" spans="2:9">
      <c r="B19" s="140"/>
      <c r="C19" s="143"/>
      <c r="D19" s="143"/>
      <c r="E19" s="2" t="s">
        <v>7</v>
      </c>
      <c r="F19" s="2" t="s">
        <v>59</v>
      </c>
      <c r="G19" s="40">
        <f>G20*0.165</f>
        <v>165</v>
      </c>
    </row>
    <row r="20" spans="2:9">
      <c r="B20" s="155"/>
      <c r="C20" s="157"/>
      <c r="D20" s="157"/>
      <c r="E20" s="2" t="s">
        <v>101</v>
      </c>
      <c r="F20" s="2" t="s">
        <v>7</v>
      </c>
      <c r="G20" s="40">
        <v>1000</v>
      </c>
    </row>
    <row r="21" spans="2:9">
      <c r="B21" s="177"/>
      <c r="C21" s="178"/>
      <c r="D21" s="178"/>
      <c r="E21" s="178"/>
      <c r="F21" s="178"/>
      <c r="G21" s="179"/>
    </row>
    <row r="22" spans="2:9">
      <c r="B22" s="64" t="s">
        <v>30</v>
      </c>
      <c r="C22" s="2"/>
      <c r="D22" s="2" t="s">
        <v>190</v>
      </c>
      <c r="E22" s="2" t="s">
        <v>189</v>
      </c>
      <c r="F22" s="2" t="s">
        <v>192</v>
      </c>
      <c r="G22" s="40">
        <v>5500</v>
      </c>
    </row>
    <row r="23" spans="2:9">
      <c r="B23" s="177"/>
      <c r="C23" s="178"/>
      <c r="D23" s="178"/>
      <c r="E23" s="178"/>
      <c r="F23" s="178"/>
      <c r="G23" s="179"/>
    </row>
    <row r="24" spans="2:9">
      <c r="B24" s="64" t="s">
        <v>30</v>
      </c>
      <c r="C24" s="2"/>
      <c r="D24" s="2" t="s">
        <v>194</v>
      </c>
      <c r="E24" s="2" t="s">
        <v>101</v>
      </c>
      <c r="F24" s="2" t="s">
        <v>201</v>
      </c>
      <c r="G24" s="40">
        <f>(3200*8)/12</f>
        <v>2133.3333333333335</v>
      </c>
      <c r="I24" s="6"/>
    </row>
    <row r="25" spans="2:9">
      <c r="B25" s="166"/>
      <c r="C25" s="167"/>
      <c r="D25" s="167"/>
      <c r="E25" s="167"/>
      <c r="F25" s="167"/>
      <c r="G25" s="168"/>
    </row>
    <row r="26" spans="2:9">
      <c r="B26" s="140" t="s">
        <v>30</v>
      </c>
      <c r="C26" s="143" t="s">
        <v>69</v>
      </c>
      <c r="D26" s="165" t="s">
        <v>195</v>
      </c>
      <c r="E26" s="124" t="s">
        <v>7</v>
      </c>
      <c r="F26" s="130" t="s">
        <v>56</v>
      </c>
      <c r="G26" s="126">
        <f>(G27+G28+G29)*1.23</f>
        <v>3628.5</v>
      </c>
    </row>
    <row r="27" spans="2:9">
      <c r="B27" s="140"/>
      <c r="C27" s="143"/>
      <c r="D27" s="143"/>
      <c r="E27" s="2" t="s">
        <v>202</v>
      </c>
      <c r="F27" s="2" t="s">
        <v>7</v>
      </c>
      <c r="G27" s="40">
        <v>1830</v>
      </c>
    </row>
    <row r="28" spans="2:9">
      <c r="B28" s="140"/>
      <c r="C28" s="143"/>
      <c r="D28" s="143"/>
      <c r="E28" s="2" t="s">
        <v>237</v>
      </c>
      <c r="F28" s="2" t="s">
        <v>7</v>
      </c>
      <c r="G28" s="40">
        <f>1120/3</f>
        <v>373.33333333333331</v>
      </c>
    </row>
    <row r="29" spans="2:9">
      <c r="B29" s="155"/>
      <c r="C29" s="157"/>
      <c r="D29" s="157"/>
      <c r="E29" s="2" t="s">
        <v>101</v>
      </c>
      <c r="F29" s="2" t="s">
        <v>7</v>
      </c>
      <c r="G29" s="40">
        <f>1120-G28</f>
        <v>746.66666666666674</v>
      </c>
    </row>
    <row r="30" spans="2:9">
      <c r="B30" s="177"/>
      <c r="C30" s="178"/>
      <c r="D30" s="178"/>
      <c r="E30" s="178"/>
      <c r="F30" s="178"/>
      <c r="G30" s="179"/>
    </row>
    <row r="31" spans="2:9">
      <c r="B31" s="154" t="s">
        <v>30</v>
      </c>
      <c r="C31" s="156" t="s">
        <v>71</v>
      </c>
      <c r="D31" s="158" t="s">
        <v>193</v>
      </c>
      <c r="E31" s="2" t="s">
        <v>7</v>
      </c>
      <c r="F31" s="2" t="s">
        <v>56</v>
      </c>
      <c r="G31" s="40">
        <v>2980</v>
      </c>
    </row>
    <row r="32" spans="2:9">
      <c r="B32" s="140"/>
      <c r="C32" s="143"/>
      <c r="D32" s="165"/>
      <c r="E32" s="2" t="s">
        <v>101</v>
      </c>
      <c r="F32" s="2" t="s">
        <v>7</v>
      </c>
      <c r="G32" s="40">
        <f>G31*(2/3)</f>
        <v>1986.6666666666665</v>
      </c>
    </row>
    <row r="33" spans="2:8">
      <c r="B33" s="155"/>
      <c r="C33" s="157"/>
      <c r="D33" s="183"/>
      <c r="E33" s="2" t="s">
        <v>202</v>
      </c>
      <c r="F33" s="2" t="s">
        <v>7</v>
      </c>
      <c r="G33" s="40">
        <f>(G31)*(1/3)</f>
        <v>993.33333333333326</v>
      </c>
      <c r="H33" s="6"/>
    </row>
    <row r="34" spans="2:8">
      <c r="B34" s="177"/>
      <c r="C34" s="178"/>
      <c r="D34" s="178"/>
      <c r="E34" s="178"/>
      <c r="F34" s="178"/>
      <c r="G34" s="179"/>
      <c r="H34" s="6"/>
    </row>
    <row r="35" spans="2:8" ht="30">
      <c r="B35" s="64" t="s">
        <v>30</v>
      </c>
      <c r="C35" s="2"/>
      <c r="D35" s="36" t="s">
        <v>118</v>
      </c>
      <c r="E35" s="2" t="s">
        <v>117</v>
      </c>
      <c r="F35" s="2" t="s">
        <v>119</v>
      </c>
      <c r="G35" s="40">
        <f>45000*0.3</f>
        <v>13500</v>
      </c>
    </row>
    <row r="36" spans="2:8" ht="15.75" thickBot="1">
      <c r="B36" s="145"/>
      <c r="C36" s="146"/>
      <c r="D36" s="146"/>
      <c r="E36" s="146"/>
      <c r="F36" s="146"/>
      <c r="G36" s="147"/>
    </row>
  </sheetData>
  <mergeCells count="27">
    <mergeCell ref="B2:G3"/>
    <mergeCell ref="B36:G36"/>
    <mergeCell ref="B9:G9"/>
    <mergeCell ref="B17:G17"/>
    <mergeCell ref="D18:D20"/>
    <mergeCell ref="C18:C20"/>
    <mergeCell ref="B18:B20"/>
    <mergeCell ref="B15:G15"/>
    <mergeCell ref="B7:G7"/>
    <mergeCell ref="B13:G13"/>
    <mergeCell ref="B4:B5"/>
    <mergeCell ref="C4:C5"/>
    <mergeCell ref="D4:D5"/>
    <mergeCell ref="E4:E5"/>
    <mergeCell ref="F4:F5"/>
    <mergeCell ref="G4:G5"/>
    <mergeCell ref="B21:G21"/>
    <mergeCell ref="B23:G23"/>
    <mergeCell ref="B25:G25"/>
    <mergeCell ref="B26:B29"/>
    <mergeCell ref="C26:C29"/>
    <mergeCell ref="D26:D29"/>
    <mergeCell ref="B30:G30"/>
    <mergeCell ref="B31:B33"/>
    <mergeCell ref="C31:C33"/>
    <mergeCell ref="D31:D33"/>
    <mergeCell ref="B34:G34"/>
  </mergeCells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P93"/>
  <sheetViews>
    <sheetView tabSelected="1" zoomScaleNormal="100" workbookViewId="0">
      <selection activeCell="G14" sqref="G14"/>
    </sheetView>
  </sheetViews>
  <sheetFormatPr defaultRowHeight="15"/>
  <cols>
    <col min="1" max="1" width="3.140625" style="1" customWidth="1"/>
    <col min="2" max="2" width="9.140625" style="1"/>
    <col min="3" max="3" width="6.42578125" style="1" customWidth="1"/>
    <col min="4" max="4" width="53.7109375" style="1" bestFit="1" customWidth="1"/>
    <col min="5" max="5" width="5.28515625" style="1" bestFit="1" customWidth="1"/>
    <col min="6" max="6" width="11.85546875" style="1" bestFit="1" customWidth="1"/>
    <col min="7" max="7" width="12" style="1" bestFit="1" customWidth="1"/>
    <col min="8" max="8" width="46.28515625" style="1" customWidth="1"/>
    <col min="9" max="9" width="7.42578125" style="1" bestFit="1" customWidth="1"/>
    <col min="10" max="10" width="15.28515625" style="1" customWidth="1"/>
    <col min="11" max="11" width="17.140625" style="1" customWidth="1"/>
    <col min="12" max="13" width="9.140625" style="1"/>
    <col min="14" max="14" width="11.85546875" style="1" bestFit="1" customWidth="1"/>
    <col min="15" max="16" width="13.140625" style="1" bestFit="1" customWidth="1"/>
    <col min="17" max="16384" width="9.140625" style="1"/>
  </cols>
  <sheetData>
    <row r="1" spans="2:16" ht="15.75" thickBot="1">
      <c r="H1" s="76"/>
    </row>
    <row r="2" spans="2:16" ht="15" customHeight="1">
      <c r="B2" s="148" t="s">
        <v>240</v>
      </c>
      <c r="C2" s="184"/>
      <c r="D2" s="184"/>
      <c r="E2" s="184"/>
      <c r="F2" s="185"/>
      <c r="H2" s="148" t="s">
        <v>241</v>
      </c>
      <c r="I2" s="184"/>
      <c r="J2" s="184"/>
      <c r="K2" s="185"/>
    </row>
    <row r="3" spans="2:16" ht="15.75" thickBot="1">
      <c r="B3" s="186"/>
      <c r="C3" s="187"/>
      <c r="D3" s="187"/>
      <c r="E3" s="187"/>
      <c r="F3" s="188"/>
      <c r="H3" s="189"/>
      <c r="I3" s="190"/>
      <c r="J3" s="190"/>
      <c r="K3" s="191"/>
    </row>
    <row r="4" spans="2:16" ht="15.75" thickBot="1">
      <c r="B4" s="202" t="s">
        <v>157</v>
      </c>
      <c r="C4" s="203"/>
      <c r="D4" s="200" t="s">
        <v>158</v>
      </c>
      <c r="E4" s="198" t="s">
        <v>159</v>
      </c>
      <c r="F4" s="198" t="s">
        <v>187</v>
      </c>
      <c r="H4" s="200" t="s">
        <v>127</v>
      </c>
      <c r="I4" s="198" t="s">
        <v>128</v>
      </c>
      <c r="J4" s="200" t="s">
        <v>155</v>
      </c>
      <c r="K4" s="204"/>
    </row>
    <row r="5" spans="2:16" ht="15.75" thickBot="1">
      <c r="B5" s="131" t="s">
        <v>160</v>
      </c>
      <c r="C5" s="132" t="s">
        <v>161</v>
      </c>
      <c r="D5" s="201"/>
      <c r="E5" s="199"/>
      <c r="F5" s="205"/>
      <c r="H5" s="201"/>
      <c r="I5" s="199"/>
      <c r="J5" s="133" t="s">
        <v>18</v>
      </c>
      <c r="K5" s="134" t="s">
        <v>97</v>
      </c>
    </row>
    <row r="6" spans="2:16">
      <c r="B6" s="99" t="s">
        <v>162</v>
      </c>
      <c r="C6" s="100"/>
      <c r="D6" s="101" t="s">
        <v>163</v>
      </c>
      <c r="E6" s="101" t="s">
        <v>164</v>
      </c>
      <c r="F6" s="120">
        <f>('Diário de Compras-Vendas'!G20+'Diário de Compras-Vendas'!G35-'Diário de Compras-Vendas'!G39+'Diário de Compras-Vendas'!G56-'Diário de Compras-Vendas'!G59)</f>
        <v>640700</v>
      </c>
      <c r="H6" s="79" t="s">
        <v>84</v>
      </c>
      <c r="I6" s="80"/>
      <c r="J6" s="81"/>
      <c r="K6" s="81"/>
    </row>
    <row r="7" spans="2:16">
      <c r="B7" s="102">
        <v>75</v>
      </c>
      <c r="C7" s="103"/>
      <c r="D7" s="101" t="s">
        <v>165</v>
      </c>
      <c r="E7" s="101" t="s">
        <v>164</v>
      </c>
      <c r="F7" s="119">
        <v>5000</v>
      </c>
      <c r="H7" s="82"/>
      <c r="I7" s="80"/>
      <c r="J7" s="81"/>
      <c r="K7" s="81"/>
    </row>
    <row r="8" spans="2:16">
      <c r="B8" s="102">
        <v>73</v>
      </c>
      <c r="C8" s="104"/>
      <c r="D8" s="101" t="s">
        <v>166</v>
      </c>
      <c r="E8" s="101" t="s">
        <v>164</v>
      </c>
      <c r="F8" s="119">
        <v>0</v>
      </c>
      <c r="H8" s="83" t="s">
        <v>129</v>
      </c>
      <c r="I8" s="80"/>
      <c r="J8" s="81"/>
      <c r="K8" s="81"/>
    </row>
    <row r="9" spans="2:16">
      <c r="B9" s="102">
        <v>74</v>
      </c>
      <c r="C9" s="103"/>
      <c r="D9" s="101" t="s">
        <v>167</v>
      </c>
      <c r="E9" s="101" t="s">
        <v>164</v>
      </c>
      <c r="F9" s="119">
        <v>0</v>
      </c>
      <c r="H9" s="82" t="s">
        <v>154</v>
      </c>
      <c r="I9" s="80"/>
      <c r="J9" s="81">
        <f>270000+45000*0.3</f>
        <v>283500</v>
      </c>
      <c r="K9" s="81">
        <v>270000</v>
      </c>
    </row>
    <row r="10" spans="2:16">
      <c r="B10" s="105"/>
      <c r="C10" s="106">
        <v>61</v>
      </c>
      <c r="D10" s="101" t="s">
        <v>168</v>
      </c>
      <c r="E10" s="101" t="s">
        <v>164</v>
      </c>
      <c r="F10" s="119">
        <f>-'Ficha de Valorimetria'!H8-'Ficha de Valorimetria'!H11-'Ficha de Valorimetria'!H16</f>
        <v>-251053.61492715153</v>
      </c>
      <c r="H10" s="82" t="s">
        <v>88</v>
      </c>
      <c r="I10" s="80"/>
      <c r="J10" s="84">
        <f>420000+28000</f>
        <v>448000</v>
      </c>
      <c r="K10" s="84">
        <v>420000</v>
      </c>
      <c r="N10" s="1" t="s">
        <v>248</v>
      </c>
      <c r="O10" s="1" t="s">
        <v>246</v>
      </c>
      <c r="P10" s="1" t="s">
        <v>247</v>
      </c>
    </row>
    <row r="11" spans="2:16">
      <c r="B11" s="105"/>
      <c r="C11" s="106">
        <v>62</v>
      </c>
      <c r="D11" s="101" t="s">
        <v>169</v>
      </c>
      <c r="E11" s="101" t="s">
        <v>164</v>
      </c>
      <c r="F11" s="119">
        <f>('Diário de Gastos e Diversos'!G22+'Diário de Gastos e Diversos'!G24+'Diário de Gastos e Diversos'!G28+'Diário de Gastos e Diversos'!G30+'Diário de Gastos e Diversos'!G52+'Diário de Gastos e Diversos'!G55)*-1</f>
        <v>-14020.117073170732</v>
      </c>
      <c r="G11" s="6"/>
      <c r="H11" s="82" t="s">
        <v>130</v>
      </c>
      <c r="I11" s="85"/>
      <c r="J11" s="84">
        <v>15000</v>
      </c>
      <c r="K11" s="84">
        <v>15000</v>
      </c>
      <c r="O11" s="6">
        <f>+'Diário de Compras-Vendas'!G33-'Diário de Compras-Vendas'!G37+'Diário de Compras-Vendas'!G54-'Diário de Compras-Vendas'!G57</f>
        <v>512541</v>
      </c>
      <c r="P11" s="6">
        <f>('Diário de Compras-Vendas'!G23+'Diário de Compras-Vendas'!G42-'Diário de Compras-Vendas'!G45-'Diário de Compras-Vendas'!G49)</f>
        <v>168264</v>
      </c>
    </row>
    <row r="12" spans="2:16">
      <c r="B12" s="105"/>
      <c r="C12" s="106">
        <v>63</v>
      </c>
      <c r="D12" s="101" t="s">
        <v>170</v>
      </c>
      <c r="E12" s="101" t="s">
        <v>164</v>
      </c>
      <c r="F12" s="119">
        <f>(60000+'Diário de Gastos e Diversos'!G15+'Diário de Gastos e Diversos'!G16)*-1</f>
        <v>-74175</v>
      </c>
      <c r="H12" s="82" t="s">
        <v>153</v>
      </c>
      <c r="I12" s="80"/>
      <c r="J12" s="81">
        <f>(-42500+F22)</f>
        <v>-102030.83333333333</v>
      </c>
      <c r="K12" s="97">
        <f>-42500</f>
        <v>-42500</v>
      </c>
    </row>
    <row r="13" spans="2:16">
      <c r="B13" s="102">
        <v>7622</v>
      </c>
      <c r="C13" s="106">
        <v>652</v>
      </c>
      <c r="D13" s="101" t="s">
        <v>171</v>
      </c>
      <c r="E13" s="101" t="s">
        <v>164</v>
      </c>
      <c r="F13" s="119">
        <v>5500</v>
      </c>
      <c r="H13" s="82"/>
      <c r="I13" s="80"/>
      <c r="J13" s="86">
        <f>SUM(J9:J12)</f>
        <v>644469.16666666663</v>
      </c>
      <c r="K13" s="86">
        <f>SUM(K9:K12)</f>
        <v>662500</v>
      </c>
      <c r="O13" s="6">
        <f>O11-P11</f>
        <v>344277</v>
      </c>
    </row>
    <row r="14" spans="2:16">
      <c r="B14" s="102">
        <v>7621</v>
      </c>
      <c r="C14" s="106">
        <v>651</v>
      </c>
      <c r="D14" s="101" t="s">
        <v>172</v>
      </c>
      <c r="E14" s="101" t="s">
        <v>164</v>
      </c>
      <c r="F14" s="119">
        <v>7000</v>
      </c>
      <c r="H14" s="82"/>
      <c r="I14" s="80"/>
      <c r="J14" s="81"/>
      <c r="K14" s="81"/>
    </row>
    <row r="15" spans="2:16">
      <c r="B15" s="102">
        <v>763</v>
      </c>
      <c r="C15" s="106">
        <v>67</v>
      </c>
      <c r="D15" s="101" t="s">
        <v>173</v>
      </c>
      <c r="E15" s="101" t="s">
        <v>164</v>
      </c>
      <c r="F15" s="119">
        <v>0</v>
      </c>
      <c r="H15" s="83" t="s">
        <v>85</v>
      </c>
      <c r="I15" s="80"/>
      <c r="J15" s="81"/>
      <c r="K15" s="81"/>
    </row>
    <row r="16" spans="2:16">
      <c r="B16" s="107" t="s">
        <v>174</v>
      </c>
      <c r="C16" s="104" t="s">
        <v>175</v>
      </c>
      <c r="D16" s="101" t="s">
        <v>176</v>
      </c>
      <c r="E16" s="101" t="s">
        <v>164</v>
      </c>
      <c r="F16" s="119">
        <v>0</v>
      </c>
      <c r="H16" s="82" t="s">
        <v>86</v>
      </c>
      <c r="I16" s="80"/>
      <c r="J16" s="84">
        <f>'Ficha de Valorimetria'!K16</f>
        <v>43492.682544214957</v>
      </c>
      <c r="K16" s="84">
        <v>54000</v>
      </c>
    </row>
    <row r="17" spans="2:16">
      <c r="B17" s="102">
        <v>77</v>
      </c>
      <c r="C17" s="106">
        <v>66</v>
      </c>
      <c r="D17" s="101" t="s">
        <v>177</v>
      </c>
      <c r="E17" s="101" t="s">
        <v>164</v>
      </c>
      <c r="F17" s="119">
        <v>0</v>
      </c>
      <c r="H17" s="82" t="s">
        <v>87</v>
      </c>
      <c r="I17" s="85"/>
      <c r="J17" s="84">
        <f>O13</f>
        <v>344277</v>
      </c>
      <c r="K17" s="84">
        <v>72000</v>
      </c>
    </row>
    <row r="18" spans="2:16">
      <c r="B18" s="102">
        <v>78</v>
      </c>
      <c r="C18" s="103"/>
      <c r="D18" s="101" t="s">
        <v>178</v>
      </c>
      <c r="E18" s="101" t="s">
        <v>164</v>
      </c>
      <c r="F18" s="119">
        <f>45000*0.3</f>
        <v>13500</v>
      </c>
      <c r="H18" s="82" t="s">
        <v>132</v>
      </c>
      <c r="I18" s="80"/>
      <c r="J18" s="84"/>
      <c r="K18" s="84"/>
    </row>
    <row r="19" spans="2:16" ht="15.75" thickBot="1">
      <c r="B19" s="108"/>
      <c r="C19" s="109">
        <v>68</v>
      </c>
      <c r="D19" s="110" t="s">
        <v>179</v>
      </c>
      <c r="E19" s="110" t="s">
        <v>164</v>
      </c>
      <c r="F19" s="121">
        <f>'Diário de Compras-Vendas'!G28*-1</f>
        <v>-102.18225000000001</v>
      </c>
      <c r="H19" s="82" t="s">
        <v>131</v>
      </c>
      <c r="I19" s="80"/>
      <c r="J19" s="84">
        <f>38000*0.5*-1</f>
        <v>-19000</v>
      </c>
      <c r="K19" s="84"/>
    </row>
    <row r="20" spans="2:16">
      <c r="B20" s="105"/>
      <c r="C20" s="103"/>
      <c r="D20" s="111" t="s">
        <v>180</v>
      </c>
      <c r="E20" s="112"/>
      <c r="F20" s="119">
        <f>SUM(F$6:F$19)</f>
        <v>332349.08574967773</v>
      </c>
      <c r="H20" s="82" t="s">
        <v>133</v>
      </c>
      <c r="I20" s="80"/>
      <c r="J20" s="84">
        <f>'Diário de Gastos e Diversos'!G47-'Diário de Gastos e Diversos'!G49-'Diário Op. de Fim de Exercício'!G27*-1</f>
        <v>27080</v>
      </c>
      <c r="K20" s="84"/>
    </row>
    <row r="21" spans="2:16">
      <c r="B21" s="113"/>
      <c r="C21" s="114"/>
      <c r="D21" s="113"/>
      <c r="E21" s="113"/>
      <c r="F21" s="122"/>
      <c r="H21" s="82" t="s">
        <v>134</v>
      </c>
      <c r="I21" s="80"/>
      <c r="J21" s="84">
        <f>(+'Diário Op. de Fim de Exercício'!G32+'Diário Op. de Fim de Exercício'!G29+'Diário Op. de Fim de Exercício'!G24+'Diário Op. de Fim de Exercício'!G20)-'Diário Op. de Fim de Exercício'!G8</f>
        <v>4616.6666666666661</v>
      </c>
      <c r="K21" s="84"/>
      <c r="O21" s="1" t="s">
        <v>246</v>
      </c>
      <c r="P21" s="137" t="s">
        <v>247</v>
      </c>
    </row>
    <row r="22" spans="2:16" ht="15.75" thickBot="1">
      <c r="B22" s="115">
        <v>761</v>
      </c>
      <c r="C22" s="109">
        <v>64</v>
      </c>
      <c r="D22" s="110" t="s">
        <v>181</v>
      </c>
      <c r="E22" s="110" t="s">
        <v>164</v>
      </c>
      <c r="F22" s="121">
        <f>('Diário Op. de Fim de Exercício'!G6+'Diário Op. de Fim de Exercício'!G10+'Diário Op. de Fim de Exercício'!G11+'Diário Op. de Fim de Exercício'!G12+'Diário Op. de Fim de Exercício'!G14)*-1</f>
        <v>-59530.833333333328</v>
      </c>
      <c r="H22" s="82" t="s">
        <v>156</v>
      </c>
      <c r="I22" s="80"/>
      <c r="J22" s="84">
        <f>(7000)*-1-2000</f>
        <v>-9000</v>
      </c>
      <c r="K22" s="84">
        <f>-7500</f>
        <v>-7500</v>
      </c>
      <c r="O22" s="137" t="s">
        <v>56</v>
      </c>
      <c r="P22" s="137" t="s">
        <v>56</v>
      </c>
    </row>
    <row r="23" spans="2:16">
      <c r="B23" s="105"/>
      <c r="C23" s="103"/>
      <c r="D23" s="111" t="s">
        <v>182</v>
      </c>
      <c r="E23" s="101" t="s">
        <v>164</v>
      </c>
      <c r="F23" s="119">
        <f>SUM(F$20:F$22)</f>
        <v>272818.25241634442</v>
      </c>
      <c r="H23" s="82" t="s">
        <v>135</v>
      </c>
      <c r="I23" s="80"/>
      <c r="J23" s="84">
        <f>26000+P28</f>
        <v>117011</v>
      </c>
      <c r="K23" s="81">
        <v>26000</v>
      </c>
      <c r="N23" s="1" t="s">
        <v>244</v>
      </c>
      <c r="O23" s="136">
        <f>+'Diário de Compras-Vendas'!G17</f>
        <v>247968</v>
      </c>
      <c r="P23" s="136">
        <f>'Diário de Compras-Vendas'!G11</f>
        <v>110700</v>
      </c>
    </row>
    <row r="24" spans="2:16">
      <c r="B24" s="105"/>
      <c r="C24" s="103"/>
      <c r="D24" s="112"/>
      <c r="E24" s="101" t="s">
        <v>164</v>
      </c>
      <c r="F24" s="119"/>
      <c r="H24" s="82"/>
      <c r="I24" s="85"/>
      <c r="J24" s="87"/>
      <c r="K24" s="87"/>
      <c r="N24" s="1" t="s">
        <v>245</v>
      </c>
      <c r="O24" s="136">
        <f>('Diário de Gastos e Diversos'!G62+'Diário de Gastos e Diversos'!G58+'Diário de Gastos e Diversos'!G45)</f>
        <v>78000</v>
      </c>
      <c r="P24" s="136">
        <f>'Diário de Gastos e Diversos'!G18+'Diário de Gastos e Diversos'!G20+'Diário de Gastos e Diversos'!G24+'Diário de Gastos e Diversos'!G26+'Diário de Gastos e Diversos'!G30+'Diário de Gastos e Diversos'!G48+'Diário de Gastos e Diversos'!G54+'Diário de Gastos e Diversos'!G65+'Diário de Gastos e Diversos'!G68</f>
        <v>103086.7</v>
      </c>
    </row>
    <row r="25" spans="2:16" ht="15.75" thickBot="1">
      <c r="B25" s="102">
        <v>79</v>
      </c>
      <c r="C25" s="103"/>
      <c r="D25" s="101" t="s">
        <v>183</v>
      </c>
      <c r="E25" s="101" t="s">
        <v>164</v>
      </c>
      <c r="F25" s="119">
        <v>1000</v>
      </c>
      <c r="H25" s="83" t="s">
        <v>136</v>
      </c>
      <c r="I25" s="85"/>
      <c r="J25" s="88">
        <f>SUM(J13:J24)</f>
        <v>1152946.5158775481</v>
      </c>
      <c r="K25" s="89">
        <f>SUM(K13:K24)</f>
        <v>807000</v>
      </c>
      <c r="N25" s="1" t="s">
        <v>249</v>
      </c>
      <c r="P25" s="136">
        <f>'Diário Op. de Fim de Exercício'!G18+'Diário Op. de Fim de Exercício'!G26+'Diário Op. de Fim de Exercício'!G31</f>
        <v>7443.5</v>
      </c>
    </row>
    <row r="26" spans="2:16" ht="16.5" thickTop="1" thickBot="1">
      <c r="B26" s="108"/>
      <c r="C26" s="109">
        <v>69</v>
      </c>
      <c r="D26" s="110" t="s">
        <v>184</v>
      </c>
      <c r="E26" s="110" t="s">
        <v>164</v>
      </c>
      <c r="F26" s="121">
        <f>('Diário de Gastos e Diversos'!G18+'Diário Op. de Fim de Exercício'!G28)*-1-'Diário Op. de Fim de Exercício'!G28</f>
        <v>-10346.666666666668</v>
      </c>
      <c r="H26" s="82"/>
      <c r="I26" s="80"/>
      <c r="J26" s="81"/>
      <c r="K26" s="81"/>
    </row>
    <row r="27" spans="2:16">
      <c r="B27" s="105"/>
      <c r="C27" s="103"/>
      <c r="D27" s="111" t="s">
        <v>185</v>
      </c>
      <c r="E27" s="101" t="s">
        <v>164</v>
      </c>
      <c r="F27" s="119">
        <f>SUM(F$23:F$26)</f>
        <v>263471.58574967773</v>
      </c>
      <c r="H27" s="79" t="s">
        <v>137</v>
      </c>
      <c r="I27" s="80"/>
      <c r="J27" s="81"/>
      <c r="K27" s="81"/>
      <c r="O27" s="6">
        <f>+O23*(0.9)+O24</f>
        <v>301171.20000000001</v>
      </c>
      <c r="P27" s="6">
        <f>+P23*0.9+P24+P25</f>
        <v>210160.2</v>
      </c>
    </row>
    <row r="28" spans="2:16">
      <c r="B28" s="105"/>
      <c r="C28" s="103"/>
      <c r="D28" s="112"/>
      <c r="E28" s="101" t="s">
        <v>164</v>
      </c>
      <c r="F28" s="119"/>
      <c r="H28" s="82"/>
      <c r="I28" s="80"/>
      <c r="J28" s="81"/>
      <c r="K28" s="81"/>
      <c r="P28" s="6">
        <f>O27-P27</f>
        <v>91011</v>
      </c>
    </row>
    <row r="29" spans="2:16" ht="15.75" thickBot="1">
      <c r="B29" s="108"/>
      <c r="C29" s="109">
        <v>812</v>
      </c>
      <c r="D29" s="110" t="s">
        <v>196</v>
      </c>
      <c r="E29" s="110"/>
      <c r="F29" s="121">
        <f>(F27*-0.25)</f>
        <v>-65867.896437419433</v>
      </c>
      <c r="H29" s="83" t="s">
        <v>138</v>
      </c>
      <c r="I29" s="80"/>
      <c r="J29" s="81"/>
      <c r="K29" s="81"/>
    </row>
    <row r="30" spans="2:16" ht="15.75" thickBot="1">
      <c r="B30" s="108"/>
      <c r="C30" s="116"/>
      <c r="D30" s="117" t="s">
        <v>186</v>
      </c>
      <c r="E30" s="98"/>
      <c r="F30" s="121">
        <f>SUM(F$27:F$29)</f>
        <v>197603.6893122583</v>
      </c>
      <c r="H30" s="82"/>
      <c r="I30" s="80"/>
      <c r="J30" s="81"/>
      <c r="K30" s="81"/>
      <c r="P30" s="138"/>
    </row>
    <row r="31" spans="2:16">
      <c r="B31" s="114"/>
      <c r="C31" s="114"/>
      <c r="D31" s="114"/>
      <c r="E31" s="114"/>
      <c r="F31" s="114"/>
      <c r="H31" s="82" t="s">
        <v>139</v>
      </c>
      <c r="I31" s="80"/>
      <c r="J31" s="84">
        <v>600000</v>
      </c>
      <c r="K31" s="84">
        <v>600000</v>
      </c>
    </row>
    <row r="32" spans="2:16">
      <c r="B32" s="114"/>
      <c r="C32" s="114"/>
      <c r="D32" s="114"/>
      <c r="E32" s="114"/>
      <c r="F32" s="118"/>
      <c r="H32" s="82" t="s">
        <v>140</v>
      </c>
      <c r="I32" s="85"/>
      <c r="J32" s="84"/>
      <c r="K32" s="84"/>
    </row>
    <row r="33" spans="2:11">
      <c r="B33" s="114"/>
      <c r="C33" s="118"/>
      <c r="D33" s="114"/>
      <c r="E33" s="114"/>
      <c r="F33" s="114"/>
      <c r="H33" s="82" t="s">
        <v>141</v>
      </c>
      <c r="I33" s="80"/>
      <c r="J33" s="84">
        <f>10000+38000*0.05</f>
        <v>11900</v>
      </c>
      <c r="K33" s="84">
        <v>10000</v>
      </c>
    </row>
    <row r="34" spans="2:11">
      <c r="B34" s="114"/>
      <c r="C34" s="114"/>
      <c r="D34" s="114"/>
      <c r="E34" s="114"/>
      <c r="F34" s="135">
        <f>J55-J25</f>
        <v>-54502.405804699752</v>
      </c>
      <c r="H34" s="82" t="s">
        <v>142</v>
      </c>
      <c r="I34" s="80"/>
      <c r="J34" s="84">
        <f>38000*0.45</f>
        <v>17100</v>
      </c>
      <c r="K34" s="84"/>
    </row>
    <row r="35" spans="2:11">
      <c r="B35" s="114"/>
      <c r="C35" s="118"/>
      <c r="D35" s="114"/>
      <c r="E35" s="114"/>
      <c r="F35" s="127"/>
      <c r="H35" s="82" t="s">
        <v>96</v>
      </c>
      <c r="I35" s="80"/>
      <c r="J35" s="84"/>
      <c r="K35" s="84"/>
    </row>
    <row r="36" spans="2:11">
      <c r="H36" s="82" t="s">
        <v>143</v>
      </c>
      <c r="I36" s="80"/>
      <c r="J36" s="84"/>
      <c r="K36" s="84"/>
    </row>
    <row r="37" spans="2:11">
      <c r="F37" s="6"/>
      <c r="H37" s="82" t="s">
        <v>144</v>
      </c>
      <c r="I37" s="80"/>
      <c r="J37" s="81"/>
      <c r="K37" s="81"/>
    </row>
    <row r="38" spans="2:11">
      <c r="F38" s="6"/>
      <c r="G38" s="6"/>
      <c r="H38" s="82"/>
      <c r="I38" s="80"/>
      <c r="J38" s="90"/>
      <c r="K38" s="90">
        <v>38000</v>
      </c>
    </row>
    <row r="39" spans="2:11">
      <c r="H39" s="82" t="s">
        <v>145</v>
      </c>
      <c r="I39" s="80"/>
      <c r="J39" s="91">
        <f>F30</f>
        <v>197603.6893122583</v>
      </c>
      <c r="K39" s="91"/>
    </row>
    <row r="40" spans="2:11">
      <c r="H40" s="83" t="s">
        <v>146</v>
      </c>
      <c r="I40" s="80"/>
      <c r="J40" s="86">
        <f>SUM(J31:J39)</f>
        <v>826603.68931225827</v>
      </c>
      <c r="K40" s="86">
        <f>SUM(K31:K39)</f>
        <v>648000</v>
      </c>
    </row>
    <row r="41" spans="2:11">
      <c r="H41" s="79" t="s">
        <v>147</v>
      </c>
      <c r="I41" s="80"/>
      <c r="J41" s="81"/>
      <c r="K41" s="81"/>
    </row>
    <row r="42" spans="2:11">
      <c r="H42" s="83" t="s">
        <v>89</v>
      </c>
      <c r="I42" s="80"/>
      <c r="J42" s="81"/>
      <c r="K42" s="81"/>
    </row>
    <row r="43" spans="2:11">
      <c r="H43" s="82" t="s">
        <v>148</v>
      </c>
      <c r="I43" s="80"/>
      <c r="J43" s="81"/>
      <c r="K43" s="81"/>
    </row>
    <row r="44" spans="2:11">
      <c r="H44" s="82" t="s">
        <v>149</v>
      </c>
      <c r="I44" s="80"/>
      <c r="J44" s="81">
        <v>80000</v>
      </c>
      <c r="K44" s="81">
        <v>80000</v>
      </c>
    </row>
    <row r="45" spans="2:11">
      <c r="H45" s="82" t="s">
        <v>92</v>
      </c>
      <c r="I45" s="85"/>
      <c r="J45" s="92"/>
      <c r="K45" s="92"/>
    </row>
    <row r="46" spans="2:11">
      <c r="H46" s="82"/>
      <c r="I46" s="85"/>
      <c r="J46" s="87">
        <f>SUM(J43:J45)</f>
        <v>80000</v>
      </c>
      <c r="K46" s="87">
        <f>SUM(K43:K45)</f>
        <v>80000</v>
      </c>
    </row>
    <row r="47" spans="2:11">
      <c r="H47" s="83" t="s">
        <v>120</v>
      </c>
      <c r="I47" s="85"/>
      <c r="J47" s="93"/>
      <c r="K47" s="93"/>
    </row>
    <row r="48" spans="2:11">
      <c r="H48" s="82" t="s">
        <v>90</v>
      </c>
      <c r="I48" s="85"/>
      <c r="J48" s="93"/>
      <c r="K48" s="93">
        <v>62500</v>
      </c>
    </row>
    <row r="49" spans="8:11">
      <c r="H49" s="82" t="s">
        <v>91</v>
      </c>
      <c r="I49" s="85"/>
      <c r="J49" s="93">
        <f>(F29*-1)+'Apuramento do IVA'!E16+'Diário de Gastos e Diversos'!G8+'Diário de Gastos e Diversos'!G9+'Diário de Gastos e Diversos'!G10+'Diário de Gastos e Diversos'!G11+'Diário de Gastos e Diversos'!G42+'Diário de Gastos e Diversos'!G60+'Diário de Gastos e Diversos'!G15+'Diário de Gastos e Diversos'!G16</f>
        <v>190340.42076059018</v>
      </c>
      <c r="K49" s="93"/>
    </row>
    <row r="50" spans="8:11">
      <c r="H50" s="82" t="s">
        <v>134</v>
      </c>
      <c r="I50" s="85"/>
      <c r="J50" s="93"/>
      <c r="K50" s="93"/>
    </row>
    <row r="51" spans="8:11">
      <c r="H51" s="82" t="s">
        <v>92</v>
      </c>
      <c r="I51" s="85"/>
      <c r="J51" s="93"/>
      <c r="K51" s="93">
        <v>15000</v>
      </c>
    </row>
    <row r="52" spans="8:11">
      <c r="H52" s="82" t="s">
        <v>150</v>
      </c>
      <c r="I52" s="85"/>
      <c r="J52" s="93">
        <v>1500</v>
      </c>
      <c r="K52" s="93">
        <v>1500</v>
      </c>
    </row>
    <row r="53" spans="8:11">
      <c r="H53" s="82"/>
      <c r="I53" s="85"/>
      <c r="J53" s="87">
        <f>SUM(J48:J52)</f>
        <v>191840.42076059018</v>
      </c>
      <c r="K53" s="87">
        <f>SUM(K48:K52)</f>
        <v>79000</v>
      </c>
    </row>
    <row r="54" spans="8:11">
      <c r="H54" s="82" t="s">
        <v>151</v>
      </c>
      <c r="I54" s="85"/>
      <c r="J54" s="87">
        <f>J53+J46</f>
        <v>271840.42076059018</v>
      </c>
      <c r="K54" s="87">
        <f>K53+K46</f>
        <v>159000</v>
      </c>
    </row>
    <row r="55" spans="8:11" ht="15.75" thickBot="1">
      <c r="H55" s="82" t="s">
        <v>152</v>
      </c>
      <c r="I55" s="85"/>
      <c r="J55" s="88">
        <f>J54+J40</f>
        <v>1098444.1100728484</v>
      </c>
      <c r="K55" s="88">
        <f>K54+K40</f>
        <v>807000</v>
      </c>
    </row>
    <row r="56" spans="8:11" ht="16.5" thickTop="1" thickBot="1">
      <c r="H56" s="94"/>
      <c r="I56" s="95"/>
      <c r="J56" s="96"/>
      <c r="K56" s="96"/>
    </row>
    <row r="57" spans="8:11">
      <c r="H57" s="192" t="s">
        <v>250</v>
      </c>
      <c r="I57" s="193"/>
      <c r="J57" s="193"/>
      <c r="K57" s="194"/>
    </row>
    <row r="58" spans="8:11" ht="15.75" thickBot="1">
      <c r="H58" s="195"/>
      <c r="I58" s="196"/>
      <c r="J58" s="196"/>
      <c r="K58" s="197"/>
    </row>
    <row r="59" spans="8:11">
      <c r="H59" s="77"/>
      <c r="I59" s="78"/>
      <c r="J59" s="78"/>
      <c r="K59" s="78"/>
    </row>
    <row r="60" spans="8:11">
      <c r="H60" s="77"/>
      <c r="I60" s="78"/>
      <c r="J60" s="78"/>
      <c r="K60" s="78"/>
    </row>
    <row r="61" spans="8:11">
      <c r="H61" s="77"/>
      <c r="I61" s="78"/>
      <c r="J61" s="78"/>
      <c r="K61" s="78"/>
    </row>
    <row r="62" spans="8:11">
      <c r="H62" s="77"/>
      <c r="I62" s="78"/>
      <c r="J62" s="78"/>
      <c r="K62" s="78"/>
    </row>
    <row r="63" spans="8:11">
      <c r="H63" s="77"/>
      <c r="I63" s="78"/>
      <c r="J63" s="78"/>
      <c r="K63" s="78"/>
    </row>
    <row r="64" spans="8:11">
      <c r="H64" s="78"/>
      <c r="I64" s="78"/>
      <c r="J64" s="78"/>
      <c r="K64" s="78"/>
    </row>
    <row r="65" spans="8:11">
      <c r="H65" s="78"/>
      <c r="I65" s="78"/>
      <c r="J65" s="78"/>
      <c r="K65" s="78"/>
    </row>
    <row r="66" spans="8:11">
      <c r="H66" s="78"/>
      <c r="I66" s="78"/>
      <c r="J66" s="78"/>
      <c r="K66" s="78"/>
    </row>
    <row r="67" spans="8:11">
      <c r="H67" s="78"/>
      <c r="I67" s="78"/>
      <c r="J67" s="78"/>
      <c r="K67" s="78"/>
    </row>
    <row r="68" spans="8:11">
      <c r="H68" s="78"/>
      <c r="I68" s="78"/>
      <c r="J68" s="78"/>
      <c r="K68" s="78"/>
    </row>
    <row r="69" spans="8:11">
      <c r="H69" s="78"/>
      <c r="I69" s="78"/>
      <c r="J69" s="78"/>
      <c r="K69" s="78"/>
    </row>
    <row r="70" spans="8:11">
      <c r="H70" s="78"/>
      <c r="I70" s="78"/>
      <c r="J70" s="78"/>
      <c r="K70" s="78"/>
    </row>
    <row r="71" spans="8:11">
      <c r="H71" s="78"/>
      <c r="I71" s="78"/>
      <c r="J71" s="78"/>
      <c r="K71" s="78"/>
    </row>
    <row r="72" spans="8:11">
      <c r="H72" s="78"/>
      <c r="I72" s="78"/>
      <c r="J72" s="78"/>
      <c r="K72" s="78"/>
    </row>
    <row r="73" spans="8:11">
      <c r="H73" s="78"/>
      <c r="I73" s="78"/>
      <c r="J73" s="78"/>
      <c r="K73" s="78"/>
    </row>
    <row r="74" spans="8:11">
      <c r="H74" s="78"/>
      <c r="I74" s="78"/>
      <c r="J74" s="78"/>
      <c r="K74" s="78"/>
    </row>
    <row r="75" spans="8:11">
      <c r="H75" s="78"/>
      <c r="I75" s="78"/>
      <c r="J75" s="78"/>
      <c r="K75" s="78"/>
    </row>
    <row r="76" spans="8:11">
      <c r="H76" s="78"/>
      <c r="I76" s="78"/>
      <c r="J76" s="78"/>
      <c r="K76" s="78"/>
    </row>
    <row r="77" spans="8:11">
      <c r="H77" s="78"/>
      <c r="I77" s="78"/>
      <c r="J77" s="78"/>
      <c r="K77" s="78"/>
    </row>
    <row r="78" spans="8:11">
      <c r="H78" s="78"/>
      <c r="I78" s="78"/>
      <c r="J78" s="78"/>
      <c r="K78" s="78"/>
    </row>
    <row r="79" spans="8:11">
      <c r="H79" s="78"/>
      <c r="I79" s="78"/>
      <c r="J79" s="78"/>
      <c r="K79" s="78"/>
    </row>
    <row r="80" spans="8:11">
      <c r="H80" s="78"/>
      <c r="I80" s="78"/>
      <c r="J80" s="78"/>
      <c r="K80" s="78"/>
    </row>
    <row r="81" spans="8:11">
      <c r="H81" s="78"/>
      <c r="I81" s="78"/>
      <c r="J81" s="78"/>
      <c r="K81" s="78"/>
    </row>
    <row r="82" spans="8:11">
      <c r="H82" s="78"/>
      <c r="I82" s="78"/>
      <c r="J82" s="78"/>
      <c r="K82" s="78"/>
    </row>
    <row r="83" spans="8:11">
      <c r="H83" s="78"/>
      <c r="I83" s="78"/>
      <c r="J83" s="78"/>
      <c r="K83" s="78"/>
    </row>
    <row r="84" spans="8:11">
      <c r="H84" s="78"/>
      <c r="I84" s="78"/>
      <c r="J84" s="78"/>
      <c r="K84" s="78"/>
    </row>
    <row r="85" spans="8:11">
      <c r="H85" s="78"/>
      <c r="I85" s="78"/>
      <c r="J85" s="78"/>
      <c r="K85" s="78"/>
    </row>
    <row r="86" spans="8:11">
      <c r="H86" s="78"/>
      <c r="I86" s="78"/>
      <c r="J86" s="78"/>
      <c r="K86" s="78"/>
    </row>
    <row r="87" spans="8:11">
      <c r="H87" s="78"/>
      <c r="I87" s="78"/>
      <c r="J87" s="78"/>
      <c r="K87" s="78"/>
    </row>
    <row r="88" spans="8:11">
      <c r="H88" s="78"/>
      <c r="I88" s="78"/>
      <c r="J88" s="78"/>
      <c r="K88" s="78"/>
    </row>
    <row r="89" spans="8:11">
      <c r="H89" s="78"/>
      <c r="I89" s="78"/>
      <c r="J89" s="78"/>
      <c r="K89" s="78"/>
    </row>
    <row r="90" spans="8:11">
      <c r="H90" s="78"/>
      <c r="I90" s="78"/>
      <c r="J90" s="78"/>
      <c r="K90" s="78"/>
    </row>
    <row r="91" spans="8:11">
      <c r="H91" s="78"/>
      <c r="I91" s="78"/>
      <c r="J91" s="78"/>
      <c r="K91" s="78"/>
    </row>
    <row r="92" spans="8:11">
      <c r="H92" s="78"/>
      <c r="I92" s="78"/>
      <c r="J92" s="78"/>
      <c r="K92" s="78"/>
    </row>
    <row r="93" spans="8:11">
      <c r="H93" s="78"/>
      <c r="I93" s="78"/>
      <c r="J93" s="78"/>
      <c r="K93" s="78"/>
    </row>
  </sheetData>
  <mergeCells count="10">
    <mergeCell ref="B2:F3"/>
    <mergeCell ref="H2:K3"/>
    <mergeCell ref="H57:K58"/>
    <mergeCell ref="E4:E5"/>
    <mergeCell ref="D4:D5"/>
    <mergeCell ref="B4:C4"/>
    <mergeCell ref="H4:H5"/>
    <mergeCell ref="J4:K4"/>
    <mergeCell ref="I4:I5"/>
    <mergeCell ref="F4:F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F16"/>
  <sheetViews>
    <sheetView workbookViewId="0">
      <selection sqref="A1:XFD1048576"/>
    </sheetView>
  </sheetViews>
  <sheetFormatPr defaultRowHeight="15"/>
  <cols>
    <col min="1" max="1" width="9.140625" style="1"/>
    <col min="2" max="2" width="12.5703125" style="1" customWidth="1"/>
    <col min="3" max="3" width="9.140625" style="1" customWidth="1"/>
    <col min="4" max="4" width="9.140625" style="1"/>
    <col min="5" max="6" width="13.140625" style="1" bestFit="1" customWidth="1"/>
    <col min="7" max="16384" width="9.140625" style="1"/>
  </cols>
  <sheetData>
    <row r="1" spans="2:6" ht="15.75" thickBot="1"/>
    <row r="2" spans="2:6">
      <c r="B2" s="148" t="s">
        <v>113</v>
      </c>
      <c r="C2" s="149"/>
      <c r="D2" s="149"/>
      <c r="E2" s="150"/>
    </row>
    <row r="3" spans="2:6" ht="15.75" thickBot="1">
      <c r="B3" s="151"/>
      <c r="C3" s="152"/>
      <c r="D3" s="152"/>
      <c r="E3" s="153"/>
    </row>
    <row r="4" spans="2:6" ht="15.75" thickBot="1">
      <c r="B4" s="48" t="s">
        <v>2</v>
      </c>
      <c r="C4" s="48" t="s">
        <v>3</v>
      </c>
      <c r="D4" s="48" t="s">
        <v>4</v>
      </c>
      <c r="E4" s="49" t="s">
        <v>5</v>
      </c>
    </row>
    <row r="5" spans="2:6" ht="15" customHeight="1">
      <c r="B5" s="206" t="s">
        <v>109</v>
      </c>
      <c r="C5" s="37" t="s">
        <v>7</v>
      </c>
      <c r="D5" s="37" t="s">
        <v>216</v>
      </c>
      <c r="E5" s="38">
        <f>'Diário de Compras-Vendas'!G13+'Diário de Compras-Vendas'!G24+'Diário de Compras-Vendas'!G43</f>
        <v>62790</v>
      </c>
      <c r="F5" s="6"/>
    </row>
    <row r="6" spans="2:6">
      <c r="B6" s="207"/>
      <c r="C6" s="39" t="s">
        <v>7</v>
      </c>
      <c r="D6" s="39" t="s">
        <v>209</v>
      </c>
      <c r="E6" s="40">
        <f>'Diário de Gastos e Diversos'!G21+'Diário de Gastos e Diversos'!G27</f>
        <v>852.68292682926835</v>
      </c>
      <c r="F6" s="6"/>
    </row>
    <row r="7" spans="2:6">
      <c r="B7" s="207"/>
      <c r="C7" s="39" t="s">
        <v>7</v>
      </c>
      <c r="D7" s="39" t="s">
        <v>200</v>
      </c>
      <c r="E7" s="40">
        <f>+'Diário de Gastos e Diversos'!G50+'Diário de Gastos e Diversos'!G56</f>
        <v>1363.9</v>
      </c>
      <c r="F7" s="6"/>
    </row>
    <row r="8" spans="2:6">
      <c r="B8" s="207"/>
      <c r="C8" s="39" t="s">
        <v>7</v>
      </c>
      <c r="D8" s="39" t="s">
        <v>226</v>
      </c>
      <c r="E8" s="40">
        <f>+'Diário de Compras-Vendas'!G38</f>
        <v>2070</v>
      </c>
      <c r="F8" s="6"/>
    </row>
    <row r="9" spans="2:6">
      <c r="B9" s="207"/>
      <c r="C9" s="39" t="s">
        <v>7</v>
      </c>
      <c r="D9" s="39" t="s">
        <v>229</v>
      </c>
      <c r="E9" s="40">
        <f>+'Diário de Compras-Vendas'!G58</f>
        <v>7429</v>
      </c>
      <c r="F9" s="6"/>
    </row>
    <row r="10" spans="2:6">
      <c r="B10" s="207"/>
      <c r="C10" s="2" t="s">
        <v>218</v>
      </c>
      <c r="D10" s="2" t="s">
        <v>7</v>
      </c>
      <c r="E10" s="40">
        <f>+'Diário de Compras-Vendas'!G19+'Diário de Compras-Vendas'!G34+'Diário de Compras-Vendas'!G55</f>
        <v>151708</v>
      </c>
      <c r="F10" s="6"/>
    </row>
    <row r="11" spans="2:6">
      <c r="B11" s="207"/>
      <c r="C11" s="2" t="s">
        <v>224</v>
      </c>
      <c r="D11" s="2" t="s">
        <v>7</v>
      </c>
      <c r="E11" s="40">
        <f>+'Diário de Compras-Vendas'!G30</f>
        <v>19.107250000000001</v>
      </c>
      <c r="F11" s="6"/>
    </row>
    <row r="12" spans="2:6">
      <c r="B12" s="207"/>
      <c r="C12" s="2" t="s">
        <v>226</v>
      </c>
      <c r="D12" s="2" t="s">
        <v>7</v>
      </c>
      <c r="E12" s="40">
        <f>+'Diário de Compras-Vendas'!G46</f>
        <v>10143</v>
      </c>
      <c r="F12" s="6"/>
    </row>
    <row r="13" spans="2:6" ht="15.75" thickBot="1">
      <c r="B13" s="208"/>
      <c r="C13" s="129" t="s">
        <v>229</v>
      </c>
      <c r="D13" s="75" t="s">
        <v>7</v>
      </c>
      <c r="E13" s="41">
        <f>+'Diário de Compras-Vendas'!G50</f>
        <v>483</v>
      </c>
      <c r="F13" s="6"/>
    </row>
    <row r="14" spans="2:6">
      <c r="B14" s="206" t="s">
        <v>83</v>
      </c>
      <c r="C14" s="128" t="s">
        <v>238</v>
      </c>
      <c r="D14" s="4" t="s">
        <v>7</v>
      </c>
      <c r="E14" s="38">
        <f>SUM(E5:E9)</f>
        <v>74505.582926829273</v>
      </c>
      <c r="F14" s="6"/>
    </row>
    <row r="15" spans="2:6" ht="15.75" thickBot="1">
      <c r="B15" s="209"/>
      <c r="C15" s="42" t="s">
        <v>7</v>
      </c>
      <c r="D15" s="3" t="s">
        <v>238</v>
      </c>
      <c r="E15" s="43">
        <f>SUM(E10:E13)</f>
        <v>162353.10725</v>
      </c>
      <c r="F15" s="6"/>
    </row>
    <row r="16" spans="2:6" ht="30.75" thickBot="1">
      <c r="B16" s="46" t="s">
        <v>197</v>
      </c>
      <c r="C16" s="44" t="s">
        <v>239</v>
      </c>
      <c r="D16" s="32" t="s">
        <v>56</v>
      </c>
      <c r="E16" s="45">
        <f>E15-E14</f>
        <v>87847.524323170728</v>
      </c>
      <c r="F16" s="6"/>
    </row>
  </sheetData>
  <mergeCells count="3">
    <mergeCell ref="B5:B13"/>
    <mergeCell ref="B14:B15"/>
    <mergeCell ref="B2:E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K21"/>
  <sheetViews>
    <sheetView zoomScaleNormal="100" workbookViewId="0">
      <selection sqref="A1:XFD1048576"/>
    </sheetView>
  </sheetViews>
  <sheetFormatPr defaultRowHeight="15"/>
  <cols>
    <col min="1" max="1" width="1.5703125" style="1" customWidth="1"/>
    <col min="2" max="2" width="20.7109375" style="1" bestFit="1" customWidth="1"/>
    <col min="3" max="11" width="13.140625" style="50" customWidth="1"/>
    <col min="12" max="12" width="12.140625" style="1" bestFit="1" customWidth="1"/>
    <col min="13" max="16384" width="9.140625" style="1"/>
  </cols>
  <sheetData>
    <row r="1" spans="2:11" ht="15.75" thickBot="1"/>
    <row r="2" spans="2:11" ht="15" customHeight="1">
      <c r="C2" s="148" t="s">
        <v>125</v>
      </c>
      <c r="D2" s="184"/>
      <c r="E2" s="184"/>
      <c r="F2" s="184"/>
      <c r="G2" s="184"/>
      <c r="H2" s="184"/>
      <c r="I2" s="184"/>
      <c r="J2" s="184"/>
      <c r="K2" s="185"/>
    </row>
    <row r="3" spans="2:11" ht="15.75" thickBot="1">
      <c r="C3" s="189"/>
      <c r="D3" s="190"/>
      <c r="E3" s="190"/>
      <c r="F3" s="190"/>
      <c r="G3" s="190"/>
      <c r="H3" s="190"/>
      <c r="I3" s="190"/>
      <c r="J3" s="190"/>
      <c r="K3" s="191"/>
    </row>
    <row r="4" spans="2:11">
      <c r="B4" s="51"/>
      <c r="C4" s="210" t="s">
        <v>46</v>
      </c>
      <c r="D4" s="211"/>
      <c r="E4" s="212"/>
      <c r="F4" s="213" t="s">
        <v>47</v>
      </c>
      <c r="G4" s="211"/>
      <c r="H4" s="212"/>
      <c r="I4" s="210" t="s">
        <v>48</v>
      </c>
      <c r="J4" s="211"/>
      <c r="K4" s="212"/>
    </row>
    <row r="5" spans="2:11" ht="15.75" thickBot="1">
      <c r="B5" s="51"/>
      <c r="C5" s="47" t="s">
        <v>44</v>
      </c>
      <c r="D5" s="52" t="s">
        <v>45</v>
      </c>
      <c r="E5" s="53" t="s">
        <v>5</v>
      </c>
      <c r="F5" s="54" t="s">
        <v>44</v>
      </c>
      <c r="G5" s="52" t="s">
        <v>45</v>
      </c>
      <c r="H5" s="53" t="s">
        <v>5</v>
      </c>
      <c r="I5" s="47" t="s">
        <v>44</v>
      </c>
      <c r="J5" s="52" t="s">
        <v>45</v>
      </c>
      <c r="K5" s="53" t="s">
        <v>5</v>
      </c>
    </row>
    <row r="6" spans="2:11" ht="15.75" thickBot="1">
      <c r="B6" s="58" t="s">
        <v>114</v>
      </c>
      <c r="C6" s="21"/>
      <c r="D6" s="22"/>
      <c r="E6" s="23"/>
      <c r="F6" s="24"/>
      <c r="G6" s="22"/>
      <c r="H6" s="25"/>
      <c r="I6" s="26">
        <v>18000</v>
      </c>
      <c r="J6" s="27">
        <v>3</v>
      </c>
      <c r="K6" s="28">
        <f>J6*I6</f>
        <v>54000</v>
      </c>
    </row>
    <row r="7" spans="2:11">
      <c r="B7" s="55" t="s">
        <v>8</v>
      </c>
      <c r="C7" s="11">
        <v>25000</v>
      </c>
      <c r="D7" s="9">
        <v>4</v>
      </c>
      <c r="E7" s="12">
        <f>D7*C7</f>
        <v>100000</v>
      </c>
      <c r="F7" s="10"/>
      <c r="G7" s="8"/>
      <c r="H7" s="16"/>
      <c r="I7" s="20">
        <f>I6+C7</f>
        <v>43000</v>
      </c>
      <c r="J7" s="9">
        <f>(K6+E7)/I7</f>
        <v>3.5813953488372094</v>
      </c>
      <c r="K7" s="12">
        <f>J7*I7</f>
        <v>154000</v>
      </c>
    </row>
    <row r="8" spans="2:11">
      <c r="B8" s="55" t="s">
        <v>10</v>
      </c>
      <c r="C8" s="11"/>
      <c r="D8" s="9"/>
      <c r="E8" s="12">
        <f t="shared" ref="E8:E16" si="0">D8*C8</f>
        <v>0</v>
      </c>
      <c r="F8" s="10">
        <v>28000</v>
      </c>
      <c r="G8" s="9">
        <f>J7</f>
        <v>3.5813953488372094</v>
      </c>
      <c r="H8" s="16">
        <f>G8*F8</f>
        <v>100279.06976744186</v>
      </c>
      <c r="I8" s="11">
        <f>I7-F8</f>
        <v>15000</v>
      </c>
      <c r="J8" s="9">
        <f>J7</f>
        <v>3.5813953488372094</v>
      </c>
      <c r="K8" s="12">
        <f>J8*I8</f>
        <v>53720.930232558145</v>
      </c>
    </row>
    <row r="9" spans="2:11">
      <c r="B9" s="55" t="s">
        <v>11</v>
      </c>
      <c r="C9" s="11">
        <v>12000</v>
      </c>
      <c r="D9" s="9">
        <v>3</v>
      </c>
      <c r="E9" s="12">
        <f t="shared" si="0"/>
        <v>36000</v>
      </c>
      <c r="F9" s="10"/>
      <c r="G9" s="8"/>
      <c r="H9" s="16">
        <f t="shared" ref="H9:H16" si="1">G9*F9</f>
        <v>0</v>
      </c>
      <c r="I9" s="20">
        <f>I8+C9</f>
        <v>27000</v>
      </c>
      <c r="J9" s="9">
        <f>(K8+E9)/I9</f>
        <v>3.3229974160206717</v>
      </c>
      <c r="K9" s="12">
        <f t="shared" ref="K9:K16" si="2">J9*I9</f>
        <v>89720.930232558138</v>
      </c>
    </row>
    <row r="10" spans="2:11">
      <c r="B10" s="55" t="s">
        <v>33</v>
      </c>
      <c r="C10" s="11"/>
      <c r="D10" s="9"/>
      <c r="E10" s="12">
        <f t="shared" si="0"/>
        <v>0</v>
      </c>
      <c r="F10" s="10">
        <v>25</v>
      </c>
      <c r="G10" s="9">
        <f>J9</f>
        <v>3.3229974160206717</v>
      </c>
      <c r="H10" s="16">
        <f t="shared" si="1"/>
        <v>83.074935400516793</v>
      </c>
      <c r="I10" s="11">
        <f>I9-F10</f>
        <v>26975</v>
      </c>
      <c r="J10" s="9">
        <f>J9</f>
        <v>3.3229974160206717</v>
      </c>
      <c r="K10" s="12">
        <f t="shared" si="2"/>
        <v>89637.855297157614</v>
      </c>
    </row>
    <row r="11" spans="2:11">
      <c r="B11" s="55" t="s">
        <v>12</v>
      </c>
      <c r="C11" s="11"/>
      <c r="D11" s="9"/>
      <c r="E11" s="12">
        <f t="shared" si="0"/>
        <v>0</v>
      </c>
      <c r="F11" s="10">
        <v>15000</v>
      </c>
      <c r="G11" s="9">
        <f>G10</f>
        <v>3.3229974160206717</v>
      </c>
      <c r="H11" s="16">
        <f t="shared" si="1"/>
        <v>49844.961240310076</v>
      </c>
      <c r="I11" s="11">
        <f>I10-F11</f>
        <v>11975</v>
      </c>
      <c r="J11" s="9">
        <f>J10</f>
        <v>3.3229974160206717</v>
      </c>
      <c r="K11" s="12">
        <f t="shared" si="2"/>
        <v>39792.894056847545</v>
      </c>
    </row>
    <row r="12" spans="2:11">
      <c r="B12" s="55" t="s">
        <v>12</v>
      </c>
      <c r="C12" s="11">
        <v>1000</v>
      </c>
      <c r="D12" s="9">
        <v>3.323</v>
      </c>
      <c r="E12" s="12">
        <f t="shared" si="0"/>
        <v>3323</v>
      </c>
      <c r="F12" s="10"/>
      <c r="G12" s="8"/>
      <c r="H12" s="16">
        <f t="shared" si="1"/>
        <v>0</v>
      </c>
      <c r="I12" s="11">
        <f>I11+C12</f>
        <v>12975</v>
      </c>
      <c r="J12" s="9">
        <f>J11</f>
        <v>3.3229974160206717</v>
      </c>
      <c r="K12" s="12">
        <f t="shared" si="2"/>
        <v>43115.891472868214</v>
      </c>
    </row>
    <row r="13" spans="2:11">
      <c r="B13" s="55" t="s">
        <v>13</v>
      </c>
      <c r="C13" s="11">
        <v>42000</v>
      </c>
      <c r="D13" s="9">
        <v>3.5</v>
      </c>
      <c r="E13" s="12">
        <f t="shared" si="0"/>
        <v>147000</v>
      </c>
      <c r="F13" s="10"/>
      <c r="G13" s="8"/>
      <c r="H13" s="16">
        <f t="shared" si="1"/>
        <v>0</v>
      </c>
      <c r="I13" s="11">
        <f>I12+C13</f>
        <v>54975</v>
      </c>
      <c r="J13" s="9">
        <f>(K12+E13)/I13</f>
        <v>3.4582244924578118</v>
      </c>
      <c r="K13" s="12">
        <f t="shared" si="2"/>
        <v>190115.89147286821</v>
      </c>
    </row>
    <row r="14" spans="2:11" ht="30" customHeight="1">
      <c r="B14" s="56" t="s">
        <v>50</v>
      </c>
      <c r="C14" s="11"/>
      <c r="D14" s="8"/>
      <c r="E14" s="12">
        <f t="shared" si="0"/>
        <v>0</v>
      </c>
      <c r="F14" s="10"/>
      <c r="G14" s="8">
        <v>0</v>
      </c>
      <c r="H14" s="16">
        <f>0.3*E13</f>
        <v>44100</v>
      </c>
      <c r="I14" s="11">
        <f>I13+C14</f>
        <v>54975</v>
      </c>
      <c r="J14" s="9">
        <f>(K13-H14)/I14</f>
        <v>2.6560416820894628</v>
      </c>
      <c r="K14" s="12">
        <f t="shared" si="2"/>
        <v>146015.89147286821</v>
      </c>
    </row>
    <row r="15" spans="2:11" ht="30" customHeight="1">
      <c r="B15" s="56" t="s">
        <v>52</v>
      </c>
      <c r="C15" s="11"/>
      <c r="D15" s="8"/>
      <c r="E15" s="12">
        <f t="shared" si="0"/>
        <v>0</v>
      </c>
      <c r="F15" s="10">
        <v>600</v>
      </c>
      <c r="G15" s="9">
        <f>J13</f>
        <v>3.4582244924578118</v>
      </c>
      <c r="H15" s="16">
        <f t="shared" si="1"/>
        <v>2074.934695474687</v>
      </c>
      <c r="I15" s="11">
        <f>I14-F15</f>
        <v>54375</v>
      </c>
      <c r="J15" s="9">
        <f>J14</f>
        <v>2.6560416820894628</v>
      </c>
      <c r="K15" s="12">
        <f t="shared" si="2"/>
        <v>144422.26646361453</v>
      </c>
    </row>
    <row r="16" spans="2:11" ht="15.75" thickBot="1">
      <c r="B16" s="57" t="s">
        <v>51</v>
      </c>
      <c r="C16" s="13"/>
      <c r="D16" s="14"/>
      <c r="E16" s="15">
        <f t="shared" si="0"/>
        <v>0</v>
      </c>
      <c r="F16" s="17">
        <v>38000</v>
      </c>
      <c r="G16" s="18">
        <f>J14</f>
        <v>2.6560416820894628</v>
      </c>
      <c r="H16" s="19">
        <f t="shared" si="1"/>
        <v>100929.58391939959</v>
      </c>
      <c r="I16" s="13">
        <f>I15-F16</f>
        <v>16375</v>
      </c>
      <c r="J16" s="18">
        <f>J15</f>
        <v>2.6560416820894628</v>
      </c>
      <c r="K16" s="15">
        <f t="shared" si="2"/>
        <v>43492.682544214957</v>
      </c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  <row r="20" spans="3:11">
      <c r="C20" s="1"/>
      <c r="D20" s="1"/>
      <c r="E20" s="1"/>
      <c r="F20" s="1"/>
      <c r="G20" s="1"/>
      <c r="H20" s="1"/>
      <c r="I20" s="1"/>
      <c r="J20" s="1"/>
      <c r="K20" s="1"/>
    </row>
    <row r="21" spans="3:11">
      <c r="C21" s="1"/>
      <c r="D21" s="1"/>
      <c r="E21" s="1"/>
      <c r="F21" s="1"/>
      <c r="G21" s="1"/>
      <c r="H21" s="1"/>
      <c r="I21" s="1"/>
      <c r="J21" s="1"/>
      <c r="K21" s="1"/>
    </row>
  </sheetData>
  <mergeCells count="4">
    <mergeCell ref="C4:E4"/>
    <mergeCell ref="F4:H4"/>
    <mergeCell ref="I4:K4"/>
    <mergeCell ref="C2:K3"/>
  </mergeCell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I8:I9 H14 J8:J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6</vt:i4>
      </vt:variant>
    </vt:vector>
  </HeadingPairs>
  <TitlesOfParts>
    <vt:vector size="6" baseType="lpstr">
      <vt:lpstr>Diário de Compras-Vendas</vt:lpstr>
      <vt:lpstr>Diário de Gastos e Diversos</vt:lpstr>
      <vt:lpstr>Diário Op. de Fim de Exercício</vt:lpstr>
      <vt:lpstr>Balanço e Demons. Resultados</vt:lpstr>
      <vt:lpstr>Apuramento do IVA</vt:lpstr>
      <vt:lpstr>Ficha de Valorimetria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2012-06-13T23:22:30Z</dcterms:modified>
</cp:coreProperties>
</file>