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5600" windowHeight="7995"/>
  </bookViews>
  <sheets>
    <sheet name="Programa de Invest" sheetId="8" r:id="rId1"/>
    <sheet name="VAL Unica Sem Inflação" sheetId="4" r:id="rId2"/>
    <sheet name="Multipla sem inflação" sheetId="7" r:id="rId3"/>
    <sheet name="Classificação VAL CIP " sheetId="12" r:id="rId4"/>
    <sheet name="VAR(X) e DP" sheetId="14" r:id="rId5"/>
    <sheet name="Classificação VAL CIP 2 (2)" sheetId="10" state="hidden" r:id="rId6"/>
    <sheet name="Resumo Geral" sheetId="13" r:id="rId7"/>
  </sheets>
  <externalReferences>
    <externalReference r:id="rId8"/>
    <externalReference r:id="rId9"/>
    <externalReference r:id="rId10"/>
  </externalReferences>
  <definedNames>
    <definedName name="_xlnm._FilterDatabase" localSheetId="5" hidden="1">'Classificação VAL CIP 2 (2)'!$B$44:$I$53</definedName>
    <definedName name="_xlnm.Print_Area" localSheetId="3">'Classificação VAL CIP '!$A$1:$P$55</definedName>
    <definedName name="_xlnm.Print_Area" localSheetId="0">'Programa de Invest'!$A$1:$L$71</definedName>
    <definedName name="_xlnm.Print_Area" localSheetId="6">'Resumo Geral'!$A$1:$Q$50</definedName>
    <definedName name="_xlnm.Print_Area" localSheetId="4">'VAR(X) e DP'!$A$1:$L$100</definedName>
  </definedNames>
  <calcPr calcId="145621"/>
</workbook>
</file>

<file path=xl/calcChain.xml><?xml version="1.0" encoding="utf-8"?>
<calcChain xmlns="http://schemas.openxmlformats.org/spreadsheetml/2006/main">
  <c r="H38" i="13" l="1"/>
  <c r="G38" i="13"/>
  <c r="B27" i="13"/>
  <c r="B26" i="13"/>
  <c r="B25" i="13"/>
  <c r="E38" i="13" s="1"/>
  <c r="J11" i="13" l="1"/>
  <c r="D20" i="13" l="1"/>
  <c r="E25" i="13" s="1"/>
  <c r="N11" i="13"/>
  <c r="L18" i="13"/>
  <c r="M26" i="13" s="1"/>
  <c r="L17" i="13"/>
  <c r="M27" i="13" s="1"/>
  <c r="L16" i="13"/>
  <c r="L15" i="13"/>
  <c r="L14" i="13"/>
  <c r="L13" i="13"/>
  <c r="L12" i="13"/>
  <c r="L11" i="13"/>
  <c r="K11" i="13"/>
  <c r="H11" i="13"/>
  <c r="D19" i="13"/>
  <c r="D18" i="13"/>
  <c r="E26" i="13" s="1"/>
  <c r="D17" i="13"/>
  <c r="E27" i="13" s="1"/>
  <c r="D16" i="13"/>
  <c r="D15" i="13"/>
  <c r="D14" i="13"/>
  <c r="D13" i="13"/>
  <c r="D12" i="13"/>
  <c r="D11" i="13"/>
  <c r="B20" i="13"/>
  <c r="C25" i="13" s="1"/>
  <c r="B16" i="13"/>
  <c r="B15" i="13"/>
  <c r="B13" i="13"/>
  <c r="B12" i="13"/>
  <c r="B11" i="13"/>
  <c r="C63" i="8"/>
  <c r="E20" i="14"/>
  <c r="E19" i="14"/>
  <c r="O25" i="12" l="1"/>
  <c r="L25" i="12"/>
  <c r="K25" i="12"/>
  <c r="K24" i="12"/>
  <c r="K22" i="12"/>
  <c r="D24" i="12"/>
  <c r="D25" i="12"/>
  <c r="C44" i="12"/>
  <c r="C43" i="12"/>
  <c r="C42" i="12"/>
  <c r="J22" i="12"/>
  <c r="C41" i="12"/>
  <c r="B44" i="12"/>
  <c r="B43" i="12"/>
  <c r="B42" i="12"/>
  <c r="E19" i="12"/>
  <c r="L22" i="12" s="1"/>
  <c r="F19" i="12"/>
  <c r="M22" i="12" s="1"/>
  <c r="G19" i="12"/>
  <c r="N22" i="12" s="1"/>
  <c r="H19" i="12"/>
  <c r="O22" i="12" s="1"/>
  <c r="D19" i="12"/>
  <c r="H18" i="12"/>
  <c r="E18" i="12"/>
  <c r="F18" i="12"/>
  <c r="G18" i="12"/>
  <c r="D18" i="12"/>
  <c r="E16" i="12"/>
  <c r="F16" i="12"/>
  <c r="D16" i="12"/>
  <c r="E15" i="12"/>
  <c r="G15" i="12"/>
  <c r="E12" i="12"/>
  <c r="F12" i="12"/>
  <c r="D12" i="12"/>
  <c r="E11" i="12"/>
  <c r="F11" i="12"/>
  <c r="G11" i="12"/>
  <c r="D11" i="12"/>
  <c r="E9" i="12"/>
  <c r="F9" i="12"/>
  <c r="D9" i="12"/>
  <c r="C10" i="12"/>
  <c r="C11" i="12"/>
  <c r="C31" i="12" s="1"/>
  <c r="C12" i="12"/>
  <c r="C13" i="12"/>
  <c r="C14" i="12"/>
  <c r="C15" i="12"/>
  <c r="C16" i="12"/>
  <c r="C17" i="12"/>
  <c r="C18" i="12"/>
  <c r="C9" i="12"/>
  <c r="G109" i="7"/>
  <c r="B98" i="7"/>
  <c r="H72" i="7"/>
  <c r="B36" i="7"/>
  <c r="C55" i="8" l="1"/>
  <c r="M37" i="13" l="1"/>
  <c r="C19" i="14"/>
  <c r="K37" i="13"/>
  <c r="L37" i="13"/>
  <c r="J37" i="13"/>
  <c r="I37" i="13"/>
  <c r="H37" i="13"/>
  <c r="E37" i="13"/>
  <c r="K12" i="13" l="1"/>
  <c r="K13" i="13"/>
  <c r="K14" i="13"/>
  <c r="K15" i="13"/>
  <c r="K16" i="13"/>
  <c r="K17" i="13"/>
  <c r="K18" i="13"/>
  <c r="K19" i="13"/>
  <c r="K20" i="13"/>
  <c r="A19" i="13"/>
  <c r="A20" i="13"/>
  <c r="A25" i="13" s="1"/>
  <c r="A12" i="13"/>
  <c r="A13" i="13"/>
  <c r="A14" i="13"/>
  <c r="A15" i="13"/>
  <c r="A16" i="13"/>
  <c r="A17" i="13"/>
  <c r="A27" i="13" s="1"/>
  <c r="A18" i="13"/>
  <c r="A26" i="13" s="1"/>
  <c r="A11" i="13"/>
  <c r="D96" i="14"/>
  <c r="D95" i="14"/>
  <c r="D94" i="14"/>
  <c r="D93" i="14"/>
  <c r="D92" i="14"/>
  <c r="C91" i="14"/>
  <c r="D97" i="14"/>
  <c r="D84" i="14"/>
  <c r="D88" i="14"/>
  <c r="D87" i="14"/>
  <c r="D86" i="14"/>
  <c r="D85" i="14"/>
  <c r="C83" i="14"/>
  <c r="D76" i="14"/>
  <c r="C75" i="14"/>
  <c r="D60" i="14"/>
  <c r="C53" i="14"/>
  <c r="C61" i="14" s="1"/>
  <c r="C69" i="14" s="1"/>
  <c r="C77" i="14" s="1"/>
  <c r="C85" i="14" s="1"/>
  <c r="C93" i="14" s="1"/>
  <c r="C54" i="14"/>
  <c r="C62" i="14" s="1"/>
  <c r="C70" i="14" s="1"/>
  <c r="C78" i="14" s="1"/>
  <c r="C86" i="14" s="1"/>
  <c r="C94" i="14" s="1"/>
  <c r="C55" i="14"/>
  <c r="C63" i="14" s="1"/>
  <c r="C71" i="14" s="1"/>
  <c r="C79" i="14" s="1"/>
  <c r="C87" i="14" s="1"/>
  <c r="C95" i="14" s="1"/>
  <c r="C56" i="14"/>
  <c r="C64" i="14" s="1"/>
  <c r="C72" i="14" s="1"/>
  <c r="C80" i="14" s="1"/>
  <c r="C88" i="14" s="1"/>
  <c r="C96" i="14" s="1"/>
  <c r="C67" i="14"/>
  <c r="D68" i="14"/>
  <c r="C59" i="14"/>
  <c r="D54" i="14"/>
  <c r="D53" i="14"/>
  <c r="D52" i="14"/>
  <c r="C51" i="14"/>
  <c r="D47" i="14"/>
  <c r="D46" i="14"/>
  <c r="D45" i="14"/>
  <c r="D44" i="14"/>
  <c r="D43" i="14"/>
  <c r="C42" i="14"/>
  <c r="D36" i="14"/>
  <c r="D35" i="14"/>
  <c r="D31" i="14"/>
  <c r="D30" i="14"/>
  <c r="D29" i="14"/>
  <c r="D28" i="14"/>
  <c r="D27" i="14"/>
  <c r="D32" i="14" s="1"/>
  <c r="F29" i="14" s="1"/>
  <c r="G29" i="14" s="1"/>
  <c r="E22" i="14"/>
  <c r="E30" i="14" s="1"/>
  <c r="E38" i="14" s="1"/>
  <c r="E21" i="14"/>
  <c r="E29" i="14" s="1"/>
  <c r="E37" i="14" s="1"/>
  <c r="E28" i="14"/>
  <c r="E36" i="14" s="1"/>
  <c r="B64" i="8"/>
  <c r="I63" i="8"/>
  <c r="G63" i="8"/>
  <c r="E23" i="14" s="1"/>
  <c r="E31" i="14" s="1"/>
  <c r="E39" i="14" s="1"/>
  <c r="F64" i="8"/>
  <c r="E64" i="8"/>
  <c r="E27" i="14"/>
  <c r="E35" i="14" s="1"/>
  <c r="D23" i="14"/>
  <c r="D22" i="14"/>
  <c r="D21" i="14"/>
  <c r="D20" i="14"/>
  <c r="D19" i="14"/>
  <c r="C18" i="14"/>
  <c r="I14" i="14"/>
  <c r="H7" i="14"/>
  <c r="H11" i="14"/>
  <c r="H14" i="14"/>
  <c r="G7" i="14"/>
  <c r="G8" i="14"/>
  <c r="G12" i="14"/>
  <c r="G14" i="14"/>
  <c r="F7" i="14"/>
  <c r="F8" i="14"/>
  <c r="F11" i="14"/>
  <c r="F12" i="14"/>
  <c r="F14" i="14"/>
  <c r="E7" i="14"/>
  <c r="E8" i="14"/>
  <c r="E12" i="14"/>
  <c r="E14" i="14"/>
  <c r="D6" i="14"/>
  <c r="D7" i="14"/>
  <c r="D8" i="14"/>
  <c r="D9" i="14"/>
  <c r="D10" i="14"/>
  <c r="D11" i="14"/>
  <c r="D12" i="14"/>
  <c r="D13" i="14"/>
  <c r="D14" i="14"/>
  <c r="E5" i="14"/>
  <c r="F5" i="14"/>
  <c r="G5" i="14"/>
  <c r="D5" i="14"/>
  <c r="C6" i="14"/>
  <c r="C26" i="14" s="1"/>
  <c r="C7" i="14"/>
  <c r="C34" i="14" s="1"/>
  <c r="C8" i="14"/>
  <c r="C9" i="14"/>
  <c r="C10" i="14"/>
  <c r="C11" i="14"/>
  <c r="C12" i="14"/>
  <c r="C13" i="14"/>
  <c r="C14" i="14"/>
  <c r="C5" i="14"/>
  <c r="D48" i="14"/>
  <c r="F47" i="14" s="1"/>
  <c r="G47" i="14" s="1"/>
  <c r="C27" i="14"/>
  <c r="C35" i="14" s="1"/>
  <c r="C43" i="14" s="1"/>
  <c r="C52" i="14" s="1"/>
  <c r="C60" i="14" s="1"/>
  <c r="C68" i="14" s="1"/>
  <c r="C76" i="14" s="1"/>
  <c r="C84" i="14" s="1"/>
  <c r="C92" i="14" s="1"/>
  <c r="F27" i="13"/>
  <c r="D27" i="13"/>
  <c r="E33" i="13"/>
  <c r="O24" i="13"/>
  <c r="M24" i="13"/>
  <c r="K24" i="13"/>
  <c r="C10" i="10"/>
  <c r="C30" i="10" s="1"/>
  <c r="C30" i="12" s="1"/>
  <c r="C11" i="10"/>
  <c r="C12" i="10"/>
  <c r="C32" i="10" s="1"/>
  <c r="C32" i="12" s="1"/>
  <c r="C13" i="10"/>
  <c r="C14" i="10"/>
  <c r="C34" i="10" s="1"/>
  <c r="C34" i="12" s="1"/>
  <c r="C15" i="10"/>
  <c r="C16" i="10"/>
  <c r="C36" i="10" s="1"/>
  <c r="C36" i="12" s="1"/>
  <c r="C17" i="10"/>
  <c r="C18" i="10"/>
  <c r="C38" i="10" s="1"/>
  <c r="C38" i="12" s="1"/>
  <c r="C19" i="10"/>
  <c r="C9" i="10"/>
  <c r="C29" i="10" s="1"/>
  <c r="C31" i="10"/>
  <c r="C33" i="10"/>
  <c r="C33" i="12" s="1"/>
  <c r="C35" i="10"/>
  <c r="C35" i="12" s="1"/>
  <c r="C37" i="10"/>
  <c r="C37" i="12" s="1"/>
  <c r="C20" i="10"/>
  <c r="C20" i="12" s="1"/>
  <c r="D18" i="10"/>
  <c r="E18" i="10"/>
  <c r="F18" i="10"/>
  <c r="G18" i="10"/>
  <c r="H18" i="10"/>
  <c r="D17" i="10"/>
  <c r="E17" i="10"/>
  <c r="F17" i="10"/>
  <c r="G17" i="10"/>
  <c r="H17" i="10"/>
  <c r="D16" i="10"/>
  <c r="E16" i="10"/>
  <c r="F16" i="10"/>
  <c r="G16" i="10"/>
  <c r="H16" i="10"/>
  <c r="D15" i="10"/>
  <c r="E15" i="10"/>
  <c r="F15" i="10"/>
  <c r="G15" i="10"/>
  <c r="H15" i="10"/>
  <c r="D14" i="10"/>
  <c r="E14" i="10"/>
  <c r="F14" i="10"/>
  <c r="G14" i="10"/>
  <c r="H14" i="10"/>
  <c r="D13" i="10"/>
  <c r="E13" i="10"/>
  <c r="F13" i="10"/>
  <c r="G13" i="10"/>
  <c r="H13" i="10"/>
  <c r="D12" i="10"/>
  <c r="E12" i="10"/>
  <c r="F12" i="10"/>
  <c r="G12" i="10"/>
  <c r="H12" i="10"/>
  <c r="D11" i="10"/>
  <c r="E11" i="10"/>
  <c r="F11" i="10"/>
  <c r="G11" i="10"/>
  <c r="H11" i="10"/>
  <c r="D10" i="10"/>
  <c r="E10" i="10"/>
  <c r="F10" i="10"/>
  <c r="G10" i="10"/>
  <c r="H10" i="10"/>
  <c r="D9" i="10"/>
  <c r="D29" i="10" s="1"/>
  <c r="E9" i="10"/>
  <c r="E29" i="10" s="1"/>
  <c r="F9" i="10"/>
  <c r="F29" i="10" s="1"/>
  <c r="G9" i="10"/>
  <c r="G29" i="10" s="1"/>
  <c r="H9" i="10"/>
  <c r="H29" i="10" s="1"/>
  <c r="B10" i="10"/>
  <c r="B30" i="10" s="1"/>
  <c r="B10" i="12" s="1"/>
  <c r="B30" i="12" s="1"/>
  <c r="B11" i="10"/>
  <c r="B31" i="10" s="1"/>
  <c r="B11" i="12" s="1"/>
  <c r="B31" i="12" s="1"/>
  <c r="B12" i="10"/>
  <c r="B32" i="10" s="1"/>
  <c r="B12" i="12" s="1"/>
  <c r="B32" i="12" s="1"/>
  <c r="B13" i="10"/>
  <c r="B33" i="10" s="1"/>
  <c r="B13" i="12" s="1"/>
  <c r="B33" i="12" s="1"/>
  <c r="B14" i="10"/>
  <c r="B34" i="10" s="1"/>
  <c r="B14" i="12" s="1"/>
  <c r="B34" i="12" s="1"/>
  <c r="B15" i="10"/>
  <c r="B35" i="10" s="1"/>
  <c r="B15" i="12" s="1"/>
  <c r="B35" i="12" s="1"/>
  <c r="B16" i="10"/>
  <c r="B36" i="10" s="1"/>
  <c r="B16" i="12" s="1"/>
  <c r="B36" i="12" s="1"/>
  <c r="B17" i="10"/>
  <c r="B37" i="10" s="1"/>
  <c r="B17" i="12" s="1"/>
  <c r="B37" i="12" s="1"/>
  <c r="B18" i="10"/>
  <c r="B38" i="10" s="1"/>
  <c r="B18" i="12" s="1"/>
  <c r="B38" i="12" s="1"/>
  <c r="B9" i="10"/>
  <c r="B29" i="10" s="1"/>
  <c r="B9" i="12" s="1"/>
  <c r="B29" i="12" s="1"/>
  <c r="J22" i="10"/>
  <c r="O25" i="10" s="1"/>
  <c r="H25" i="10" s="1"/>
  <c r="D194" i="7"/>
  <c r="E194" i="7"/>
  <c r="F194" i="7"/>
  <c r="G194" i="7"/>
  <c r="C194" i="7"/>
  <c r="C206" i="7" s="1"/>
  <c r="C217" i="7" s="1"/>
  <c r="D193" i="7"/>
  <c r="E193" i="7"/>
  <c r="F193" i="7"/>
  <c r="G193" i="7"/>
  <c r="C193" i="7"/>
  <c r="C205" i="7" s="1"/>
  <c r="B192" i="7"/>
  <c r="A190" i="7"/>
  <c r="B195" i="7"/>
  <c r="B207" i="7" s="1"/>
  <c r="G206" i="7"/>
  <c r="G217" i="7" s="1"/>
  <c r="F206" i="7"/>
  <c r="F217" i="7" s="1"/>
  <c r="E206" i="7"/>
  <c r="E217" i="7" s="1"/>
  <c r="D206" i="7"/>
  <c r="D217" i="7" s="1"/>
  <c r="G205" i="7"/>
  <c r="G216" i="7" s="1"/>
  <c r="F205" i="7"/>
  <c r="F216" i="7" s="1"/>
  <c r="E205" i="7"/>
  <c r="E216" i="7" s="1"/>
  <c r="D205" i="7"/>
  <c r="D216" i="7" s="1"/>
  <c r="B193" i="7"/>
  <c r="H193" i="7" s="1"/>
  <c r="B194" i="7"/>
  <c r="H194" i="7" s="1"/>
  <c r="A202" i="7"/>
  <c r="A213" i="7" s="1"/>
  <c r="C156" i="7"/>
  <c r="D155" i="7"/>
  <c r="D167" i="7" s="1"/>
  <c r="D178" i="7" s="1"/>
  <c r="E155" i="7"/>
  <c r="C155" i="7"/>
  <c r="B154" i="7"/>
  <c r="B156" i="7" s="1"/>
  <c r="A152" i="7"/>
  <c r="B157" i="7"/>
  <c r="B169" i="7" s="1"/>
  <c r="B180" i="7" s="1"/>
  <c r="C168" i="7"/>
  <c r="C179" i="7" s="1"/>
  <c r="E167" i="7"/>
  <c r="E178" i="7" s="1"/>
  <c r="C167" i="7"/>
  <c r="A164" i="7"/>
  <c r="A175" i="7" s="1"/>
  <c r="D119" i="7"/>
  <c r="E119" i="7"/>
  <c r="F119" i="7"/>
  <c r="G119" i="7"/>
  <c r="C119" i="7"/>
  <c r="C131" i="7" s="1"/>
  <c r="C142" i="7" s="1"/>
  <c r="D118" i="7"/>
  <c r="D130" i="7" s="1"/>
  <c r="D141" i="7" s="1"/>
  <c r="F118" i="7"/>
  <c r="F130" i="7" s="1"/>
  <c r="F141" i="7" s="1"/>
  <c r="B117" i="7"/>
  <c r="B119" i="7" s="1"/>
  <c r="A115" i="7"/>
  <c r="A127" i="7" s="1"/>
  <c r="A138" i="7" s="1"/>
  <c r="B120" i="7"/>
  <c r="B132" i="7" s="1"/>
  <c r="G131" i="7"/>
  <c r="G142" i="7" s="1"/>
  <c r="F131" i="7"/>
  <c r="F142" i="7" s="1"/>
  <c r="E131" i="7"/>
  <c r="E142" i="7" s="1"/>
  <c r="D131" i="7"/>
  <c r="D142" i="7" s="1"/>
  <c r="A32" i="13" l="1"/>
  <c r="E34" i="13"/>
  <c r="A34" i="13"/>
  <c r="F30" i="13"/>
  <c r="E31" i="13"/>
  <c r="E32" i="13"/>
  <c r="A30" i="13"/>
  <c r="A33" i="13"/>
  <c r="A31" i="13"/>
  <c r="E30" i="13"/>
  <c r="D38" i="13"/>
  <c r="M24" i="12"/>
  <c r="F24" i="12" s="1"/>
  <c r="N25" i="12"/>
  <c r="G25" i="12" s="1"/>
  <c r="E25" i="12"/>
  <c r="O24" i="12"/>
  <c r="H24" i="12" s="1"/>
  <c r="H38" i="12" s="1"/>
  <c r="N24" i="12"/>
  <c r="G24" i="12" s="1"/>
  <c r="L24" i="12"/>
  <c r="E24" i="12" s="1"/>
  <c r="H25" i="12"/>
  <c r="M25" i="12"/>
  <c r="F25" i="12" s="1"/>
  <c r="I29" i="10"/>
  <c r="C29" i="12"/>
  <c r="D89" i="14"/>
  <c r="B118" i="7"/>
  <c r="H118" i="7" s="1"/>
  <c r="F43" i="14"/>
  <c r="F92" i="14"/>
  <c r="H119" i="7"/>
  <c r="B155" i="7"/>
  <c r="H155" i="7" s="1"/>
  <c r="E44" i="14"/>
  <c r="E53" i="14"/>
  <c r="E61" i="14" s="1"/>
  <c r="E69" i="14" s="1"/>
  <c r="E77" i="14" s="1"/>
  <c r="E85" i="14" s="1"/>
  <c r="E93" i="14" s="1"/>
  <c r="E46" i="14"/>
  <c r="E55" i="14"/>
  <c r="E63" i="14" s="1"/>
  <c r="E71" i="14" s="1"/>
  <c r="E79" i="14" s="1"/>
  <c r="E87" i="14" s="1"/>
  <c r="E95" i="14" s="1"/>
  <c r="H29" i="14"/>
  <c r="E43" i="14"/>
  <c r="E52" i="14"/>
  <c r="E60" i="14" s="1"/>
  <c r="E54" i="14"/>
  <c r="E62" i="14" s="1"/>
  <c r="E70" i="14" s="1"/>
  <c r="E78" i="14" s="1"/>
  <c r="E86" i="14" s="1"/>
  <c r="E94" i="14" s="1"/>
  <c r="E45" i="14"/>
  <c r="E56" i="14"/>
  <c r="E64" i="14" s="1"/>
  <c r="E72" i="14" s="1"/>
  <c r="E80" i="14" s="1"/>
  <c r="E88" i="14" s="1"/>
  <c r="E96" i="14" s="1"/>
  <c r="E47" i="14"/>
  <c r="F86" i="14"/>
  <c r="G86" i="14" s="1"/>
  <c r="H47" i="14"/>
  <c r="F27" i="14"/>
  <c r="G27" i="14" s="1"/>
  <c r="H27" i="14" s="1"/>
  <c r="F84" i="14"/>
  <c r="G84" i="14" s="1"/>
  <c r="G95" i="14"/>
  <c r="H95" i="14" s="1"/>
  <c r="F95" i="14"/>
  <c r="F93" i="14"/>
  <c r="G93" i="14" s="1"/>
  <c r="H93" i="14" s="1"/>
  <c r="D24" i="14"/>
  <c r="F23" i="14" s="1"/>
  <c r="G23" i="14" s="1"/>
  <c r="H23" i="14" s="1"/>
  <c r="H86" i="14"/>
  <c r="F87" i="14"/>
  <c r="G87" i="14" s="1"/>
  <c r="H87" i="14" s="1"/>
  <c r="F88" i="14"/>
  <c r="G88" i="14" s="1"/>
  <c r="H88" i="14" s="1"/>
  <c r="F96" i="14"/>
  <c r="G96" i="14" s="1"/>
  <c r="H96" i="14" s="1"/>
  <c r="F94" i="14"/>
  <c r="G94" i="14" s="1"/>
  <c r="H94" i="14" s="1"/>
  <c r="F85" i="14"/>
  <c r="G85" i="14" s="1"/>
  <c r="G92" i="14"/>
  <c r="F44" i="14"/>
  <c r="G44" i="14" s="1"/>
  <c r="H44" i="14" s="1"/>
  <c r="F46" i="14"/>
  <c r="G46" i="14" s="1"/>
  <c r="H46" i="14" s="1"/>
  <c r="F28" i="14"/>
  <c r="G28" i="14" s="1"/>
  <c r="H28" i="14" s="1"/>
  <c r="F30" i="14"/>
  <c r="G30" i="14" s="1"/>
  <c r="H30" i="14" s="1"/>
  <c r="F31" i="14"/>
  <c r="G31" i="14" s="1"/>
  <c r="H31" i="14" s="1"/>
  <c r="F20" i="14"/>
  <c r="G20" i="14" s="1"/>
  <c r="H20" i="14" s="1"/>
  <c r="F22" i="14"/>
  <c r="G22" i="14" s="1"/>
  <c r="H22" i="14" s="1"/>
  <c r="F21" i="14"/>
  <c r="G21" i="14" s="1"/>
  <c r="H21" i="14" s="1"/>
  <c r="G43" i="14"/>
  <c r="H43" i="14" s="1"/>
  <c r="F45" i="14"/>
  <c r="G45" i="14" s="1"/>
  <c r="H45" i="14" s="1"/>
  <c r="N24" i="10"/>
  <c r="G24" i="10" s="1"/>
  <c r="N25" i="10"/>
  <c r="G25" i="10" s="1"/>
  <c r="O24" i="10"/>
  <c r="H24" i="10" s="1"/>
  <c r="H205" i="7"/>
  <c r="C216" i="7"/>
  <c r="H216" i="7" s="1"/>
  <c r="B218" i="7"/>
  <c r="B204" i="7"/>
  <c r="H192" i="7"/>
  <c r="B197" i="7"/>
  <c r="H167" i="7"/>
  <c r="C178" i="7"/>
  <c r="H178" i="7" s="1"/>
  <c r="B166" i="7"/>
  <c r="H154" i="7"/>
  <c r="H130" i="7"/>
  <c r="H141" i="7"/>
  <c r="B143" i="7"/>
  <c r="B129" i="7"/>
  <c r="H117" i="7"/>
  <c r="B122" i="7"/>
  <c r="D83" i="7"/>
  <c r="E83" i="7"/>
  <c r="E95" i="7" s="1"/>
  <c r="E106" i="7" s="1"/>
  <c r="F83" i="7"/>
  <c r="G83" i="7"/>
  <c r="G95" i="7" s="1"/>
  <c r="G106" i="7" s="1"/>
  <c r="C83" i="7"/>
  <c r="D82" i="7"/>
  <c r="D94" i="7" s="1"/>
  <c r="D105" i="7" s="1"/>
  <c r="E82" i="7"/>
  <c r="C82" i="7"/>
  <c r="B81" i="7"/>
  <c r="C7" i="7"/>
  <c r="C19" i="7" s="1"/>
  <c r="C30" i="7" s="1"/>
  <c r="D7" i="7"/>
  <c r="E7" i="7"/>
  <c r="E19" i="7" s="1"/>
  <c r="E30" i="7" s="1"/>
  <c r="B9" i="7"/>
  <c r="B7" i="7"/>
  <c r="H7" i="7" s="1"/>
  <c r="D19" i="7"/>
  <c r="B21" i="7"/>
  <c r="I55" i="8"/>
  <c r="H55" i="8"/>
  <c r="H56" i="8" s="1"/>
  <c r="G55" i="8"/>
  <c r="F55" i="8"/>
  <c r="F56" i="8" s="1"/>
  <c r="E55" i="8"/>
  <c r="D55" i="8"/>
  <c r="D56" i="8" s="1"/>
  <c r="J53" i="8"/>
  <c r="J54" i="8" s="1"/>
  <c r="J55" i="8" s="1"/>
  <c r="H32" i="8"/>
  <c r="H31" i="8"/>
  <c r="D30" i="8"/>
  <c r="H29" i="8"/>
  <c r="D28" i="8"/>
  <c r="F27" i="8"/>
  <c r="D55" i="14" s="1"/>
  <c r="H26" i="8"/>
  <c r="E25" i="8"/>
  <c r="D37" i="14" s="1"/>
  <c r="H24" i="8"/>
  <c r="H23" i="8"/>
  <c r="H17" i="8"/>
  <c r="H16" i="8"/>
  <c r="H15" i="8"/>
  <c r="H14" i="8"/>
  <c r="H13" i="8"/>
  <c r="H12" i="8"/>
  <c r="H11" i="8"/>
  <c r="H10" i="8"/>
  <c r="H9" i="8"/>
  <c r="H8" i="8"/>
  <c r="B32" i="7"/>
  <c r="E94" i="7"/>
  <c r="C95" i="7"/>
  <c r="C106" i="7" s="1"/>
  <c r="E105" i="7"/>
  <c r="A79" i="7"/>
  <c r="B84" i="7"/>
  <c r="B96" i="7" s="1"/>
  <c r="F95" i="7"/>
  <c r="F106" i="7" s="1"/>
  <c r="D95" i="7"/>
  <c r="D106" i="7" s="1"/>
  <c r="C94" i="7"/>
  <c r="B83" i="7"/>
  <c r="H83" i="7" s="1"/>
  <c r="A91" i="7"/>
  <c r="A102" i="7" s="1"/>
  <c r="D46" i="7"/>
  <c r="D58" i="7" s="1"/>
  <c r="D69" i="7" s="1"/>
  <c r="E46" i="7"/>
  <c r="E58" i="7" s="1"/>
  <c r="E69" i="7" s="1"/>
  <c r="F46" i="7"/>
  <c r="F58" i="7" s="1"/>
  <c r="F69" i="7" s="1"/>
  <c r="G46" i="7"/>
  <c r="G58" i="7" s="1"/>
  <c r="G69" i="7" s="1"/>
  <c r="C46" i="7"/>
  <c r="C45" i="7"/>
  <c r="C57" i="7" s="1"/>
  <c r="D45" i="7"/>
  <c r="D57" i="7" s="1"/>
  <c r="D68" i="7" s="1"/>
  <c r="E45" i="7"/>
  <c r="E57" i="7" s="1"/>
  <c r="E68" i="7" s="1"/>
  <c r="F45" i="7"/>
  <c r="F57" i="7" s="1"/>
  <c r="F68" i="7" s="1"/>
  <c r="B44" i="7"/>
  <c r="B46" i="7" s="1"/>
  <c r="A42" i="7"/>
  <c r="A54" i="7" s="1"/>
  <c r="A65" i="7" s="1"/>
  <c r="B47" i="7"/>
  <c r="B59" i="7" s="1"/>
  <c r="C58" i="7"/>
  <c r="C69" i="7" s="1"/>
  <c r="D8" i="7"/>
  <c r="E8" i="7"/>
  <c r="F8" i="7"/>
  <c r="G8" i="7"/>
  <c r="C8" i="7"/>
  <c r="B6" i="7"/>
  <c r="H6" i="7" s="1"/>
  <c r="A4" i="7"/>
  <c r="A16" i="7" s="1"/>
  <c r="A27" i="7" s="1"/>
  <c r="H85" i="14" l="1"/>
  <c r="E76" i="14"/>
  <c r="E84" i="14" s="1"/>
  <c r="E68" i="14"/>
  <c r="G31" i="12"/>
  <c r="G38" i="12"/>
  <c r="G35" i="12"/>
  <c r="D29" i="12"/>
  <c r="D36" i="12"/>
  <c r="D31" i="12"/>
  <c r="D32" i="12"/>
  <c r="D38" i="12"/>
  <c r="E32" i="12"/>
  <c r="E35" i="12"/>
  <c r="E29" i="12"/>
  <c r="E31" i="12"/>
  <c r="E36" i="12"/>
  <c r="E38" i="12"/>
  <c r="F29" i="12"/>
  <c r="F31" i="12"/>
  <c r="F36" i="12"/>
  <c r="F38" i="12"/>
  <c r="F32" i="12"/>
  <c r="B28" i="13"/>
  <c r="F38" i="13"/>
  <c r="E28" i="8"/>
  <c r="D61" i="14"/>
  <c r="E30" i="8"/>
  <c r="D77" i="14"/>
  <c r="D156" i="7"/>
  <c r="D69" i="14"/>
  <c r="B124" i="7"/>
  <c r="B17" i="13"/>
  <c r="C27" i="13" s="1"/>
  <c r="B199" i="7"/>
  <c r="F19" i="14"/>
  <c r="G19" i="14" s="1"/>
  <c r="H19" i="14" s="1"/>
  <c r="H48" i="14"/>
  <c r="H32" i="14"/>
  <c r="H24" i="14"/>
  <c r="H204" i="7"/>
  <c r="B215" i="7"/>
  <c r="B206" i="7"/>
  <c r="H166" i="7"/>
  <c r="B177" i="7"/>
  <c r="B168" i="7"/>
  <c r="H129" i="7"/>
  <c r="B140" i="7"/>
  <c r="B131" i="7"/>
  <c r="F20" i="7"/>
  <c r="F31" i="7" s="1"/>
  <c r="D20" i="7"/>
  <c r="D31" i="7" s="1"/>
  <c r="B18" i="7"/>
  <c r="B20" i="7" s="1"/>
  <c r="B11" i="7"/>
  <c r="H46" i="7"/>
  <c r="B45" i="7"/>
  <c r="B49" i="7"/>
  <c r="B82" i="7"/>
  <c r="H82" i="7" s="1"/>
  <c r="D30" i="7"/>
  <c r="G27" i="8"/>
  <c r="E56" i="8"/>
  <c r="G56" i="8"/>
  <c r="I56" i="8"/>
  <c r="G20" i="7"/>
  <c r="G31" i="7" s="1"/>
  <c r="E20" i="7"/>
  <c r="E31" i="7" s="1"/>
  <c r="C20" i="7"/>
  <c r="B86" i="7"/>
  <c r="J56" i="8"/>
  <c r="K56" i="8"/>
  <c r="K55" i="8"/>
  <c r="F25" i="8"/>
  <c r="H30" i="7"/>
  <c r="H94" i="7"/>
  <c r="C105" i="7"/>
  <c r="H105" i="7" s="1"/>
  <c r="B107" i="7"/>
  <c r="B93" i="7"/>
  <c r="H81" i="7"/>
  <c r="H57" i="7"/>
  <c r="C68" i="7"/>
  <c r="H68" i="7" s="1"/>
  <c r="B70" i="7"/>
  <c r="H45" i="7"/>
  <c r="B56" i="7"/>
  <c r="H44" i="7"/>
  <c r="B8" i="7"/>
  <c r="H8" i="7" s="1"/>
  <c r="H19" i="7"/>
  <c r="E44" i="4"/>
  <c r="F44" i="4"/>
  <c r="G44" i="4"/>
  <c r="H44" i="4"/>
  <c r="D44" i="4"/>
  <c r="E10" i="4"/>
  <c r="F10" i="4"/>
  <c r="G10" i="4"/>
  <c r="H10" i="4"/>
  <c r="D10" i="4"/>
  <c r="E92" i="14" l="1"/>
  <c r="H92" i="14" s="1"/>
  <c r="H97" i="14" s="1"/>
  <c r="H84" i="14"/>
  <c r="H89" i="14" s="1"/>
  <c r="I38" i="12"/>
  <c r="I31" i="12"/>
  <c r="I29" i="12"/>
  <c r="G25" i="8"/>
  <c r="D39" i="14" s="1"/>
  <c r="D38" i="14"/>
  <c r="H27" i="8"/>
  <c r="D56" i="14"/>
  <c r="D168" i="7"/>
  <c r="D179" i="7" s="1"/>
  <c r="F30" i="8"/>
  <c r="D70" i="14"/>
  <c r="D78" i="14"/>
  <c r="E156" i="7"/>
  <c r="E168" i="7" s="1"/>
  <c r="E179" i="7" s="1"/>
  <c r="F28" i="8"/>
  <c r="D62" i="14"/>
  <c r="B23" i="7"/>
  <c r="F11" i="13" s="1"/>
  <c r="C58" i="8"/>
  <c r="B14" i="13"/>
  <c r="B88" i="7"/>
  <c r="B51" i="7"/>
  <c r="B13" i="7"/>
  <c r="I32" i="14"/>
  <c r="N12" i="13" s="1"/>
  <c r="I48" i="14"/>
  <c r="N14" i="13" s="1"/>
  <c r="I97" i="14"/>
  <c r="N20" i="13" s="1"/>
  <c r="O25" i="13" s="1"/>
  <c r="M38" i="13" s="1"/>
  <c r="L20" i="13"/>
  <c r="M25" i="13" s="1"/>
  <c r="L38" i="13" s="1"/>
  <c r="I89" i="14"/>
  <c r="N19" i="13" s="1"/>
  <c r="L19" i="13"/>
  <c r="I24" i="14"/>
  <c r="H215" i="7"/>
  <c r="B217" i="7"/>
  <c r="H217" i="7" s="1"/>
  <c r="B220" i="7"/>
  <c r="C220" i="7" s="1"/>
  <c r="D220" i="7" s="1"/>
  <c r="H206" i="7"/>
  <c r="B209" i="7"/>
  <c r="F20" i="13" s="1"/>
  <c r="G25" i="13" s="1"/>
  <c r="I38" i="13" s="1"/>
  <c r="H177" i="7"/>
  <c r="B179" i="7"/>
  <c r="B182" i="7"/>
  <c r="C182" i="7" s="1"/>
  <c r="D182" i="7" s="1"/>
  <c r="H140" i="7"/>
  <c r="B142" i="7"/>
  <c r="H142" i="7" s="1"/>
  <c r="B145" i="7"/>
  <c r="C145" i="7" s="1"/>
  <c r="D145" i="7" s="1"/>
  <c r="H131" i="7"/>
  <c r="B134" i="7"/>
  <c r="F17" i="13" s="1"/>
  <c r="G27" i="13" s="1"/>
  <c r="C31" i="7"/>
  <c r="H25" i="8"/>
  <c r="H93" i="7"/>
  <c r="B104" i="7"/>
  <c r="B95" i="7"/>
  <c r="H56" i="7"/>
  <c r="B67" i="7"/>
  <c r="B58" i="7"/>
  <c r="B61" i="7" s="1"/>
  <c r="F13" i="13" s="1"/>
  <c r="B29" i="7"/>
  <c r="H18" i="7"/>
  <c r="L39" i="13" l="1"/>
  <c r="M39" i="13"/>
  <c r="G28" i="8"/>
  <c r="D64" i="14" s="1"/>
  <c r="D63" i="14"/>
  <c r="H28" i="8"/>
  <c r="G30" i="8"/>
  <c r="D79" i="14"/>
  <c r="F156" i="7"/>
  <c r="F168" i="7" s="1"/>
  <c r="D71" i="14"/>
  <c r="H30" i="8"/>
  <c r="D57" i="14"/>
  <c r="D40" i="14"/>
  <c r="D58" i="8"/>
  <c r="D19" i="10"/>
  <c r="E145" i="7"/>
  <c r="F145" i="7" s="1"/>
  <c r="G145" i="7" s="1"/>
  <c r="H145" i="7" s="1"/>
  <c r="B147" i="7"/>
  <c r="H17" i="13" s="1"/>
  <c r="I27" i="13" s="1"/>
  <c r="E220" i="7"/>
  <c r="B222" i="7"/>
  <c r="H20" i="13" s="1"/>
  <c r="I25" i="13" s="1"/>
  <c r="J38" i="13" s="1"/>
  <c r="B109" i="7"/>
  <c r="F14" i="13"/>
  <c r="E182" i="7"/>
  <c r="B184" i="7"/>
  <c r="H18" i="13" s="1"/>
  <c r="I26" i="13" s="1"/>
  <c r="F220" i="7"/>
  <c r="G220" i="7" s="1"/>
  <c r="H220" i="7" s="1"/>
  <c r="H104" i="7"/>
  <c r="B106" i="7"/>
  <c r="H106" i="7" s="1"/>
  <c r="C109" i="7"/>
  <c r="D109" i="7" s="1"/>
  <c r="E109" i="7" s="1"/>
  <c r="H95" i="7"/>
  <c r="H67" i="7"/>
  <c r="B69" i="7"/>
  <c r="H69" i="7" s="1"/>
  <c r="B72" i="7"/>
  <c r="H58" i="7"/>
  <c r="H20" i="7"/>
  <c r="B34" i="7"/>
  <c r="C34" i="7" s="1"/>
  <c r="D34" i="7" s="1"/>
  <c r="E34" i="7" s="1"/>
  <c r="B31" i="7"/>
  <c r="H29" i="7"/>
  <c r="K22" i="10" l="1"/>
  <c r="F39" i="14"/>
  <c r="G39" i="14" s="1"/>
  <c r="H39" i="14" s="1"/>
  <c r="F36" i="14"/>
  <c r="G36" i="14" s="1"/>
  <c r="H36" i="14" s="1"/>
  <c r="F35" i="14"/>
  <c r="G35" i="14" s="1"/>
  <c r="H35" i="14" s="1"/>
  <c r="F37" i="14"/>
  <c r="G37" i="14" s="1"/>
  <c r="H37" i="14" s="1"/>
  <c r="F53" i="14"/>
  <c r="G53" i="14" s="1"/>
  <c r="H53" i="14" s="1"/>
  <c r="F52" i="14"/>
  <c r="G52" i="14" s="1"/>
  <c r="H52" i="14" s="1"/>
  <c r="F54" i="14"/>
  <c r="G54" i="14" s="1"/>
  <c r="H54" i="14" s="1"/>
  <c r="F55" i="14"/>
  <c r="G55" i="14" s="1"/>
  <c r="H55" i="14" s="1"/>
  <c r="D65" i="14"/>
  <c r="E58" i="8"/>
  <c r="E19" i="10"/>
  <c r="F38" i="14"/>
  <c r="G38" i="14" s="1"/>
  <c r="H38" i="14" s="1"/>
  <c r="F56" i="14"/>
  <c r="G56" i="14" s="1"/>
  <c r="H56" i="14" s="1"/>
  <c r="F179" i="7"/>
  <c r="D72" i="14"/>
  <c r="D80" i="14"/>
  <c r="D81" i="14" s="1"/>
  <c r="G156" i="7"/>
  <c r="C72" i="7"/>
  <c r="D72" i="7" s="1"/>
  <c r="E72" i="7" s="1"/>
  <c r="F72" i="7" s="1"/>
  <c r="G72" i="7" s="1"/>
  <c r="F109" i="7"/>
  <c r="F34" i="7"/>
  <c r="G34" i="7" s="1"/>
  <c r="H31" i="7"/>
  <c r="E61" i="4"/>
  <c r="F61" i="4"/>
  <c r="G61" i="4"/>
  <c r="H61" i="4"/>
  <c r="D61" i="4"/>
  <c r="C59" i="4"/>
  <c r="C61" i="4" s="1"/>
  <c r="I61" i="4" s="1"/>
  <c r="B57" i="4"/>
  <c r="C63" i="4"/>
  <c r="I59" i="4"/>
  <c r="C42" i="4"/>
  <c r="C44" i="4" s="1"/>
  <c r="B40" i="4"/>
  <c r="E27" i="4"/>
  <c r="F27" i="4"/>
  <c r="G27" i="4"/>
  <c r="H27" i="4"/>
  <c r="D27" i="4"/>
  <c r="C46" i="4"/>
  <c r="C29" i="4"/>
  <c r="B23" i="4"/>
  <c r="C25" i="4"/>
  <c r="C27" i="4" s="1"/>
  <c r="B6" i="4"/>
  <c r="C12" i="4"/>
  <c r="C8" i="4"/>
  <c r="C10" i="4" s="1"/>
  <c r="I27" i="4" l="1"/>
  <c r="F80" i="14"/>
  <c r="G80" i="14" s="1"/>
  <c r="H80" i="14" s="1"/>
  <c r="F76" i="14"/>
  <c r="G76" i="14" s="1"/>
  <c r="H76" i="14" s="1"/>
  <c r="F77" i="14"/>
  <c r="G77" i="14" s="1"/>
  <c r="H77" i="14" s="1"/>
  <c r="F78" i="14"/>
  <c r="G78" i="14" s="1"/>
  <c r="H78" i="14" s="1"/>
  <c r="F79" i="14"/>
  <c r="G79" i="14" s="1"/>
  <c r="H79" i="14" s="1"/>
  <c r="G168" i="7"/>
  <c r="B159" i="7"/>
  <c r="H156" i="7"/>
  <c r="L22" i="10"/>
  <c r="F64" i="14"/>
  <c r="G64" i="14" s="1"/>
  <c r="H64" i="14" s="1"/>
  <c r="F60" i="14"/>
  <c r="G60" i="14" s="1"/>
  <c r="H60" i="14" s="1"/>
  <c r="F61" i="14"/>
  <c r="G61" i="14" s="1"/>
  <c r="H61" i="14" s="1"/>
  <c r="F62" i="14"/>
  <c r="G62" i="14" s="1"/>
  <c r="H62" i="14" s="1"/>
  <c r="D73" i="14"/>
  <c r="H57" i="14"/>
  <c r="F182" i="7"/>
  <c r="F19" i="10"/>
  <c r="F58" i="8"/>
  <c r="F63" i="14"/>
  <c r="G63" i="14" s="1"/>
  <c r="H63" i="14" s="1"/>
  <c r="H40" i="14"/>
  <c r="K24" i="10"/>
  <c r="D24" i="10" s="1"/>
  <c r="K25" i="10"/>
  <c r="D25" i="10" s="1"/>
  <c r="B111" i="7"/>
  <c r="H14" i="13" s="1"/>
  <c r="H34" i="7"/>
  <c r="I10" i="4"/>
  <c r="C11" i="4"/>
  <c r="C31" i="4"/>
  <c r="C35" i="4"/>
  <c r="F15" i="13" s="1"/>
  <c r="C14" i="4"/>
  <c r="C18" i="4"/>
  <c r="F12" i="13" s="1"/>
  <c r="I25" i="4"/>
  <c r="C48" i="4"/>
  <c r="C69" i="4"/>
  <c r="F19" i="13" s="1"/>
  <c r="C62" i="4"/>
  <c r="C65" i="4"/>
  <c r="C50" i="4"/>
  <c r="I44" i="4"/>
  <c r="C52" i="4"/>
  <c r="F16" i="13" s="1"/>
  <c r="C45" i="4"/>
  <c r="I42" i="4"/>
  <c r="C28" i="4"/>
  <c r="C33" i="4"/>
  <c r="D11" i="4"/>
  <c r="I8" i="4"/>
  <c r="C16" i="4"/>
  <c r="C67" i="4" l="1"/>
  <c r="B19" i="13"/>
  <c r="H30" i="10"/>
  <c r="H34" i="10"/>
  <c r="H38" i="10"/>
  <c r="G33" i="10"/>
  <c r="G37" i="10"/>
  <c r="F32" i="10"/>
  <c r="F36" i="10"/>
  <c r="E31" i="10"/>
  <c r="E35" i="10"/>
  <c r="D31" i="10"/>
  <c r="D35" i="10"/>
  <c r="H31" i="10"/>
  <c r="H35" i="10"/>
  <c r="G30" i="10"/>
  <c r="G34" i="10"/>
  <c r="G38" i="10"/>
  <c r="F33" i="10"/>
  <c r="F37" i="10"/>
  <c r="E32" i="10"/>
  <c r="E36" i="10"/>
  <c r="D30" i="10"/>
  <c r="D34" i="10"/>
  <c r="D38" i="10"/>
  <c r="H32" i="10"/>
  <c r="H36" i="10"/>
  <c r="G31" i="10"/>
  <c r="G35" i="10"/>
  <c r="F30" i="10"/>
  <c r="F34" i="10"/>
  <c r="F38" i="10"/>
  <c r="E33" i="10"/>
  <c r="E37" i="10"/>
  <c r="D33" i="10"/>
  <c r="D37" i="10"/>
  <c r="H33" i="10"/>
  <c r="H37" i="10"/>
  <c r="G32" i="10"/>
  <c r="G36" i="10"/>
  <c r="F31" i="10"/>
  <c r="F35" i="10"/>
  <c r="E30" i="10"/>
  <c r="E34" i="10"/>
  <c r="E38" i="10"/>
  <c r="D32" i="10"/>
  <c r="D36" i="10"/>
  <c r="M22" i="10"/>
  <c r="F69" i="14"/>
  <c r="G69" i="14" s="1"/>
  <c r="H69" i="14" s="1"/>
  <c r="F68" i="14"/>
  <c r="G68" i="14" s="1"/>
  <c r="H68" i="14" s="1"/>
  <c r="F70" i="14"/>
  <c r="G70" i="14" s="1"/>
  <c r="H70" i="14" s="1"/>
  <c r="F71" i="14"/>
  <c r="G71" i="14" s="1"/>
  <c r="H71" i="14" s="1"/>
  <c r="G179" i="7"/>
  <c r="H179" i="7" s="1"/>
  <c r="H168" i="7"/>
  <c r="B171" i="7"/>
  <c r="F18" i="13" s="1"/>
  <c r="G26" i="13" s="1"/>
  <c r="H81" i="14"/>
  <c r="I40" i="14"/>
  <c r="N13" i="13" s="1"/>
  <c r="G58" i="8"/>
  <c r="G19" i="10"/>
  <c r="G182" i="7"/>
  <c r="H182" i="7" s="1"/>
  <c r="I57" i="14"/>
  <c r="N15" i="13" s="1"/>
  <c r="H65" i="14"/>
  <c r="L24" i="10"/>
  <c r="E24" i="10" s="1"/>
  <c r="L25" i="10"/>
  <c r="E25" i="10" s="1"/>
  <c r="F72" i="14"/>
  <c r="G72" i="14" s="1"/>
  <c r="H72" i="14" s="1"/>
  <c r="B161" i="7"/>
  <c r="B18" i="13"/>
  <c r="D45" i="4"/>
  <c r="E45" i="4" s="1"/>
  <c r="F45" i="4" s="1"/>
  <c r="D62" i="4"/>
  <c r="E11" i="4"/>
  <c r="F11" i="4" s="1"/>
  <c r="C20" i="4" s="1"/>
  <c r="H12" i="13" s="1"/>
  <c r="D28" i="4"/>
  <c r="C26" i="13" l="1"/>
  <c r="C28" i="13" s="1"/>
  <c r="I65" i="14"/>
  <c r="N16" i="13" s="1"/>
  <c r="I81" i="14"/>
  <c r="N18" i="13" s="1"/>
  <c r="O26" i="13" s="1"/>
  <c r="H73" i="14"/>
  <c r="I36" i="10"/>
  <c r="I36" i="12"/>
  <c r="I33" i="12"/>
  <c r="J15" i="13" s="1"/>
  <c r="I33" i="10"/>
  <c r="J20" i="13"/>
  <c r="K25" i="13" s="1"/>
  <c r="K38" i="13" s="1"/>
  <c r="I38" i="10"/>
  <c r="I30" i="12"/>
  <c r="J12" i="13" s="1"/>
  <c r="I30" i="10"/>
  <c r="I35" i="12"/>
  <c r="I35" i="10"/>
  <c r="H58" i="8"/>
  <c r="H19" i="10"/>
  <c r="M25" i="10"/>
  <c r="F25" i="10" s="1"/>
  <c r="M24" i="10"/>
  <c r="F24" i="10" s="1"/>
  <c r="I32" i="10"/>
  <c r="I32" i="12"/>
  <c r="J14" i="13" s="1"/>
  <c r="I37" i="12"/>
  <c r="J19" i="13" s="1"/>
  <c r="I37" i="10"/>
  <c r="I34" i="12"/>
  <c r="J16" i="13" s="1"/>
  <c r="I34" i="10"/>
  <c r="J13" i="13"/>
  <c r="I31" i="10"/>
  <c r="G11" i="4"/>
  <c r="H11" i="4" s="1"/>
  <c r="I11" i="4" s="1"/>
  <c r="G45" i="4"/>
  <c r="C54" i="4"/>
  <c r="H16" i="13" s="1"/>
  <c r="E62" i="4"/>
  <c r="E28" i="4"/>
  <c r="F28" i="4" s="1"/>
  <c r="J17" i="13" l="1"/>
  <c r="K27" i="13" s="1"/>
  <c r="J18" i="13"/>
  <c r="K26" i="13" s="1"/>
  <c r="I73" i="14"/>
  <c r="N17" i="13" s="1"/>
  <c r="O27" i="13" s="1"/>
  <c r="H45" i="4"/>
  <c r="I45" i="4" s="1"/>
  <c r="G28" i="4"/>
  <c r="H28" i="4" s="1"/>
  <c r="C37" i="4"/>
  <c r="H15" i="13" s="1"/>
  <c r="I28" i="4"/>
  <c r="F62" i="4"/>
  <c r="G62" i="4" l="1"/>
  <c r="H62" i="4" s="1"/>
  <c r="I62" i="4" s="1"/>
  <c r="C71" i="4"/>
  <c r="H19" i="13" s="1"/>
</calcChain>
</file>

<file path=xl/sharedStrings.xml><?xml version="1.0" encoding="utf-8"?>
<sst xmlns="http://schemas.openxmlformats.org/spreadsheetml/2006/main" count="851" uniqueCount="143">
  <si>
    <t>P0</t>
  </si>
  <si>
    <t>P1</t>
  </si>
  <si>
    <t>P2</t>
  </si>
  <si>
    <t>P3</t>
  </si>
  <si>
    <t>P4</t>
  </si>
  <si>
    <t>P5</t>
  </si>
  <si>
    <t>Total</t>
  </si>
  <si>
    <t>Cash-flow</t>
  </si>
  <si>
    <t>Elementos</t>
  </si>
  <si>
    <t>VAL</t>
  </si>
  <si>
    <t>Taxa Atualização</t>
  </si>
  <si>
    <t>Reforços Manutenção Investimento</t>
  </si>
  <si>
    <t>Investimento inicial</t>
  </si>
  <si>
    <t>C</t>
  </si>
  <si>
    <t>D</t>
  </si>
  <si>
    <t>E</t>
  </si>
  <si>
    <t>F</t>
  </si>
  <si>
    <t>G</t>
  </si>
  <si>
    <t>H</t>
  </si>
  <si>
    <t>I</t>
  </si>
  <si>
    <t>Pay Back Period (Aplicação Multiplas)</t>
  </si>
  <si>
    <t>CF Acumulado (Aplicação Multipla)</t>
  </si>
  <si>
    <t>CF acumulado ( Aplicação Única)</t>
  </si>
  <si>
    <t xml:space="preserve">ESTUDO DE CASO </t>
  </si>
  <si>
    <t>IR (Aplicação Multiplas)</t>
  </si>
  <si>
    <t>TIR</t>
  </si>
  <si>
    <t>IR</t>
  </si>
  <si>
    <t>PBP</t>
  </si>
  <si>
    <t>Invest</t>
  </si>
  <si>
    <t>Inflação Previsional</t>
  </si>
  <si>
    <t>PRESSUPOSTOS DE BASE</t>
  </si>
  <si>
    <t>STOCK DE CAPITAL</t>
  </si>
  <si>
    <t>Codego Projeto</t>
  </si>
  <si>
    <t>Período 0</t>
  </si>
  <si>
    <t>Período 1</t>
  </si>
  <si>
    <t>Período 2</t>
  </si>
  <si>
    <t>Período 3</t>
  </si>
  <si>
    <t>Período 4</t>
  </si>
  <si>
    <t>Período 5</t>
  </si>
  <si>
    <t xml:space="preserve">Total </t>
  </si>
  <si>
    <t>Projeto MIM</t>
  </si>
  <si>
    <t>Projeto MAX</t>
  </si>
  <si>
    <t>Projeto ZAPY's</t>
  </si>
  <si>
    <t>Projeto ZANA's</t>
  </si>
  <si>
    <t>Projeto MAYO</t>
  </si>
  <si>
    <t>Projeto BVIST</t>
  </si>
  <si>
    <t>Projeto SAL</t>
  </si>
  <si>
    <t>Projeto PRAIA</t>
  </si>
  <si>
    <t>Projeto DANA</t>
  </si>
  <si>
    <t>Projeto DAMA</t>
  </si>
  <si>
    <t xml:space="preserve">Quadro 3 - Custo do Capital Ajustado ao Mecado </t>
  </si>
  <si>
    <t xml:space="preserve">IPC - Previsão  </t>
  </si>
  <si>
    <t>P6</t>
  </si>
  <si>
    <t>P7</t>
  </si>
  <si>
    <t>P8</t>
  </si>
  <si>
    <t>Taxa de juro</t>
  </si>
  <si>
    <t>Quadro 4 - Tendencias e previsões  de Inflação</t>
  </si>
  <si>
    <t xml:space="preserve">IPC - Historicos 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</si>
  <si>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</si>
  <si>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</si>
  <si>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</si>
  <si>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</si>
  <si>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</si>
  <si>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</si>
  <si>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</si>
  <si>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</si>
  <si>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</si>
  <si>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</si>
  <si>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</si>
  <si>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</si>
  <si>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Media IPC - Periodo</t>
  </si>
  <si>
    <t>Variação IPC - Historico</t>
  </si>
  <si>
    <t>IPC ( Inflação) Tendências previsionais</t>
  </si>
  <si>
    <t>Desconhecida</t>
  </si>
  <si>
    <t xml:space="preserve">Quadro 4 - Probabilidade aplicaveis aos fluxos previsionais dos projetos </t>
  </si>
  <si>
    <t>Probabilidade de Ocorrencia</t>
  </si>
  <si>
    <t>Probabilidade de não Ocorrencia</t>
  </si>
  <si>
    <t xml:space="preserve">CF acumulado </t>
  </si>
  <si>
    <t xml:space="preserve">VAL </t>
  </si>
  <si>
    <t xml:space="preserve">IR </t>
  </si>
  <si>
    <t xml:space="preserve">TIR </t>
  </si>
  <si>
    <t xml:space="preserve">Pay Back Period </t>
  </si>
  <si>
    <t>FICHA 3</t>
  </si>
  <si>
    <t>CRITERIO DE AVALIAÇÃO E ESCOLHA DE PROJETOS DE INVESTIMENTO</t>
  </si>
  <si>
    <t>Código projetos</t>
  </si>
  <si>
    <t>Invest.</t>
  </si>
  <si>
    <t>TAXA ATUALIZAÇÃO</t>
  </si>
  <si>
    <t>Determinação de fatores de atualização e da taxa de atualização</t>
  </si>
  <si>
    <t>Fator de Atualização corrigido inflação</t>
  </si>
  <si>
    <t>Taxa Atualização corrigido Inflação</t>
  </si>
  <si>
    <t xml:space="preserve">CLASSIFICAÇÃO DOS PROJETOS SEGUNDO :    VAL-CIP </t>
  </si>
  <si>
    <t>Projetos</t>
  </si>
  <si>
    <t>Cash Flow atualizados e corrigidos da inflação</t>
  </si>
  <si>
    <t>VAL_CIP</t>
  </si>
  <si>
    <t>Classificação</t>
  </si>
  <si>
    <t>7º</t>
  </si>
  <si>
    <t>6º</t>
  </si>
  <si>
    <t>1º</t>
  </si>
  <si>
    <t>5º</t>
  </si>
  <si>
    <t>4º</t>
  </si>
  <si>
    <t>2º</t>
  </si>
  <si>
    <t>9º</t>
  </si>
  <si>
    <t>3º</t>
  </si>
  <si>
    <t>8º</t>
  </si>
  <si>
    <t>Calculo Auxiliar</t>
  </si>
  <si>
    <t>10º</t>
  </si>
  <si>
    <t>RESUMO GERAL DAS CLASSIFICAÇÕES - MATRIZ DE DECISÃO</t>
  </si>
  <si>
    <t>CLASSIFICAÇÃO DOS PROJETOS SEGUNDO : VAL, IR, TIR e PBP e  VAL-CIP, VAR(X) E DP(VAR(X))</t>
  </si>
  <si>
    <t>PROJETOS</t>
  </si>
  <si>
    <t>PBP (anos)</t>
  </si>
  <si>
    <t>VAL-CIP</t>
  </si>
  <si>
    <t>VAR(X)</t>
  </si>
  <si>
    <t>Calssicação</t>
  </si>
  <si>
    <t>DP(VAR)</t>
  </si>
  <si>
    <t xml:space="preserve">OS TRES MELHORES PROJETOS </t>
  </si>
  <si>
    <t>Projeto com maoir investimento</t>
  </si>
  <si>
    <t>Projeto com menor investimento</t>
  </si>
  <si>
    <t xml:space="preserve">Projeto com maior Rentabilidade </t>
  </si>
  <si>
    <t xml:space="preserve">Projeto com menor Rentabilidade </t>
  </si>
  <si>
    <t>Projeto com maior espetativa de rentabilidade</t>
  </si>
  <si>
    <t>Projeto com menor espetativa de rentabilidade</t>
  </si>
  <si>
    <t>Projeto com maior risco</t>
  </si>
  <si>
    <t>Projeto com menor risco</t>
  </si>
  <si>
    <t>Projeto com maior de recuperação</t>
  </si>
  <si>
    <t>Projeto com menor tempo de recuperação</t>
  </si>
  <si>
    <t>CLASSIFICAÇÃO DOS PROJETOS SEGUNDO : DESVIO PADÃO, VARIANÇA</t>
  </si>
  <si>
    <t>Determinantes</t>
  </si>
  <si>
    <t>CF</t>
  </si>
  <si>
    <t>Pj</t>
  </si>
  <si>
    <t>CFj-M(x)</t>
  </si>
  <si>
    <t>(CFj -M(x))^2</t>
  </si>
  <si>
    <t>Pj*(CFj -M(x))^2</t>
  </si>
  <si>
    <t>Desvio Padão</t>
  </si>
  <si>
    <t>Média CF</t>
  </si>
  <si>
    <t>VAR(x)</t>
  </si>
  <si>
    <t xml:space="preserve">Probabilidade de não Ocorrencia dos fluxos varia de acordo com o periodo </t>
  </si>
  <si>
    <t>&gt;5</t>
  </si>
  <si>
    <r>
      <rPr>
        <b/>
        <i/>
        <sz val="14"/>
        <rFont val="Arial Narrow"/>
        <family val="2"/>
      </rPr>
      <t>Fonte</t>
    </r>
    <r>
      <rPr>
        <i/>
        <sz val="14"/>
        <rFont val="Arial Narrow"/>
        <family val="2"/>
      </rPr>
      <t>: Elaborado com base dados da INE, www.bcv.cv(2012)</t>
    </r>
  </si>
  <si>
    <r>
      <t xml:space="preserve">VAL </t>
    </r>
    <r>
      <rPr>
        <b/>
        <i/>
        <sz val="18"/>
        <color theme="1"/>
        <rFont val="Arial Narrow"/>
        <family val="2"/>
      </rPr>
      <t>(Aplicação Multiplas)</t>
    </r>
  </si>
  <si>
    <r>
      <t xml:space="preserve">TIR </t>
    </r>
    <r>
      <rPr>
        <b/>
        <i/>
        <sz val="18"/>
        <color theme="1"/>
        <rFont val="Arial Narrow"/>
        <family val="2"/>
      </rPr>
      <t>(Aplicação Multiplas)</t>
    </r>
  </si>
  <si>
    <t>Os 3 Melhore Projectos levando em conta a taxa de juro real de cada ano segundo o VAL-CIP e não o VAL que leva em conta a taxa de juro efectivo</t>
  </si>
  <si>
    <t>RECURSO Disponivel</t>
  </si>
  <si>
    <t>Atendendo ao contexto de restrição de 130.000, o projecto que deve ser financiados 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</si>
</sst>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164" formatCode="#,##0.0"/>
    <numFmt numFmtId="165" formatCode="0.0%"/>
    <numFmt numFmtId="166" formatCode="0.0"/>
    <numFmt numFmtId="167" formatCode="0.000"/>
    <numFmt numFmtId="168" formatCode="0.0000"/>
    <numFmt numFmtId="169" formatCode="0.00000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11"/>
      <color rgb="FFFF0000"/>
      <name val="Arial Narrow"/>
      <family val="2"/>
    </font>
    <font>
      <b/>
      <i/>
      <sz val="11"/>
      <color rgb="FF000000"/>
      <name val="Arial Narrow"/>
      <family val="2"/>
    </font>
    <font>
      <i/>
      <sz val="9"/>
      <color rgb="FF000000"/>
      <name val="Arial Narrow"/>
      <family val="2"/>
    </font>
    <font>
      <b/>
      <i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20"/>
      <color theme="1"/>
      <name val="Times New Roman"/>
      <family val="1"/>
    </font>
    <font>
      <b/>
      <sz val="14"/>
      <color theme="0"/>
      <name val="Times New Roman"/>
      <family val="1"/>
    </font>
    <font>
      <sz val="14"/>
      <color theme="1"/>
      <name val="Times New Roman"/>
      <family val="1"/>
    </font>
    <font>
      <b/>
      <sz val="14"/>
      <color rgb="FFFFFFFF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FF0000"/>
      <name val="Times New Roman"/>
      <family val="1"/>
    </font>
    <font>
      <i/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i/>
      <sz val="16"/>
      <color theme="1"/>
      <name val="Arial Narrow"/>
      <family val="2"/>
    </font>
    <font>
      <b/>
      <i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0"/>
      <name val="Arial Narrow"/>
      <family val="2"/>
    </font>
    <font>
      <sz val="14"/>
      <name val="Arial Narrow"/>
      <family val="2"/>
    </font>
    <font>
      <sz val="14"/>
      <color rgb="FF000000"/>
      <name val="Arial Narrow"/>
      <family val="2"/>
    </font>
    <font>
      <b/>
      <sz val="14"/>
      <name val="Arial Narrow"/>
      <family val="2"/>
    </font>
    <font>
      <sz val="14"/>
      <color theme="0"/>
      <name val="Arial Narrow"/>
      <family val="2"/>
    </font>
    <font>
      <i/>
      <sz val="14"/>
      <color theme="1"/>
      <name val="Arial Narrow"/>
      <family val="2"/>
    </font>
    <font>
      <i/>
      <sz val="14"/>
      <name val="Arial Narrow"/>
      <family val="2"/>
    </font>
    <font>
      <b/>
      <i/>
      <sz val="14"/>
      <name val="Arial Narrow"/>
      <family val="2"/>
    </font>
    <font>
      <sz val="18"/>
      <color theme="1"/>
      <name val="Arial Narrow"/>
      <family val="2"/>
    </font>
    <font>
      <b/>
      <sz val="18"/>
      <color theme="1"/>
      <name val="Arial Narrow"/>
      <family val="2"/>
    </font>
    <font>
      <b/>
      <i/>
      <sz val="18"/>
      <color theme="1"/>
      <name val="Arial Narrow"/>
      <family val="2"/>
    </font>
    <font>
      <i/>
      <sz val="18"/>
      <color theme="1"/>
      <name val="Arial Narrow"/>
      <family val="2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sz val="16"/>
      <color rgb="FF000000"/>
      <name val="Times New Roman"/>
      <family val="1"/>
    </font>
    <font>
      <b/>
      <sz val="16"/>
      <color rgb="FFFF0000"/>
      <name val="Times New Roman"/>
      <family val="1"/>
    </font>
    <font>
      <sz val="16"/>
      <color rgb="FFFF0000"/>
      <name val="Times New Roman"/>
      <family val="1"/>
    </font>
    <font>
      <sz val="16"/>
      <name val="Times New Roman"/>
      <family val="1"/>
    </font>
    <font>
      <b/>
      <i/>
      <sz val="16"/>
      <color rgb="FF000000"/>
      <name val="Times New Roman"/>
      <family val="1"/>
    </font>
    <font>
      <i/>
      <sz val="16"/>
      <color rgb="FF000000"/>
      <name val="Times New Roman"/>
      <family val="1"/>
    </font>
    <font>
      <b/>
      <sz val="20"/>
      <color theme="1"/>
      <name val="Times New Roman"/>
      <family val="1"/>
    </font>
    <font>
      <i/>
      <sz val="16"/>
      <color theme="1"/>
      <name val="Times New Roman"/>
      <family val="1"/>
    </font>
    <font>
      <b/>
      <sz val="16"/>
      <color theme="0"/>
      <name val="Times New Roman"/>
      <family val="1"/>
    </font>
    <font>
      <b/>
      <sz val="16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405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3" fontId="1" fillId="2" borderId="0" xfId="0" applyNumberFormat="1" applyFont="1" applyFill="1" applyBorder="1"/>
    <xf numFmtId="0" fontId="2" fillId="2" borderId="0" xfId="0" applyFont="1" applyFill="1"/>
    <xf numFmtId="3" fontId="1" fillId="2" borderId="0" xfId="0" applyNumberFormat="1" applyFont="1" applyFill="1"/>
    <xf numFmtId="0" fontId="1" fillId="2" borderId="1" xfId="0" applyFont="1" applyFill="1" applyBorder="1"/>
    <xf numFmtId="0" fontId="1" fillId="2" borderId="0" xfId="0" applyFont="1" applyFill="1" applyAlignment="1">
      <alignment horizontal="center"/>
    </xf>
    <xf numFmtId="0" fontId="4" fillId="2" borderId="0" xfId="0" applyFont="1" applyFill="1" applyBorder="1"/>
    <xf numFmtId="0" fontId="4" fillId="2" borderId="3" xfId="0" applyFont="1" applyFill="1" applyBorder="1"/>
    <xf numFmtId="0" fontId="1" fillId="2" borderId="12" xfId="0" applyFont="1" applyFill="1" applyBorder="1"/>
    <xf numFmtId="3" fontId="1" fillId="2" borderId="12" xfId="0" applyNumberFormat="1" applyFont="1" applyFill="1" applyBorder="1"/>
    <xf numFmtId="0" fontId="1" fillId="2" borderId="4" xfId="0" applyFont="1" applyFill="1" applyBorder="1"/>
    <xf numFmtId="0" fontId="1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0" fillId="2" borderId="0" xfId="0" applyFill="1"/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3" fontId="10" fillId="2" borderId="10" xfId="0" applyNumberFormat="1" applyFont="1" applyFill="1" applyBorder="1" applyAlignment="1">
      <alignment horizontal="center"/>
    </xf>
    <xf numFmtId="3" fontId="5" fillId="2" borderId="0" xfId="0" applyNumberFormat="1" applyFont="1" applyFill="1" applyBorder="1"/>
    <xf numFmtId="3" fontId="11" fillId="2" borderId="0" xfId="0" applyNumberFormat="1" applyFont="1" applyFill="1" applyBorder="1"/>
    <xf numFmtId="3" fontId="9" fillId="2" borderId="0" xfId="0" applyNumberFormat="1" applyFont="1" applyFill="1" applyBorder="1"/>
    <xf numFmtId="10" fontId="10" fillId="10" borderId="0" xfId="0" applyNumberFormat="1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3" fillId="2" borderId="0" xfId="0" applyFont="1" applyFill="1"/>
    <xf numFmtId="0" fontId="4" fillId="2" borderId="4" xfId="0" applyFont="1" applyFill="1" applyBorder="1"/>
    <xf numFmtId="0" fontId="3" fillId="2" borderId="6" xfId="0" applyFont="1" applyFill="1" applyBorder="1"/>
    <xf numFmtId="0" fontId="14" fillId="2" borderId="15" xfId="0" applyFont="1" applyFill="1" applyBorder="1"/>
    <xf numFmtId="0" fontId="0" fillId="2" borderId="16" xfId="0" applyFill="1" applyBorder="1"/>
    <xf numFmtId="10" fontId="4" fillId="2" borderId="15" xfId="1" applyNumberFormat="1" applyFont="1" applyFill="1" applyBorder="1"/>
    <xf numFmtId="9" fontId="4" fillId="2" borderId="0" xfId="1" applyFont="1" applyFill="1"/>
    <xf numFmtId="0" fontId="0" fillId="2" borderId="0" xfId="0" applyFill="1" applyBorder="1"/>
    <xf numFmtId="0" fontId="9" fillId="2" borderId="4" xfId="0" applyFont="1" applyFill="1" applyBorder="1" applyAlignment="1">
      <alignment horizontal="center"/>
    </xf>
    <xf numFmtId="0" fontId="8" fillId="2" borderId="3" xfId="0" applyFont="1" applyFill="1" applyBorder="1" applyAlignment="1"/>
    <xf numFmtId="0" fontId="8" fillId="2" borderId="6" xfId="0" applyFont="1" applyFill="1" applyBorder="1" applyAlignment="1"/>
    <xf numFmtId="0" fontId="8" fillId="5" borderId="4" xfId="0" applyFont="1" applyFill="1" applyBorder="1" applyAlignment="1">
      <alignment horizontal="center"/>
    </xf>
    <xf numFmtId="0" fontId="0" fillId="2" borderId="4" xfId="0" applyFill="1" applyBorder="1"/>
    <xf numFmtId="0" fontId="1" fillId="2" borderId="8" xfId="0" applyFont="1" applyFill="1" applyBorder="1" applyAlignment="1">
      <alignment horizontal="center"/>
    </xf>
    <xf numFmtId="3" fontId="1" fillId="2" borderId="4" xfId="0" applyNumberFormat="1" applyFont="1" applyFill="1" applyBorder="1"/>
    <xf numFmtId="1" fontId="1" fillId="2" borderId="7" xfId="0" applyNumberFormat="1" applyFont="1" applyFill="1" applyBorder="1"/>
    <xf numFmtId="3" fontId="0" fillId="5" borderId="4" xfId="0" applyNumberFormat="1" applyFill="1" applyBorder="1"/>
    <xf numFmtId="0" fontId="1" fillId="2" borderId="1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2" fillId="10" borderId="15" xfId="0" applyFont="1" applyFill="1" applyBorder="1"/>
    <xf numFmtId="10" fontId="10" fillId="10" borderId="15" xfId="0" applyNumberFormat="1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1" fontId="1" fillId="2" borderId="3" xfId="0" applyNumberFormat="1" applyFont="1" applyFill="1" applyBorder="1"/>
    <xf numFmtId="3" fontId="10" fillId="2" borderId="8" xfId="0" applyNumberFormat="1" applyFont="1" applyFill="1" applyBorder="1" applyAlignment="1">
      <alignment horizontal="center"/>
    </xf>
    <xf numFmtId="10" fontId="4" fillId="2" borderId="14" xfId="1" applyNumberFormat="1" applyFont="1" applyFill="1" applyBorder="1"/>
    <xf numFmtId="167" fontId="1" fillId="2" borderId="1" xfId="0" applyNumberFormat="1" applyFont="1" applyFill="1" applyBorder="1"/>
    <xf numFmtId="168" fontId="1" fillId="2" borderId="1" xfId="0" applyNumberFormat="1" applyFont="1" applyFill="1" applyBorder="1"/>
    <xf numFmtId="2" fontId="0" fillId="2" borderId="1" xfId="0" applyNumberFormat="1" applyFill="1" applyBorder="1"/>
    <xf numFmtId="0" fontId="0" fillId="2" borderId="1" xfId="0" applyFill="1" applyBorder="1"/>
    <xf numFmtId="10" fontId="0" fillId="2" borderId="1" xfId="0" applyNumberFormat="1" applyFill="1" applyBorder="1"/>
    <xf numFmtId="3" fontId="0" fillId="2" borderId="0" xfId="0" applyNumberFormat="1" applyFill="1"/>
    <xf numFmtId="0" fontId="12" fillId="10" borderId="14" xfId="0" applyFont="1" applyFill="1" applyBorder="1"/>
    <xf numFmtId="10" fontId="10" fillId="10" borderId="1" xfId="0" applyNumberFormat="1" applyFont="1" applyFill="1" applyBorder="1" applyAlignment="1">
      <alignment horizontal="center"/>
    </xf>
    <xf numFmtId="3" fontId="1" fillId="2" borderId="0" xfId="0" applyNumberFormat="1" applyFont="1" applyFill="1" applyAlignment="1">
      <alignment horizontal="right"/>
    </xf>
    <xf numFmtId="0" fontId="8" fillId="2" borderId="0" xfId="0" applyFont="1" applyFill="1" applyBorder="1" applyAlignment="1"/>
    <xf numFmtId="0" fontId="15" fillId="2" borderId="4" xfId="0" applyFont="1" applyFill="1" applyBorder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0" fontId="9" fillId="2" borderId="4" xfId="0" applyFont="1" applyFill="1" applyBorder="1"/>
    <xf numFmtId="164" fontId="1" fillId="2" borderId="0" xfId="0" applyNumberFormat="1" applyFont="1" applyFill="1" applyAlignment="1">
      <alignment horizontal="center"/>
    </xf>
    <xf numFmtId="3" fontId="10" fillId="2" borderId="0" xfId="0" applyNumberFormat="1" applyFont="1" applyFill="1" applyBorder="1" applyAlignment="1">
      <alignment horizontal="right"/>
    </xf>
    <xf numFmtId="0" fontId="10" fillId="2" borderId="12" xfId="0" applyFont="1" applyFill="1" applyBorder="1" applyAlignment="1">
      <alignment horizontal="center"/>
    </xf>
    <xf numFmtId="3" fontId="10" fillId="2" borderId="12" xfId="0" applyNumberFormat="1" applyFont="1" applyFill="1" applyBorder="1" applyAlignment="1">
      <alignment horizontal="right"/>
    </xf>
    <xf numFmtId="0" fontId="1" fillId="2" borderId="20" xfId="0" applyFont="1" applyFill="1" applyBorder="1" applyAlignment="1">
      <alignment horizontal="center"/>
    </xf>
    <xf numFmtId="3" fontId="2" fillId="2" borderId="12" xfId="0" applyNumberFormat="1" applyFont="1" applyFill="1" applyBorder="1"/>
    <xf numFmtId="0" fontId="1" fillId="2" borderId="20" xfId="0" applyFont="1" applyFill="1" applyBorder="1"/>
    <xf numFmtId="0" fontId="2" fillId="2" borderId="20" xfId="0" applyFont="1" applyFill="1" applyBorder="1" applyAlignment="1">
      <alignment horizontal="right"/>
    </xf>
    <xf numFmtId="3" fontId="2" fillId="2" borderId="20" xfId="0" applyNumberFormat="1" applyFont="1" applyFill="1" applyBorder="1"/>
    <xf numFmtId="1" fontId="2" fillId="2" borderId="20" xfId="0" applyNumberFormat="1" applyFont="1" applyFill="1" applyBorder="1"/>
    <xf numFmtId="3" fontId="10" fillId="2" borderId="9" xfId="0" applyNumberFormat="1" applyFont="1" applyFill="1" applyBorder="1" applyAlignment="1">
      <alignment horizontal="center"/>
    </xf>
    <xf numFmtId="3" fontId="10" fillId="2" borderId="7" xfId="0" applyNumberFormat="1" applyFont="1" applyFill="1" applyBorder="1" applyAlignment="1">
      <alignment horizontal="center"/>
    </xf>
    <xf numFmtId="3" fontId="10" fillId="2" borderId="14" xfId="0" applyNumberFormat="1" applyFont="1" applyFill="1" applyBorder="1" applyAlignment="1">
      <alignment horizontal="center"/>
    </xf>
    <xf numFmtId="3" fontId="10" fillId="2" borderId="15" xfId="0" applyNumberFormat="1" applyFont="1" applyFill="1" applyBorder="1" applyAlignment="1">
      <alignment horizontal="center"/>
    </xf>
    <xf numFmtId="3" fontId="2" fillId="2" borderId="6" xfId="0" applyNumberFormat="1" applyFont="1" applyFill="1" applyBorder="1"/>
    <xf numFmtId="0" fontId="1" fillId="2" borderId="6" xfId="0" applyFont="1" applyFill="1" applyBorder="1"/>
    <xf numFmtId="0" fontId="2" fillId="2" borderId="6" xfId="0" applyFont="1" applyFill="1" applyBorder="1" applyAlignment="1">
      <alignment horizontal="right"/>
    </xf>
    <xf numFmtId="1" fontId="2" fillId="2" borderId="5" xfId="0" applyNumberFormat="1" applyFont="1" applyFill="1" applyBorder="1"/>
    <xf numFmtId="0" fontId="10" fillId="7" borderId="3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10" fillId="7" borderId="9" xfId="0" applyFont="1" applyFill="1" applyBorder="1" applyAlignment="1">
      <alignment horizontal="center"/>
    </xf>
    <xf numFmtId="0" fontId="10" fillId="7" borderId="14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16" fillId="2" borderId="0" xfId="0" applyFont="1" applyFill="1"/>
    <xf numFmtId="0" fontId="18" fillId="2" borderId="0" xfId="0" applyFont="1" applyFill="1"/>
    <xf numFmtId="0" fontId="20" fillId="10" borderId="0" xfId="0" applyFont="1" applyFill="1"/>
    <xf numFmtId="0" fontId="20" fillId="10" borderId="4" xfId="0" applyFont="1" applyFill="1" applyBorder="1" applyAlignment="1">
      <alignment horizontal="center"/>
    </xf>
    <xf numFmtId="0" fontId="20" fillId="12" borderId="5" xfId="0" applyFont="1" applyFill="1" applyBorder="1" applyAlignment="1">
      <alignment horizontal="center"/>
    </xf>
    <xf numFmtId="0" fontId="20" fillId="10" borderId="5" xfId="0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/>
    </xf>
    <xf numFmtId="0" fontId="21" fillId="12" borderId="5" xfId="0" applyFont="1" applyFill="1" applyBorder="1" applyAlignment="1">
      <alignment horizontal="center"/>
    </xf>
    <xf numFmtId="0" fontId="21" fillId="10" borderId="5" xfId="0" applyFont="1" applyFill="1" applyBorder="1" applyAlignment="1">
      <alignment horizontal="center"/>
    </xf>
    <xf numFmtId="0" fontId="21" fillId="10" borderId="4" xfId="0" applyFont="1" applyFill="1" applyBorder="1" applyAlignment="1">
      <alignment horizontal="center"/>
    </xf>
    <xf numFmtId="0" fontId="20" fillId="10" borderId="7" xfId="0" applyFont="1" applyFill="1" applyBorder="1" applyAlignment="1">
      <alignment horizontal="left"/>
    </xf>
    <xf numFmtId="3" fontId="20" fillId="12" borderId="8" xfId="0" applyNumberFormat="1" applyFont="1" applyFill="1" applyBorder="1" applyAlignment="1">
      <alignment horizontal="center"/>
    </xf>
    <xf numFmtId="0" fontId="18" fillId="2" borderId="19" xfId="0" applyFont="1" applyFill="1" applyBorder="1" applyAlignment="1">
      <alignment horizontal="center" vertical="center"/>
    </xf>
    <xf numFmtId="169" fontId="18" fillId="12" borderId="11" xfId="0" applyNumberFormat="1" applyFont="1" applyFill="1" applyBorder="1" applyAlignment="1">
      <alignment horizontal="center"/>
    </xf>
    <xf numFmtId="0" fontId="18" fillId="10" borderId="11" xfId="0" applyFont="1" applyFill="1" applyBorder="1" applyAlignment="1">
      <alignment horizontal="center"/>
    </xf>
    <xf numFmtId="10" fontId="18" fillId="12" borderId="11" xfId="0" applyNumberFormat="1" applyFont="1" applyFill="1" applyBorder="1" applyAlignment="1">
      <alignment horizontal="center"/>
    </xf>
    <xf numFmtId="0" fontId="20" fillId="10" borderId="8" xfId="0" applyFont="1" applyFill="1" applyBorder="1" applyAlignment="1">
      <alignment horizontal="center"/>
    </xf>
    <xf numFmtId="3" fontId="18" fillId="10" borderId="0" xfId="0" applyNumberFormat="1" applyFont="1" applyFill="1" applyAlignment="1">
      <alignment horizontal="right"/>
    </xf>
    <xf numFmtId="0" fontId="18" fillId="10" borderId="8" xfId="0" applyFont="1" applyFill="1" applyBorder="1" applyAlignment="1">
      <alignment horizontal="center"/>
    </xf>
    <xf numFmtId="1" fontId="20" fillId="6" borderId="8" xfId="0" applyNumberFormat="1" applyFont="1" applyFill="1" applyBorder="1" applyAlignment="1">
      <alignment horizontal="right"/>
    </xf>
    <xf numFmtId="0" fontId="18" fillId="6" borderId="11" xfId="0" applyFont="1" applyFill="1" applyBorder="1" applyAlignment="1">
      <alignment horizontal="center"/>
    </xf>
    <xf numFmtId="0" fontId="20" fillId="10" borderId="9" xfId="0" applyFont="1" applyFill="1" applyBorder="1" applyAlignment="1">
      <alignment horizontal="left"/>
    </xf>
    <xf numFmtId="3" fontId="20" fillId="12" borderId="10" xfId="0" applyNumberFormat="1" applyFont="1" applyFill="1" applyBorder="1" applyAlignment="1">
      <alignment horizontal="center"/>
    </xf>
    <xf numFmtId="0" fontId="18" fillId="2" borderId="11" xfId="0" applyFont="1" applyFill="1" applyBorder="1" applyAlignment="1">
      <alignment horizontal="center" vertical="center"/>
    </xf>
    <xf numFmtId="3" fontId="20" fillId="6" borderId="10" xfId="0" applyNumberFormat="1" applyFont="1" applyFill="1" applyBorder="1" applyAlignment="1">
      <alignment horizontal="right"/>
    </xf>
    <xf numFmtId="0" fontId="20" fillId="10" borderId="10" xfId="0" applyFont="1" applyFill="1" applyBorder="1" applyAlignment="1">
      <alignment horizontal="center"/>
    </xf>
    <xf numFmtId="0" fontId="18" fillId="10" borderId="10" xfId="0" applyFont="1" applyFill="1" applyBorder="1" applyAlignment="1">
      <alignment horizontal="center"/>
    </xf>
    <xf numFmtId="3" fontId="20" fillId="10" borderId="10" xfId="0" applyNumberFormat="1" applyFont="1" applyFill="1" applyBorder="1" applyAlignment="1">
      <alignment horizontal="right"/>
    </xf>
    <xf numFmtId="0" fontId="18" fillId="2" borderId="0" xfId="0" applyFont="1" applyFill="1" applyAlignment="1">
      <alignment horizontal="center"/>
    </xf>
    <xf numFmtId="0" fontId="23" fillId="10" borderId="10" xfId="0" applyFont="1" applyFill="1" applyBorder="1" applyAlignment="1">
      <alignment horizontal="center"/>
    </xf>
    <xf numFmtId="1" fontId="20" fillId="6" borderId="10" xfId="0" applyNumberFormat="1" applyFont="1" applyFill="1" applyBorder="1" applyAlignment="1">
      <alignment horizontal="right"/>
    </xf>
    <xf numFmtId="0" fontId="18" fillId="6" borderId="11" xfId="0" applyFont="1" applyFill="1" applyBorder="1" applyAlignment="1">
      <alignment horizontal="center" vertical="center"/>
    </xf>
    <xf numFmtId="0" fontId="22" fillId="6" borderId="11" xfId="0" applyFont="1" applyFill="1" applyBorder="1" applyAlignment="1">
      <alignment horizontal="center"/>
    </xf>
    <xf numFmtId="0" fontId="18" fillId="6" borderId="10" xfId="0" applyFont="1" applyFill="1" applyBorder="1" applyAlignment="1">
      <alignment horizontal="center"/>
    </xf>
    <xf numFmtId="1" fontId="20" fillId="10" borderId="10" xfId="0" applyNumberFormat="1" applyFont="1" applyFill="1" applyBorder="1" applyAlignment="1">
      <alignment horizontal="right"/>
    </xf>
    <xf numFmtId="0" fontId="20" fillId="6" borderId="10" xfId="0" applyFont="1" applyFill="1" applyBorder="1" applyAlignment="1">
      <alignment horizontal="center"/>
    </xf>
    <xf numFmtId="0" fontId="25" fillId="6" borderId="11" xfId="0" applyFont="1" applyFill="1" applyBorder="1" applyAlignment="1">
      <alignment horizontal="center" vertical="center"/>
    </xf>
    <xf numFmtId="0" fontId="20" fillId="10" borderId="14" xfId="0" applyFont="1" applyFill="1" applyBorder="1" applyAlignment="1">
      <alignment horizontal="left"/>
    </xf>
    <xf numFmtId="0" fontId="18" fillId="6" borderId="17" xfId="0" applyFont="1" applyFill="1" applyBorder="1" applyAlignment="1">
      <alignment horizontal="center" vertical="center"/>
    </xf>
    <xf numFmtId="169" fontId="18" fillId="12" borderId="17" xfId="0" applyNumberFormat="1" applyFont="1" applyFill="1" applyBorder="1" applyAlignment="1">
      <alignment horizontal="center"/>
    </xf>
    <xf numFmtId="0" fontId="18" fillId="6" borderId="17" xfId="0" applyFont="1" applyFill="1" applyBorder="1" applyAlignment="1">
      <alignment horizontal="center"/>
    </xf>
    <xf numFmtId="10" fontId="18" fillId="12" borderId="17" xfId="0" applyNumberFormat="1" applyFont="1" applyFill="1" applyBorder="1" applyAlignment="1">
      <alignment horizontal="center"/>
    </xf>
    <xf numFmtId="3" fontId="20" fillId="6" borderId="15" xfId="0" applyNumberFormat="1" applyFont="1" applyFill="1" applyBorder="1" applyAlignment="1">
      <alignment horizontal="right"/>
    </xf>
    <xf numFmtId="0" fontId="20" fillId="6" borderId="15" xfId="0" applyFont="1" applyFill="1" applyBorder="1" applyAlignment="1">
      <alignment horizontal="center"/>
    </xf>
    <xf numFmtId="3" fontId="18" fillId="10" borderId="16" xfId="0" applyNumberFormat="1" applyFont="1" applyFill="1" applyBorder="1" applyAlignment="1">
      <alignment horizontal="right"/>
    </xf>
    <xf numFmtId="0" fontId="18" fillId="6" borderId="15" xfId="0" applyFont="1" applyFill="1" applyBorder="1" applyAlignment="1">
      <alignment horizontal="center"/>
    </xf>
    <xf numFmtId="3" fontId="20" fillId="10" borderId="15" xfId="0" applyNumberFormat="1" applyFont="1" applyFill="1" applyBorder="1" applyAlignment="1">
      <alignment horizontal="right"/>
    </xf>
    <xf numFmtId="0" fontId="18" fillId="10" borderId="17" xfId="0" applyFont="1" applyFill="1" applyBorder="1" applyAlignment="1">
      <alignment horizontal="center"/>
    </xf>
    <xf numFmtId="0" fontId="18" fillId="0" borderId="0" xfId="0" applyFont="1"/>
    <xf numFmtId="0" fontId="18" fillId="8" borderId="0" xfId="0" applyFont="1" applyFill="1"/>
    <xf numFmtId="0" fontId="18" fillId="3" borderId="0" xfId="0" applyFont="1" applyFill="1"/>
    <xf numFmtId="0" fontId="26" fillId="2" borderId="0" xfId="0" applyFont="1" applyFill="1" applyAlignment="1">
      <alignment horizontal="center"/>
    </xf>
    <xf numFmtId="0" fontId="27" fillId="2" borderId="0" xfId="0" applyFont="1" applyFill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27" fillId="2" borderId="0" xfId="0" applyFont="1" applyFill="1" applyBorder="1" applyAlignment="1">
      <alignment horizontal="center"/>
    </xf>
    <xf numFmtId="3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 applyAlignment="1">
      <alignment horizontal="right"/>
    </xf>
    <xf numFmtId="2" fontId="18" fillId="2" borderId="0" xfId="0" applyNumberFormat="1" applyFont="1" applyFill="1" applyAlignment="1">
      <alignment horizontal="center"/>
    </xf>
    <xf numFmtId="9" fontId="18" fillId="2" borderId="0" xfId="1" applyFont="1" applyFill="1" applyAlignment="1">
      <alignment horizontal="center"/>
    </xf>
    <xf numFmtId="1" fontId="18" fillId="2" borderId="0" xfId="0" applyNumberFormat="1" applyFont="1" applyFill="1" applyAlignment="1">
      <alignment horizontal="right"/>
    </xf>
    <xf numFmtId="3" fontId="18" fillId="2" borderId="0" xfId="0" applyNumberFormat="1" applyFont="1" applyFill="1"/>
    <xf numFmtId="3" fontId="17" fillId="8" borderId="0" xfId="0" applyNumberFormat="1" applyFont="1" applyFill="1" applyAlignment="1">
      <alignment horizontal="center"/>
    </xf>
    <xf numFmtId="4" fontId="18" fillId="8" borderId="0" xfId="0" applyNumberFormat="1" applyFont="1" applyFill="1"/>
    <xf numFmtId="0" fontId="18" fillId="2" borderId="8" xfId="0" applyFont="1" applyFill="1" applyBorder="1"/>
    <xf numFmtId="0" fontId="18" fillId="2" borderId="7" xfId="0" applyFont="1" applyFill="1" applyBorder="1"/>
    <xf numFmtId="0" fontId="18" fillId="2" borderId="18" xfId="0" applyFont="1" applyFill="1" applyBorder="1"/>
    <xf numFmtId="0" fontId="18" fillId="2" borderId="19" xfId="0" applyFont="1" applyFill="1" applyBorder="1"/>
    <xf numFmtId="0" fontId="22" fillId="2" borderId="8" xfId="0" applyFont="1" applyFill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0" fontId="22" fillId="2" borderId="7" xfId="0" applyFont="1" applyFill="1" applyBorder="1"/>
    <xf numFmtId="0" fontId="22" fillId="2" borderId="18" xfId="0" applyFont="1" applyFill="1" applyBorder="1"/>
    <xf numFmtId="0" fontId="22" fillId="2" borderId="19" xfId="0" applyFont="1" applyFill="1" applyBorder="1"/>
    <xf numFmtId="0" fontId="22" fillId="2" borderId="10" xfId="0" applyFont="1" applyFill="1" applyBorder="1"/>
    <xf numFmtId="0" fontId="22" fillId="2" borderId="9" xfId="0" applyFont="1" applyFill="1" applyBorder="1"/>
    <xf numFmtId="0" fontId="22" fillId="2" borderId="0" xfId="0" applyFont="1" applyFill="1" applyBorder="1"/>
    <xf numFmtId="0" fontId="22" fillId="2" borderId="11" xfId="0" applyFont="1" applyFill="1" applyBorder="1"/>
    <xf numFmtId="0" fontId="18" fillId="2" borderId="10" xfId="0" applyFont="1" applyFill="1" applyBorder="1" applyAlignment="1">
      <alignment horizontal="center"/>
    </xf>
    <xf numFmtId="0" fontId="18" fillId="2" borderId="9" xfId="0" applyFont="1" applyFill="1" applyBorder="1"/>
    <xf numFmtId="0" fontId="18" fillId="2" borderId="0" xfId="0" applyFont="1" applyFill="1" applyBorder="1"/>
    <xf numFmtId="0" fontId="18" fillId="2" borderId="11" xfId="0" applyFont="1" applyFill="1" applyBorder="1"/>
    <xf numFmtId="0" fontId="18" fillId="2" borderId="10" xfId="0" applyFont="1" applyFill="1" applyBorder="1"/>
    <xf numFmtId="0" fontId="18" fillId="2" borderId="15" xfId="0" applyFont="1" applyFill="1" applyBorder="1"/>
    <xf numFmtId="0" fontId="18" fillId="2" borderId="14" xfId="0" applyFont="1" applyFill="1" applyBorder="1"/>
    <xf numFmtId="0" fontId="18" fillId="2" borderId="16" xfId="0" applyFont="1" applyFill="1" applyBorder="1"/>
    <xf numFmtId="0" fontId="18" fillId="2" borderId="17" xfId="0" applyFont="1" applyFill="1" applyBorder="1"/>
    <xf numFmtId="0" fontId="18" fillId="2" borderId="15" xfId="0" applyFont="1" applyFill="1" applyBorder="1" applyAlignment="1">
      <alignment horizontal="center"/>
    </xf>
    <xf numFmtId="0" fontId="18" fillId="13" borderId="1" xfId="0" applyFont="1" applyFill="1" applyBorder="1" applyAlignment="1">
      <alignment horizontal="right"/>
    </xf>
    <xf numFmtId="0" fontId="18" fillId="13" borderId="1" xfId="0" applyFont="1" applyFill="1" applyBorder="1"/>
    <xf numFmtId="3" fontId="18" fillId="2" borderId="1" xfId="0" applyNumberFormat="1" applyFont="1" applyFill="1" applyBorder="1"/>
    <xf numFmtId="3" fontId="18" fillId="2" borderId="1" xfId="0" applyNumberFormat="1" applyFont="1" applyFill="1" applyBorder="1" applyAlignment="1">
      <alignment horizontal="center" vertical="center"/>
    </xf>
    <xf numFmtId="169" fontId="18" fillId="2" borderId="1" xfId="0" applyNumberFormat="1" applyFont="1" applyFill="1" applyBorder="1" applyAlignment="1">
      <alignment horizontal="center" vertical="center"/>
    </xf>
    <xf numFmtId="10" fontId="18" fillId="2" borderId="1" xfId="0" applyNumberFormat="1" applyFont="1" applyFill="1" applyBorder="1" applyAlignment="1">
      <alignment horizontal="center" vertical="center"/>
    </xf>
    <xf numFmtId="2" fontId="18" fillId="2" borderId="1" xfId="0" applyNumberFormat="1" applyFont="1" applyFill="1" applyBorder="1" applyAlignment="1">
      <alignment horizontal="center" vertical="center"/>
    </xf>
    <xf numFmtId="1" fontId="18" fillId="2" borderId="1" xfId="0" applyNumberFormat="1" applyFont="1" applyFill="1" applyBorder="1"/>
    <xf numFmtId="0" fontId="28" fillId="2" borderId="0" xfId="0" applyFont="1" applyFill="1"/>
    <xf numFmtId="0" fontId="28" fillId="2" borderId="0" xfId="0" applyFont="1" applyFill="1" applyBorder="1"/>
    <xf numFmtId="0" fontId="28" fillId="2" borderId="1" xfId="0" applyFont="1" applyFill="1" applyBorder="1" applyAlignment="1">
      <alignment horizontal="center"/>
    </xf>
    <xf numFmtId="0" fontId="29" fillId="4" borderId="1" xfId="0" applyFont="1" applyFill="1" applyBorder="1"/>
    <xf numFmtId="0" fontId="29" fillId="4" borderId="1" xfId="0" applyFont="1" applyFill="1" applyBorder="1" applyAlignment="1">
      <alignment horizontal="center"/>
    </xf>
    <xf numFmtId="0" fontId="29" fillId="2" borderId="0" xfId="0" applyFont="1" applyFill="1"/>
    <xf numFmtId="0" fontId="29" fillId="0" borderId="0" xfId="0" applyFont="1"/>
    <xf numFmtId="0" fontId="28" fillId="2" borderId="1" xfId="0" applyFont="1" applyFill="1" applyBorder="1"/>
    <xf numFmtId="3" fontId="28" fillId="2" borderId="1" xfId="0" applyNumberFormat="1" applyFont="1" applyFill="1" applyBorder="1"/>
    <xf numFmtId="3" fontId="28" fillId="2" borderId="0" xfId="0" applyNumberFormat="1" applyFont="1" applyFill="1" applyBorder="1"/>
    <xf numFmtId="0" fontId="28" fillId="0" borderId="0" xfId="0" applyFont="1"/>
    <xf numFmtId="0" fontId="30" fillId="2" borderId="1" xfId="0" applyFont="1" applyFill="1" applyBorder="1"/>
    <xf numFmtId="10" fontId="28" fillId="2" borderId="1" xfId="0" applyNumberFormat="1" applyFont="1" applyFill="1" applyBorder="1"/>
    <xf numFmtId="3" fontId="28" fillId="2" borderId="0" xfId="0" applyNumberFormat="1" applyFont="1" applyFill="1"/>
    <xf numFmtId="0" fontId="29" fillId="2" borderId="1" xfId="0" applyFont="1" applyFill="1" applyBorder="1"/>
    <xf numFmtId="3" fontId="29" fillId="2" borderId="1" xfId="0" applyNumberFormat="1" applyFont="1" applyFill="1" applyBorder="1"/>
    <xf numFmtId="3" fontId="29" fillId="2" borderId="0" xfId="0" applyNumberFormat="1" applyFont="1" applyFill="1"/>
    <xf numFmtId="2" fontId="29" fillId="2" borderId="1" xfId="0" applyNumberFormat="1" applyFont="1" applyFill="1" applyBorder="1"/>
    <xf numFmtId="0" fontId="29" fillId="2" borderId="0" xfId="0" applyFont="1" applyFill="1" applyBorder="1" applyAlignment="1"/>
    <xf numFmtId="0" fontId="31" fillId="2" borderId="0" xfId="0" applyFont="1" applyFill="1" applyBorder="1" applyAlignment="1">
      <alignment horizontal="center"/>
    </xf>
    <xf numFmtId="0" fontId="29" fillId="2" borderId="0" xfId="0" applyFont="1" applyFill="1" applyBorder="1" applyAlignment="1">
      <alignment horizontal="center"/>
    </xf>
    <xf numFmtId="2" fontId="28" fillId="2" borderId="0" xfId="0" applyNumberFormat="1" applyFont="1" applyFill="1" applyBorder="1"/>
    <xf numFmtId="2" fontId="28" fillId="2" borderId="1" xfId="0" applyNumberFormat="1" applyFont="1" applyFill="1" applyBorder="1"/>
    <xf numFmtId="0" fontId="28" fillId="6" borderId="0" xfId="0" applyFont="1" applyFill="1"/>
    <xf numFmtId="8" fontId="28" fillId="2" borderId="0" xfId="0" applyNumberFormat="1" applyFont="1" applyFill="1"/>
    <xf numFmtId="0" fontId="29" fillId="2" borderId="2" xfId="0" applyFont="1" applyFill="1" applyBorder="1" applyAlignment="1"/>
    <xf numFmtId="10" fontId="29" fillId="2" borderId="1" xfId="0" applyNumberFormat="1" applyFont="1" applyFill="1" applyBorder="1" applyAlignment="1">
      <alignment horizontal="center"/>
    </xf>
    <xf numFmtId="10" fontId="28" fillId="2" borderId="0" xfId="0" applyNumberFormat="1" applyFont="1" applyFill="1"/>
    <xf numFmtId="2" fontId="28" fillId="6" borderId="1" xfId="0" applyNumberFormat="1" applyFont="1" applyFill="1" applyBorder="1"/>
    <xf numFmtId="0" fontId="33" fillId="2" borderId="0" xfId="0" applyFont="1" applyFill="1"/>
    <xf numFmtId="3" fontId="33" fillId="2" borderId="0" xfId="0" applyNumberFormat="1" applyFont="1" applyFill="1"/>
    <xf numFmtId="0" fontId="33" fillId="2" borderId="12" xfId="0" applyFont="1" applyFill="1" applyBorder="1"/>
    <xf numFmtId="0" fontId="34" fillId="2" borderId="0" xfId="0" applyFont="1" applyFill="1" applyBorder="1" applyAlignment="1"/>
    <xf numFmtId="0" fontId="35" fillId="2" borderId="12" xfId="0" applyFont="1" applyFill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7" fillId="2" borderId="12" xfId="0" applyFont="1" applyFill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0" fontId="33" fillId="6" borderId="0" xfId="0" applyFont="1" applyFill="1"/>
    <xf numFmtId="3" fontId="35" fillId="2" borderId="0" xfId="0" applyNumberFormat="1" applyFont="1" applyFill="1"/>
    <xf numFmtId="3" fontId="37" fillId="2" borderId="0" xfId="0" applyNumberFormat="1" applyFont="1" applyFill="1"/>
    <xf numFmtId="0" fontId="35" fillId="2" borderId="0" xfId="0" applyFont="1" applyFill="1"/>
    <xf numFmtId="0" fontId="34" fillId="2" borderId="0" xfId="0" applyFont="1" applyFill="1" applyAlignment="1"/>
    <xf numFmtId="3" fontId="33" fillId="2" borderId="12" xfId="0" applyNumberFormat="1" applyFont="1" applyFill="1" applyBorder="1"/>
    <xf numFmtId="3" fontId="37" fillId="2" borderId="12" xfId="0" applyNumberFormat="1" applyFont="1" applyFill="1" applyBorder="1"/>
    <xf numFmtId="1" fontId="34" fillId="9" borderId="4" xfId="0" applyNumberFormat="1" applyFont="1" applyFill="1" applyBorder="1" applyAlignment="1" applyProtection="1">
      <alignment horizontal="center" vertical="center"/>
    </xf>
    <xf numFmtId="0" fontId="34" fillId="9" borderId="4" xfId="0" applyFont="1" applyFill="1" applyBorder="1" applyAlignment="1">
      <alignment horizontal="center"/>
    </xf>
    <xf numFmtId="0" fontId="34" fillId="9" borderId="5" xfId="0" applyFont="1" applyFill="1" applyBorder="1" applyAlignment="1">
      <alignment horizontal="center"/>
    </xf>
    <xf numFmtId="0" fontId="38" fillId="2" borderId="0" xfId="0" applyFont="1" applyFill="1"/>
    <xf numFmtId="0" fontId="33" fillId="2" borderId="4" xfId="0" applyFont="1" applyFill="1" applyBorder="1"/>
    <xf numFmtId="9" fontId="33" fillId="2" borderId="4" xfId="0" applyNumberFormat="1" applyFont="1" applyFill="1" applyBorder="1" applyAlignment="1">
      <alignment horizontal="center"/>
    </xf>
    <xf numFmtId="0" fontId="33" fillId="2" borderId="0" xfId="0" applyFont="1" applyFill="1" applyBorder="1"/>
    <xf numFmtId="0" fontId="35" fillId="0" borderId="9" xfId="0" applyFont="1" applyFill="1" applyBorder="1" applyAlignment="1">
      <alignment horizontal="left" vertical="center"/>
    </xf>
    <xf numFmtId="0" fontId="35" fillId="0" borderId="0" xfId="0" applyFont="1" applyFill="1" applyBorder="1" applyProtection="1"/>
    <xf numFmtId="2" fontId="35" fillId="0" borderId="0" xfId="0" applyNumberFormat="1" applyFont="1" applyFill="1" applyBorder="1" applyAlignment="1">
      <alignment horizontal="center" vertical="center"/>
    </xf>
    <xf numFmtId="2" fontId="35" fillId="0" borderId="11" xfId="0" applyNumberFormat="1" applyFont="1" applyFill="1" applyBorder="1" applyAlignment="1">
      <alignment horizontal="center" vertical="center"/>
    </xf>
    <xf numFmtId="0" fontId="35" fillId="2" borderId="9" xfId="0" applyFont="1" applyFill="1" applyBorder="1" applyAlignment="1">
      <alignment horizontal="left" vertical="center"/>
    </xf>
    <xf numFmtId="0" fontId="35" fillId="2" borderId="12" xfId="0" applyFont="1" applyFill="1" applyBorder="1" applyProtection="1"/>
    <xf numFmtId="2" fontId="35" fillId="2" borderId="12" xfId="0" applyNumberFormat="1" applyFont="1" applyFill="1" applyBorder="1" applyAlignment="1">
      <alignment horizontal="center" vertical="center"/>
    </xf>
    <xf numFmtId="2" fontId="35" fillId="2" borderId="13" xfId="0" applyNumberFormat="1" applyFont="1" applyFill="1" applyBorder="1" applyAlignment="1">
      <alignment horizontal="center" vertical="center"/>
    </xf>
    <xf numFmtId="0" fontId="33" fillId="2" borderId="9" xfId="0" applyFont="1" applyFill="1" applyBorder="1"/>
    <xf numFmtId="0" fontId="35" fillId="2" borderId="0" xfId="0" applyFont="1" applyFill="1" applyBorder="1" applyProtection="1"/>
    <xf numFmtId="2" fontId="35" fillId="2" borderId="0" xfId="0" applyNumberFormat="1" applyFont="1" applyFill="1" applyBorder="1" applyAlignment="1">
      <alignment horizontal="center"/>
    </xf>
    <xf numFmtId="2" fontId="35" fillId="2" borderId="11" xfId="0" applyNumberFormat="1" applyFont="1" applyFill="1" applyBorder="1" applyAlignment="1">
      <alignment horizontal="center"/>
    </xf>
    <xf numFmtId="2" fontId="33" fillId="2" borderId="0" xfId="0" applyNumberFormat="1" applyFont="1" applyFill="1"/>
    <xf numFmtId="0" fontId="35" fillId="2" borderId="9" xfId="0" applyFont="1" applyFill="1" applyBorder="1" applyProtection="1"/>
    <xf numFmtId="9" fontId="33" fillId="2" borderId="0" xfId="1" applyFont="1" applyFill="1" applyBorder="1"/>
    <xf numFmtId="9" fontId="33" fillId="2" borderId="0" xfId="1" applyFont="1" applyFill="1" applyBorder="1" applyAlignment="1">
      <alignment horizontal="center"/>
    </xf>
    <xf numFmtId="9" fontId="33" fillId="2" borderId="11" xfId="1" applyFont="1" applyFill="1" applyBorder="1" applyAlignment="1">
      <alignment horizontal="center"/>
    </xf>
    <xf numFmtId="166" fontId="33" fillId="2" borderId="0" xfId="1" applyNumberFormat="1" applyFont="1" applyFill="1"/>
    <xf numFmtId="0" fontId="33" fillId="2" borderId="4" xfId="0" applyFont="1" applyFill="1" applyBorder="1" applyAlignment="1">
      <alignment horizontal="center"/>
    </xf>
    <xf numFmtId="10" fontId="33" fillId="2" borderId="4" xfId="1" applyNumberFormat="1" applyFont="1" applyFill="1" applyBorder="1" applyAlignment="1">
      <alignment horizontal="center"/>
    </xf>
    <xf numFmtId="165" fontId="33" fillId="2" borderId="4" xfId="1" applyNumberFormat="1" applyFont="1" applyFill="1" applyBorder="1" applyAlignment="1">
      <alignment horizontal="center"/>
    </xf>
    <xf numFmtId="0" fontId="39" fillId="2" borderId="4" xfId="0" applyFont="1" applyFill="1" applyBorder="1" applyAlignment="1">
      <alignment horizontal="center"/>
    </xf>
    <xf numFmtId="0" fontId="40" fillId="2" borderId="0" xfId="0" applyFont="1" applyFill="1" applyProtection="1"/>
    <xf numFmtId="0" fontId="37" fillId="2" borderId="3" xfId="0" applyFont="1" applyFill="1" applyBorder="1" applyAlignment="1">
      <alignment horizontal="center"/>
    </xf>
    <xf numFmtId="0" fontId="37" fillId="2" borderId="4" xfId="0" applyFont="1" applyFill="1" applyBorder="1" applyAlignment="1">
      <alignment horizontal="center"/>
    </xf>
    <xf numFmtId="0" fontId="37" fillId="2" borderId="5" xfId="0" applyFont="1" applyFill="1" applyBorder="1" applyAlignment="1">
      <alignment horizontal="center"/>
    </xf>
    <xf numFmtId="3" fontId="35" fillId="2" borderId="12" xfId="0" applyNumberFormat="1" applyFont="1" applyFill="1" applyBorder="1"/>
    <xf numFmtId="0" fontId="42" fillId="2" borderId="0" xfId="0" applyFont="1" applyFill="1"/>
    <xf numFmtId="0" fontId="42" fillId="2" borderId="0" xfId="0" applyFont="1" applyFill="1" applyBorder="1"/>
    <xf numFmtId="3" fontId="42" fillId="2" borderId="0" xfId="0" applyNumberFormat="1" applyFont="1" applyFill="1" applyBorder="1"/>
    <xf numFmtId="0" fontId="43" fillId="2" borderId="0" xfId="0" applyFont="1" applyFill="1"/>
    <xf numFmtId="0" fontId="42" fillId="2" borderId="1" xfId="0" applyFont="1" applyFill="1" applyBorder="1" applyAlignment="1">
      <alignment horizontal="center"/>
    </xf>
    <xf numFmtId="3" fontId="42" fillId="2" borderId="1" xfId="0" applyNumberFormat="1" applyFont="1" applyFill="1" applyBorder="1"/>
    <xf numFmtId="0" fontId="43" fillId="4" borderId="1" xfId="0" applyFont="1" applyFill="1" applyBorder="1"/>
    <xf numFmtId="0" fontId="43" fillId="4" borderId="1" xfId="0" applyFont="1" applyFill="1" applyBorder="1" applyAlignment="1">
      <alignment horizontal="center"/>
    </xf>
    <xf numFmtId="0" fontId="42" fillId="2" borderId="1" xfId="0" applyFont="1" applyFill="1" applyBorder="1"/>
    <xf numFmtId="0" fontId="45" fillId="2" borderId="1" xfId="0" applyFont="1" applyFill="1" applyBorder="1"/>
    <xf numFmtId="10" fontId="42" fillId="2" borderId="1" xfId="0" applyNumberFormat="1" applyFont="1" applyFill="1" applyBorder="1"/>
    <xf numFmtId="3" fontId="42" fillId="2" borderId="0" xfId="0" applyNumberFormat="1" applyFont="1" applyFill="1"/>
    <xf numFmtId="0" fontId="43" fillId="2" borderId="1" xfId="0" applyFont="1" applyFill="1" applyBorder="1"/>
    <xf numFmtId="3" fontId="43" fillId="2" borderId="1" xfId="0" applyNumberFormat="1" applyFont="1" applyFill="1" applyBorder="1"/>
    <xf numFmtId="3" fontId="43" fillId="2" borderId="0" xfId="0" applyNumberFormat="1" applyFont="1" applyFill="1"/>
    <xf numFmtId="0" fontId="44" fillId="2" borderId="2" xfId="0" applyFont="1" applyFill="1" applyBorder="1" applyAlignment="1"/>
    <xf numFmtId="2" fontId="43" fillId="2" borderId="1" xfId="0" applyNumberFormat="1" applyFont="1" applyFill="1" applyBorder="1"/>
    <xf numFmtId="0" fontId="43" fillId="2" borderId="0" xfId="0" applyFont="1" applyFill="1" applyBorder="1" applyAlignment="1"/>
    <xf numFmtId="0" fontId="44" fillId="2" borderId="0" xfId="0" applyFont="1" applyFill="1" applyBorder="1" applyAlignment="1">
      <alignment horizontal="center"/>
    </xf>
    <xf numFmtId="0" fontId="43" fillId="2" borderId="0" xfId="0" applyFont="1" applyFill="1" applyBorder="1" applyAlignment="1">
      <alignment horizontal="center"/>
    </xf>
    <xf numFmtId="2" fontId="42" fillId="2" borderId="0" xfId="0" applyNumberFormat="1" applyFont="1" applyFill="1" applyBorder="1"/>
    <xf numFmtId="0" fontId="45" fillId="2" borderId="0" xfId="0" applyFont="1" applyFill="1" applyBorder="1"/>
    <xf numFmtId="10" fontId="42" fillId="2" borderId="0" xfId="0" applyNumberFormat="1" applyFont="1" applyFill="1" applyBorder="1"/>
    <xf numFmtId="9" fontId="42" fillId="2" borderId="1" xfId="0" applyNumberFormat="1" applyFont="1" applyFill="1" applyBorder="1"/>
    <xf numFmtId="0" fontId="43" fillId="4" borderId="0" xfId="0" applyFont="1" applyFill="1" applyBorder="1"/>
    <xf numFmtId="2" fontId="42" fillId="2" borderId="1" xfId="0" applyNumberFormat="1" applyFont="1" applyFill="1" applyBorder="1"/>
    <xf numFmtId="0" fontId="44" fillId="2" borderId="0" xfId="0" applyFont="1" applyFill="1"/>
    <xf numFmtId="0" fontId="42" fillId="6" borderId="0" xfId="0" applyFont="1" applyFill="1"/>
    <xf numFmtId="2" fontId="42" fillId="2" borderId="1" xfId="0" applyNumberFormat="1" applyFont="1" applyFill="1" applyBorder="1" applyAlignment="1">
      <alignment horizontal="center"/>
    </xf>
    <xf numFmtId="0" fontId="42" fillId="0" borderId="0" xfId="0" applyFont="1"/>
    <xf numFmtId="0" fontId="46" fillId="2" borderId="0" xfId="0" applyFont="1" applyFill="1"/>
    <xf numFmtId="0" fontId="46" fillId="2" borderId="4" xfId="0" applyFont="1" applyFill="1" applyBorder="1"/>
    <xf numFmtId="0" fontId="46" fillId="2" borderId="0" xfId="0" applyFont="1" applyFill="1" applyAlignment="1">
      <alignment horizontal="center"/>
    </xf>
    <xf numFmtId="0" fontId="48" fillId="2" borderId="0" xfId="0" applyFont="1" applyFill="1" applyBorder="1"/>
    <xf numFmtId="0" fontId="46" fillId="2" borderId="0" xfId="0" applyFont="1" applyFill="1" applyBorder="1"/>
    <xf numFmtId="0" fontId="49" fillId="14" borderId="3" xfId="0" applyFont="1" applyFill="1" applyBorder="1" applyAlignment="1">
      <alignment horizontal="center"/>
    </xf>
    <xf numFmtId="0" fontId="49" fillId="14" borderId="8" xfId="0" applyFont="1" applyFill="1" applyBorder="1" applyAlignment="1">
      <alignment horizontal="center"/>
    </xf>
    <xf numFmtId="0" fontId="49" fillId="14" borderId="19" xfId="0" applyFont="1" applyFill="1" applyBorder="1" applyAlignment="1">
      <alignment horizontal="center"/>
    </xf>
    <xf numFmtId="0" fontId="49" fillId="14" borderId="18" xfId="0" applyFont="1" applyFill="1" applyBorder="1" applyAlignment="1">
      <alignment horizontal="center"/>
    </xf>
    <xf numFmtId="0" fontId="49" fillId="14" borderId="7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/>
    </xf>
    <xf numFmtId="0" fontId="49" fillId="14" borderId="9" xfId="0" applyFont="1" applyFill="1" applyBorder="1" applyAlignment="1">
      <alignment horizontal="left"/>
    </xf>
    <xf numFmtId="3" fontId="49" fillId="2" borderId="1" xfId="0" applyNumberFormat="1" applyFont="1" applyFill="1" applyBorder="1" applyAlignment="1">
      <alignment horizontal="center"/>
    </xf>
    <xf numFmtId="0" fontId="49" fillId="2" borderId="1" xfId="0" applyFont="1" applyFill="1" applyBorder="1" applyAlignment="1">
      <alignment horizontal="center"/>
    </xf>
    <xf numFmtId="3" fontId="46" fillId="2" borderId="0" xfId="0" applyNumberFormat="1" applyFont="1" applyFill="1" applyBorder="1"/>
    <xf numFmtId="3" fontId="50" fillId="2" borderId="0" xfId="0" applyNumberFormat="1" applyFont="1" applyFill="1" applyBorder="1"/>
    <xf numFmtId="3" fontId="51" fillId="2" borderId="0" xfId="0" applyNumberFormat="1" applyFont="1" applyFill="1" applyBorder="1"/>
    <xf numFmtId="3" fontId="52" fillId="2" borderId="0" xfId="0" applyNumberFormat="1" applyFont="1" applyFill="1" applyBorder="1"/>
    <xf numFmtId="0" fontId="53" fillId="14" borderId="1" xfId="0" applyFont="1" applyFill="1" applyBorder="1"/>
    <xf numFmtId="10" fontId="49" fillId="2" borderId="1" xfId="0" applyNumberFormat="1" applyFont="1" applyFill="1" applyBorder="1" applyAlignment="1">
      <alignment horizontal="center"/>
    </xf>
    <xf numFmtId="0" fontId="53" fillId="14" borderId="15" xfId="0" applyFont="1" applyFill="1" applyBorder="1"/>
    <xf numFmtId="10" fontId="49" fillId="2" borderId="15" xfId="0" applyNumberFormat="1" applyFont="1" applyFill="1" applyBorder="1" applyAlignment="1">
      <alignment horizontal="center"/>
    </xf>
    <xf numFmtId="10" fontId="49" fillId="2" borderId="0" xfId="0" applyNumberFormat="1" applyFont="1" applyFill="1" applyBorder="1" applyAlignment="1">
      <alignment horizontal="center"/>
    </xf>
    <xf numFmtId="0" fontId="54" fillId="2" borderId="0" xfId="0" applyFont="1" applyFill="1" applyBorder="1" applyAlignment="1">
      <alignment horizontal="center"/>
    </xf>
    <xf numFmtId="0" fontId="56" fillId="2" borderId="0" xfId="0" applyFont="1" applyFill="1"/>
    <xf numFmtId="0" fontId="46" fillId="2" borderId="1" xfId="0" applyFont="1" applyFill="1" applyBorder="1" applyAlignment="1">
      <alignment horizontal="center"/>
    </xf>
    <xf numFmtId="0" fontId="47" fillId="2" borderId="0" xfId="0" applyFont="1" applyFill="1"/>
    <xf numFmtId="167" fontId="46" fillId="2" borderId="1" xfId="0" applyNumberFormat="1" applyFont="1" applyFill="1" applyBorder="1" applyAlignment="1">
      <alignment horizontal="center"/>
    </xf>
    <xf numFmtId="168" fontId="46" fillId="2" borderId="1" xfId="0" applyNumberFormat="1" applyFont="1" applyFill="1" applyBorder="1" applyAlignment="1">
      <alignment horizontal="center"/>
    </xf>
    <xf numFmtId="2" fontId="46" fillId="2" borderId="1" xfId="0" applyNumberFormat="1" applyFont="1" applyFill="1" applyBorder="1" applyAlignment="1">
      <alignment horizontal="center"/>
    </xf>
    <xf numFmtId="0" fontId="48" fillId="2" borderId="4" xfId="0" applyFont="1" applyFill="1" applyBorder="1"/>
    <xf numFmtId="10" fontId="48" fillId="2" borderId="4" xfId="0" applyNumberFormat="1" applyFont="1" applyFill="1" applyBorder="1"/>
    <xf numFmtId="10" fontId="46" fillId="2" borderId="1" xfId="0" applyNumberFormat="1" applyFont="1" applyFill="1" applyBorder="1" applyAlignment="1">
      <alignment horizontal="center"/>
    </xf>
    <xf numFmtId="9" fontId="48" fillId="2" borderId="0" xfId="1" applyFont="1" applyFill="1"/>
    <xf numFmtId="0" fontId="57" fillId="2" borderId="5" xfId="0" applyFont="1" applyFill="1" applyBorder="1" applyAlignment="1"/>
    <xf numFmtId="0" fontId="46" fillId="2" borderId="1" xfId="0" applyFont="1" applyFill="1" applyBorder="1"/>
    <xf numFmtId="3" fontId="46" fillId="2" borderId="4" xfId="0" applyNumberFormat="1" applyFont="1" applyFill="1" applyBorder="1"/>
    <xf numFmtId="1" fontId="46" fillId="2" borderId="7" xfId="0" applyNumberFormat="1" applyFont="1" applyFill="1" applyBorder="1"/>
    <xf numFmtId="3" fontId="46" fillId="2" borderId="3" xfId="0" applyNumberFormat="1" applyFont="1" applyFill="1" applyBorder="1"/>
    <xf numFmtId="0" fontId="50" fillId="2" borderId="1" xfId="0" applyFont="1" applyFill="1" applyBorder="1" applyAlignment="1">
      <alignment horizontal="center"/>
    </xf>
    <xf numFmtId="3" fontId="46" fillId="2" borderId="8" xfId="0" applyNumberFormat="1" applyFont="1" applyFill="1" applyBorder="1"/>
    <xf numFmtId="3" fontId="46" fillId="2" borderId="1" xfId="0" applyNumberFormat="1" applyFont="1" applyFill="1" applyBorder="1"/>
    <xf numFmtId="0" fontId="46" fillId="14" borderId="1" xfId="0" applyFont="1" applyFill="1" applyBorder="1"/>
    <xf numFmtId="3" fontId="46" fillId="2" borderId="0" xfId="0" applyNumberFormat="1" applyFont="1" applyFill="1"/>
    <xf numFmtId="3" fontId="18" fillId="12" borderId="10" xfId="0" applyNumberFormat="1" applyFont="1" applyFill="1" applyBorder="1" applyAlignment="1">
      <alignment horizontal="center"/>
    </xf>
    <xf numFmtId="3" fontId="24" fillId="12" borderId="10" xfId="0" applyNumberFormat="1" applyFont="1" applyFill="1" applyBorder="1" applyAlignment="1">
      <alignment horizontal="center"/>
    </xf>
    <xf numFmtId="3" fontId="24" fillId="12" borderId="15" xfId="0" applyNumberFormat="1" applyFont="1" applyFill="1" applyBorder="1" applyAlignment="1">
      <alignment horizontal="center"/>
    </xf>
    <xf numFmtId="0" fontId="18" fillId="2" borderId="11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/>
    </xf>
    <xf numFmtId="0" fontId="20" fillId="2" borderId="17" xfId="0" applyFont="1" applyFill="1" applyBorder="1" applyAlignment="1">
      <alignment horizontal="center"/>
    </xf>
    <xf numFmtId="0" fontId="27" fillId="2" borderId="11" xfId="0" applyFont="1" applyFill="1" applyBorder="1" applyAlignment="1">
      <alignment horizontal="center"/>
    </xf>
    <xf numFmtId="2" fontId="18" fillId="2" borderId="0" xfId="0" applyNumberFormat="1" applyFont="1" applyFill="1" applyAlignment="1">
      <alignment horizontal="right"/>
    </xf>
    <xf numFmtId="0" fontId="26" fillId="2" borderId="10" xfId="0" applyFont="1" applyFill="1" applyBorder="1" applyAlignment="1">
      <alignment horizontal="center"/>
    </xf>
    <xf numFmtId="0" fontId="26" fillId="2" borderId="8" xfId="0" applyFont="1" applyFill="1" applyBorder="1" applyAlignment="1">
      <alignment horizontal="center"/>
    </xf>
    <xf numFmtId="0" fontId="24" fillId="2" borderId="10" xfId="0" applyFont="1" applyFill="1" applyBorder="1" applyAlignment="1">
      <alignment horizontal="center"/>
    </xf>
    <xf numFmtId="2" fontId="25" fillId="12" borderId="11" xfId="0" applyNumberFormat="1" applyFont="1" applyFill="1" applyBorder="1" applyAlignment="1">
      <alignment horizontal="center"/>
    </xf>
    <xf numFmtId="2" fontId="18" fillId="12" borderId="11" xfId="0" applyNumberFormat="1" applyFont="1" applyFill="1" applyBorder="1" applyAlignment="1">
      <alignment horizontal="center"/>
    </xf>
    <xf numFmtId="2" fontId="18" fillId="12" borderId="17" xfId="0" applyNumberFormat="1" applyFont="1" applyFill="1" applyBorder="1" applyAlignment="1">
      <alignment horizontal="center"/>
    </xf>
    <xf numFmtId="0" fontId="24" fillId="2" borderId="15" xfId="0" applyFont="1" applyFill="1" applyBorder="1" applyAlignment="1">
      <alignment horizontal="center"/>
    </xf>
    <xf numFmtId="0" fontId="48" fillId="5" borderId="4" xfId="0" applyFont="1" applyFill="1" applyBorder="1"/>
    <xf numFmtId="0" fontId="56" fillId="5" borderId="6" xfId="0" applyFont="1" applyFill="1" applyBorder="1"/>
    <xf numFmtId="0" fontId="48" fillId="5" borderId="15" xfId="0" applyFont="1" applyFill="1" applyBorder="1"/>
    <xf numFmtId="0" fontId="46" fillId="5" borderId="16" xfId="0" applyFont="1" applyFill="1" applyBorder="1"/>
    <xf numFmtId="0" fontId="52" fillId="5" borderId="4" xfId="0" applyFont="1" applyFill="1" applyBorder="1" applyAlignment="1">
      <alignment horizontal="center"/>
    </xf>
    <xf numFmtId="0" fontId="46" fillId="5" borderId="8" xfId="0" applyFont="1" applyFill="1" applyBorder="1" applyAlignment="1">
      <alignment horizontal="left" vertical="center"/>
    </xf>
    <xf numFmtId="0" fontId="46" fillId="5" borderId="1" xfId="0" applyFont="1" applyFill="1" applyBorder="1" applyAlignment="1">
      <alignment horizontal="left" vertical="center"/>
    </xf>
    <xf numFmtId="0" fontId="58" fillId="5" borderId="4" xfId="0" applyFont="1" applyFill="1" applyBorder="1" applyAlignment="1">
      <alignment horizontal="center"/>
    </xf>
    <xf numFmtId="0" fontId="58" fillId="5" borderId="3" xfId="0" applyFont="1" applyFill="1" applyBorder="1" applyAlignment="1"/>
    <xf numFmtId="0" fontId="58" fillId="5" borderId="6" xfId="0" applyFont="1" applyFill="1" applyBorder="1" applyAlignment="1"/>
    <xf numFmtId="0" fontId="58" fillId="5" borderId="3" xfId="0" applyFont="1" applyFill="1" applyBorder="1" applyAlignment="1">
      <alignment horizontal="center"/>
    </xf>
    <xf numFmtId="0" fontId="46" fillId="5" borderId="1" xfId="0" applyFont="1" applyFill="1" applyBorder="1"/>
    <xf numFmtId="0" fontId="15" fillId="7" borderId="4" xfId="0" applyFont="1" applyFill="1" applyBorder="1" applyAlignment="1">
      <alignment horizontal="center"/>
    </xf>
    <xf numFmtId="3" fontId="1" fillId="7" borderId="4" xfId="0" applyNumberFormat="1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7" borderId="4" xfId="0" applyFont="1" applyFill="1" applyBorder="1"/>
    <xf numFmtId="0" fontId="1" fillId="7" borderId="0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35" fillId="2" borderId="0" xfId="0" applyFont="1" applyFill="1" applyBorder="1"/>
    <xf numFmtId="3" fontId="35" fillId="2" borderId="0" xfId="0" applyNumberFormat="1" applyFont="1" applyFill="1" applyBorder="1"/>
    <xf numFmtId="3" fontId="20" fillId="2" borderId="8" xfId="0" applyNumberFormat="1" applyFont="1" applyFill="1" applyBorder="1" applyAlignment="1">
      <alignment horizontal="right"/>
    </xf>
    <xf numFmtId="3" fontId="20" fillId="2" borderId="10" xfId="0" applyNumberFormat="1" applyFont="1" applyFill="1" applyBorder="1" applyAlignment="1">
      <alignment horizontal="right"/>
    </xf>
    <xf numFmtId="0" fontId="34" fillId="8" borderId="3" xfId="0" applyFont="1" applyFill="1" applyBorder="1" applyAlignment="1">
      <alignment horizontal="center"/>
    </xf>
    <xf numFmtId="0" fontId="34" fillId="8" borderId="6" xfId="0" applyFont="1" applyFill="1" applyBorder="1" applyAlignment="1">
      <alignment horizontal="center"/>
    </xf>
    <xf numFmtId="0" fontId="34" fillId="8" borderId="5" xfId="0" applyFont="1" applyFill="1" applyBorder="1" applyAlignment="1">
      <alignment horizontal="center"/>
    </xf>
    <xf numFmtId="0" fontId="32" fillId="2" borderId="12" xfId="0" applyFont="1" applyFill="1" applyBorder="1" applyAlignment="1">
      <alignment horizontal="center"/>
    </xf>
    <xf numFmtId="0" fontId="34" fillId="8" borderId="12" xfId="0" applyFont="1" applyFill="1" applyBorder="1" applyAlignment="1">
      <alignment horizontal="center"/>
    </xf>
    <xf numFmtId="0" fontId="29" fillId="5" borderId="1" xfId="0" applyFont="1" applyFill="1" applyBorder="1" applyAlignment="1">
      <alignment horizontal="center" vertical="center"/>
    </xf>
    <xf numFmtId="0" fontId="47" fillId="2" borderId="3" xfId="0" applyFont="1" applyFill="1" applyBorder="1" applyAlignment="1">
      <alignment horizontal="center"/>
    </xf>
    <xf numFmtId="0" fontId="47" fillId="2" borderId="6" xfId="0" applyFont="1" applyFill="1" applyBorder="1" applyAlignment="1">
      <alignment horizontal="center"/>
    </xf>
    <xf numFmtId="0" fontId="47" fillId="2" borderId="5" xfId="0" applyFont="1" applyFill="1" applyBorder="1" applyAlignment="1">
      <alignment horizontal="center"/>
    </xf>
    <xf numFmtId="0" fontId="55" fillId="2" borderId="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7" fillId="3" borderId="0" xfId="0" applyFont="1" applyFill="1" applyAlignment="1">
      <alignment horizontal="center" vertical="center"/>
    </xf>
    <xf numFmtId="0" fontId="19" fillId="11" borderId="0" xfId="0" applyFont="1" applyFill="1" applyBorder="1" applyAlignment="1">
      <alignment horizontal="center"/>
    </xf>
    <xf numFmtId="0" fontId="17" fillId="8" borderId="0" xfId="0" applyFont="1" applyFill="1" applyAlignment="1">
      <alignment horizontal="center"/>
    </xf>
    <xf numFmtId="3" fontId="18" fillId="2" borderId="1" xfId="0" applyNumberFormat="1" applyFont="1" applyFill="1" applyBorder="1" applyAlignment="1">
      <alignment horizontal="center" vertical="center"/>
    </xf>
    <xf numFmtId="0" fontId="25" fillId="2" borderId="0" xfId="0" applyFont="1" applyFill="1" applyAlignment="1">
      <alignment horizontal="center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tony/AppData/Roaming/Microsoft/Excel/FICHA%204%20-%20Trabalho%20de%20grupo%20-%20Avalia+&#186;+&#250;o%20(version%20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4&#186;ano/7&#186;Semestre/Elabora&#231;&#227;o,%20Gest&#227;o%20e%20Avalia&#231;&#227;o%20de%20projecto%20de%20Investimentos/trabalho/TPC/FICHA%204%20-%20Trabalho%20de%20grupo%20-%20Avalia&#231;&#227;o%20pgt%20-%20Cop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i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stimento Unico"/>
      <sheetName val="Programa de Invest (2)"/>
      <sheetName val="Programa de Invest"/>
      <sheetName val="Classicação 1"/>
      <sheetName val="Classificação VAL CIP 2"/>
      <sheetName val="Cassificação 3 "/>
      <sheetName val="Resumo Geral"/>
    </sheetNames>
    <sheetDataSet>
      <sheetData sheetId="0">
        <row r="8">
          <cell r="A8" t="str">
            <v>Projeto MAX</v>
          </cell>
          <cell r="B8">
            <v>85000</v>
          </cell>
        </row>
        <row r="9">
          <cell r="A9" t="str">
            <v>Projeto MAYO</v>
          </cell>
          <cell r="B9">
            <v>65000</v>
          </cell>
        </row>
      </sheetData>
      <sheetData sheetId="1">
        <row r="12">
          <cell r="B12">
            <v>65000</v>
          </cell>
        </row>
        <row r="16">
          <cell r="B16">
            <v>75000</v>
          </cell>
        </row>
        <row r="24">
          <cell r="C24">
            <v>15000</v>
          </cell>
          <cell r="D24">
            <v>25000</v>
          </cell>
          <cell r="E24">
            <v>32000</v>
          </cell>
          <cell r="F24">
            <v>36000</v>
          </cell>
          <cell r="G24">
            <v>38000</v>
          </cell>
        </row>
        <row r="27">
          <cell r="C27">
            <v>-15000</v>
          </cell>
          <cell r="D27">
            <v>-10000</v>
          </cell>
          <cell r="E27">
            <v>45000</v>
          </cell>
          <cell r="F27">
            <v>56250</v>
          </cell>
          <cell r="G27">
            <v>70312.5</v>
          </cell>
        </row>
        <row r="28">
          <cell r="A28" t="str">
            <v>Projeto BVIST</v>
          </cell>
          <cell r="C28">
            <v>15000</v>
          </cell>
          <cell r="D28">
            <v>18000</v>
          </cell>
          <cell r="E28">
            <v>21600</v>
          </cell>
          <cell r="F28">
            <v>25920</v>
          </cell>
          <cell r="G28">
            <v>31104</v>
          </cell>
        </row>
        <row r="31">
          <cell r="A31" t="str">
            <v>Projeto DANA</v>
          </cell>
          <cell r="C31">
            <v>-10000</v>
          </cell>
          <cell r="D31">
            <v>30000</v>
          </cell>
          <cell r="E31">
            <v>32000</v>
          </cell>
          <cell r="F31">
            <v>36000</v>
          </cell>
          <cell r="G31">
            <v>38000</v>
          </cell>
        </row>
        <row r="37">
          <cell r="B37">
            <v>0.12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 de Invest"/>
    </sheetNames>
    <sheetDataSet>
      <sheetData sheetId="0">
        <row r="8">
          <cell r="A8" t="str">
            <v>Projeto MIM</v>
          </cell>
          <cell r="B8">
            <v>25000</v>
          </cell>
          <cell r="C8">
            <v>12000</v>
          </cell>
          <cell r="D8">
            <v>10000</v>
          </cell>
          <cell r="E8">
            <v>8000</v>
          </cell>
        </row>
        <row r="10">
          <cell r="A10" t="str">
            <v>Projeto ZAPY's</v>
          </cell>
          <cell r="B10">
            <v>50000</v>
          </cell>
          <cell r="C10">
            <v>5000</v>
          </cell>
          <cell r="D10">
            <v>5000</v>
          </cell>
          <cell r="E10">
            <v>5000</v>
          </cell>
          <cell r="F10">
            <v>5000</v>
          </cell>
        </row>
        <row r="11">
          <cell r="A11" t="str">
            <v>Projeto ZANA's</v>
          </cell>
        </row>
        <row r="23">
          <cell r="C23">
            <v>15000</v>
          </cell>
          <cell r="D23">
            <v>15000</v>
          </cell>
          <cell r="E23">
            <v>15000</v>
          </cell>
          <cell r="F23">
            <v>15000</v>
          </cell>
          <cell r="G23">
            <v>15000</v>
          </cell>
        </row>
        <row r="25">
          <cell r="C25">
            <v>-8000</v>
          </cell>
          <cell r="D25">
            <v>12500</v>
          </cell>
          <cell r="E25">
            <v>15625</v>
          </cell>
          <cell r="F25">
            <v>19531.25</v>
          </cell>
          <cell r="G25">
            <v>24414.0625</v>
          </cell>
        </row>
        <row r="37">
          <cell r="B37">
            <v>0.12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icação 1"/>
      <sheetName val="Classificação VAL CIP 2"/>
      <sheetName val="Cassificação 3 "/>
      <sheetName val="Resumo Geral"/>
    </sheetNames>
    <sheetDataSet>
      <sheetData sheetId="0" refreshError="1">
        <row r="41">
          <cell r="B41" t="str">
            <v>Pjto- C</v>
          </cell>
        </row>
        <row r="43">
          <cell r="E43" t="str">
            <v>3º</v>
          </cell>
          <cell r="G43" t="str">
            <v>3º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L64"/>
  <sheetViews>
    <sheetView tabSelected="1" view="pageBreakPreview" topLeftCell="A21" zoomScale="60" zoomScaleNormal="100" workbookViewId="0">
      <selection activeCell="C68" sqref="C68"/>
    </sheetView>
  </sheetViews>
  <sheetFormatPr defaultRowHeight="18" x14ac:dyDescent="0.25"/>
  <cols>
    <col min="1" max="1" width="67.7109375" style="218" bestFit="1" customWidth="1"/>
    <col min="2" max="2" width="10.42578125" style="218" customWidth="1"/>
    <col min="3" max="4" width="9.28515625" style="218" bestFit="1" customWidth="1"/>
    <col min="5" max="5" width="10.140625" style="218" customWidth="1"/>
    <col min="6" max="6" width="9.28515625" style="218" bestFit="1" customWidth="1"/>
    <col min="7" max="7" width="12.140625" style="218" customWidth="1"/>
    <col min="8" max="8" width="9.5703125" style="218" bestFit="1" customWidth="1"/>
    <col min="9" max="9" width="19.7109375" style="218" customWidth="1"/>
    <col min="10" max="10" width="13.28515625" style="218" bestFit="1" customWidth="1"/>
    <col min="11" max="11" width="12.7109375" style="218" customWidth="1"/>
    <col min="12" max="256" width="9.140625" style="218"/>
    <col min="257" max="257" width="29.7109375" style="218" customWidth="1"/>
    <col min="258" max="258" width="10.42578125" style="218" customWidth="1"/>
    <col min="259" max="260" width="9.140625" style="218"/>
    <col min="261" max="261" width="10.140625" style="218" customWidth="1"/>
    <col min="262" max="264" width="9.140625" style="218"/>
    <col min="265" max="265" width="19.7109375" style="218" customWidth="1"/>
    <col min="266" max="266" width="13.140625" style="218" bestFit="1" customWidth="1"/>
    <col min="267" max="267" width="4.42578125" style="218" bestFit="1" customWidth="1"/>
    <col min="268" max="512" width="9.140625" style="218"/>
    <col min="513" max="513" width="29.7109375" style="218" customWidth="1"/>
    <col min="514" max="514" width="10.42578125" style="218" customWidth="1"/>
    <col min="515" max="516" width="9.140625" style="218"/>
    <col min="517" max="517" width="10.140625" style="218" customWidth="1"/>
    <col min="518" max="520" width="9.140625" style="218"/>
    <col min="521" max="521" width="19.7109375" style="218" customWidth="1"/>
    <col min="522" max="522" width="13.140625" style="218" bestFit="1" customWidth="1"/>
    <col min="523" max="523" width="4.42578125" style="218" bestFit="1" customWidth="1"/>
    <col min="524" max="768" width="9.140625" style="218"/>
    <col min="769" max="769" width="29.7109375" style="218" customWidth="1"/>
    <col min="770" max="770" width="10.42578125" style="218" customWidth="1"/>
    <col min="771" max="772" width="9.140625" style="218"/>
    <col min="773" max="773" width="10.140625" style="218" customWidth="1"/>
    <col min="774" max="776" width="9.140625" style="218"/>
    <col min="777" max="777" width="19.7109375" style="218" customWidth="1"/>
    <col min="778" max="778" width="13.140625" style="218" bestFit="1" customWidth="1"/>
    <col min="779" max="779" width="4.42578125" style="218" bestFit="1" customWidth="1"/>
    <col min="780" max="1024" width="9.140625" style="218"/>
    <col min="1025" max="1025" width="29.7109375" style="218" customWidth="1"/>
    <col min="1026" max="1026" width="10.42578125" style="218" customWidth="1"/>
    <col min="1027" max="1028" width="9.140625" style="218"/>
    <col min="1029" max="1029" width="10.140625" style="218" customWidth="1"/>
    <col min="1030" max="1032" width="9.140625" style="218"/>
    <col min="1033" max="1033" width="19.7109375" style="218" customWidth="1"/>
    <col min="1034" max="1034" width="13.140625" style="218" bestFit="1" customWidth="1"/>
    <col min="1035" max="1035" width="4.42578125" style="218" bestFit="1" customWidth="1"/>
    <col min="1036" max="1280" width="9.140625" style="218"/>
    <col min="1281" max="1281" width="29.7109375" style="218" customWidth="1"/>
    <col min="1282" max="1282" width="10.42578125" style="218" customWidth="1"/>
    <col min="1283" max="1284" width="9.140625" style="218"/>
    <col min="1285" max="1285" width="10.140625" style="218" customWidth="1"/>
    <col min="1286" max="1288" width="9.140625" style="218"/>
    <col min="1289" max="1289" width="19.7109375" style="218" customWidth="1"/>
    <col min="1290" max="1290" width="13.140625" style="218" bestFit="1" customWidth="1"/>
    <col min="1291" max="1291" width="4.42578125" style="218" bestFit="1" customWidth="1"/>
    <col min="1292" max="1536" width="9.140625" style="218"/>
    <col min="1537" max="1537" width="29.7109375" style="218" customWidth="1"/>
    <col min="1538" max="1538" width="10.42578125" style="218" customWidth="1"/>
    <col min="1539" max="1540" width="9.140625" style="218"/>
    <col min="1541" max="1541" width="10.140625" style="218" customWidth="1"/>
    <col min="1542" max="1544" width="9.140625" style="218"/>
    <col min="1545" max="1545" width="19.7109375" style="218" customWidth="1"/>
    <col min="1546" max="1546" width="13.140625" style="218" bestFit="1" customWidth="1"/>
    <col min="1547" max="1547" width="4.42578125" style="218" bestFit="1" customWidth="1"/>
    <col min="1548" max="1792" width="9.140625" style="218"/>
    <col min="1793" max="1793" width="29.7109375" style="218" customWidth="1"/>
    <col min="1794" max="1794" width="10.42578125" style="218" customWidth="1"/>
    <col min="1795" max="1796" width="9.140625" style="218"/>
    <col min="1797" max="1797" width="10.140625" style="218" customWidth="1"/>
    <col min="1798" max="1800" width="9.140625" style="218"/>
    <col min="1801" max="1801" width="19.7109375" style="218" customWidth="1"/>
    <col min="1802" max="1802" width="13.140625" style="218" bestFit="1" customWidth="1"/>
    <col min="1803" max="1803" width="4.42578125" style="218" bestFit="1" customWidth="1"/>
    <col min="1804" max="2048" width="9.140625" style="218"/>
    <col min="2049" max="2049" width="29.7109375" style="218" customWidth="1"/>
    <col min="2050" max="2050" width="10.42578125" style="218" customWidth="1"/>
    <col min="2051" max="2052" width="9.140625" style="218"/>
    <col min="2053" max="2053" width="10.140625" style="218" customWidth="1"/>
    <col min="2054" max="2056" width="9.140625" style="218"/>
    <col min="2057" max="2057" width="19.7109375" style="218" customWidth="1"/>
    <col min="2058" max="2058" width="13.140625" style="218" bestFit="1" customWidth="1"/>
    <col min="2059" max="2059" width="4.42578125" style="218" bestFit="1" customWidth="1"/>
    <col min="2060" max="2304" width="9.140625" style="218"/>
    <col min="2305" max="2305" width="29.7109375" style="218" customWidth="1"/>
    <col min="2306" max="2306" width="10.42578125" style="218" customWidth="1"/>
    <col min="2307" max="2308" width="9.140625" style="218"/>
    <col min="2309" max="2309" width="10.140625" style="218" customWidth="1"/>
    <col min="2310" max="2312" width="9.140625" style="218"/>
    <col min="2313" max="2313" width="19.7109375" style="218" customWidth="1"/>
    <col min="2314" max="2314" width="13.140625" style="218" bestFit="1" customWidth="1"/>
    <col min="2315" max="2315" width="4.42578125" style="218" bestFit="1" customWidth="1"/>
    <col min="2316" max="2560" width="9.140625" style="218"/>
    <col min="2561" max="2561" width="29.7109375" style="218" customWidth="1"/>
    <col min="2562" max="2562" width="10.42578125" style="218" customWidth="1"/>
    <col min="2563" max="2564" width="9.140625" style="218"/>
    <col min="2565" max="2565" width="10.140625" style="218" customWidth="1"/>
    <col min="2566" max="2568" width="9.140625" style="218"/>
    <col min="2569" max="2569" width="19.7109375" style="218" customWidth="1"/>
    <col min="2570" max="2570" width="13.140625" style="218" bestFit="1" customWidth="1"/>
    <col min="2571" max="2571" width="4.42578125" style="218" bestFit="1" customWidth="1"/>
    <col min="2572" max="2816" width="9.140625" style="218"/>
    <col min="2817" max="2817" width="29.7109375" style="218" customWidth="1"/>
    <col min="2818" max="2818" width="10.42578125" style="218" customWidth="1"/>
    <col min="2819" max="2820" width="9.140625" style="218"/>
    <col min="2821" max="2821" width="10.140625" style="218" customWidth="1"/>
    <col min="2822" max="2824" width="9.140625" style="218"/>
    <col min="2825" max="2825" width="19.7109375" style="218" customWidth="1"/>
    <col min="2826" max="2826" width="13.140625" style="218" bestFit="1" customWidth="1"/>
    <col min="2827" max="2827" width="4.42578125" style="218" bestFit="1" customWidth="1"/>
    <col min="2828" max="3072" width="9.140625" style="218"/>
    <col min="3073" max="3073" width="29.7109375" style="218" customWidth="1"/>
    <col min="3074" max="3074" width="10.42578125" style="218" customWidth="1"/>
    <col min="3075" max="3076" width="9.140625" style="218"/>
    <col min="3077" max="3077" width="10.140625" style="218" customWidth="1"/>
    <col min="3078" max="3080" width="9.140625" style="218"/>
    <col min="3081" max="3081" width="19.7109375" style="218" customWidth="1"/>
    <col min="3082" max="3082" width="13.140625" style="218" bestFit="1" customWidth="1"/>
    <col min="3083" max="3083" width="4.42578125" style="218" bestFit="1" customWidth="1"/>
    <col min="3084" max="3328" width="9.140625" style="218"/>
    <col min="3329" max="3329" width="29.7109375" style="218" customWidth="1"/>
    <col min="3330" max="3330" width="10.42578125" style="218" customWidth="1"/>
    <col min="3331" max="3332" width="9.140625" style="218"/>
    <col min="3333" max="3333" width="10.140625" style="218" customWidth="1"/>
    <col min="3334" max="3336" width="9.140625" style="218"/>
    <col min="3337" max="3337" width="19.7109375" style="218" customWidth="1"/>
    <col min="3338" max="3338" width="13.140625" style="218" bestFit="1" customWidth="1"/>
    <col min="3339" max="3339" width="4.42578125" style="218" bestFit="1" customWidth="1"/>
    <col min="3340" max="3584" width="9.140625" style="218"/>
    <col min="3585" max="3585" width="29.7109375" style="218" customWidth="1"/>
    <col min="3586" max="3586" width="10.42578125" style="218" customWidth="1"/>
    <col min="3587" max="3588" width="9.140625" style="218"/>
    <col min="3589" max="3589" width="10.140625" style="218" customWidth="1"/>
    <col min="3590" max="3592" width="9.140625" style="218"/>
    <col min="3593" max="3593" width="19.7109375" style="218" customWidth="1"/>
    <col min="3594" max="3594" width="13.140625" style="218" bestFit="1" customWidth="1"/>
    <col min="3595" max="3595" width="4.42578125" style="218" bestFit="1" customWidth="1"/>
    <col min="3596" max="3840" width="9.140625" style="218"/>
    <col min="3841" max="3841" width="29.7109375" style="218" customWidth="1"/>
    <col min="3842" max="3842" width="10.42578125" style="218" customWidth="1"/>
    <col min="3843" max="3844" width="9.140625" style="218"/>
    <col min="3845" max="3845" width="10.140625" style="218" customWidth="1"/>
    <col min="3846" max="3848" width="9.140625" style="218"/>
    <col min="3849" max="3849" width="19.7109375" style="218" customWidth="1"/>
    <col min="3850" max="3850" width="13.140625" style="218" bestFit="1" customWidth="1"/>
    <col min="3851" max="3851" width="4.42578125" style="218" bestFit="1" customWidth="1"/>
    <col min="3852" max="4096" width="9.140625" style="218"/>
    <col min="4097" max="4097" width="29.7109375" style="218" customWidth="1"/>
    <col min="4098" max="4098" width="10.42578125" style="218" customWidth="1"/>
    <col min="4099" max="4100" width="9.140625" style="218"/>
    <col min="4101" max="4101" width="10.140625" style="218" customWidth="1"/>
    <col min="4102" max="4104" width="9.140625" style="218"/>
    <col min="4105" max="4105" width="19.7109375" style="218" customWidth="1"/>
    <col min="4106" max="4106" width="13.140625" style="218" bestFit="1" customWidth="1"/>
    <col min="4107" max="4107" width="4.42578125" style="218" bestFit="1" customWidth="1"/>
    <col min="4108" max="4352" width="9.140625" style="218"/>
    <col min="4353" max="4353" width="29.7109375" style="218" customWidth="1"/>
    <col min="4354" max="4354" width="10.42578125" style="218" customWidth="1"/>
    <col min="4355" max="4356" width="9.140625" style="218"/>
    <col min="4357" max="4357" width="10.140625" style="218" customWidth="1"/>
    <col min="4358" max="4360" width="9.140625" style="218"/>
    <col min="4361" max="4361" width="19.7109375" style="218" customWidth="1"/>
    <col min="4362" max="4362" width="13.140625" style="218" bestFit="1" customWidth="1"/>
    <col min="4363" max="4363" width="4.42578125" style="218" bestFit="1" customWidth="1"/>
    <col min="4364" max="4608" width="9.140625" style="218"/>
    <col min="4609" max="4609" width="29.7109375" style="218" customWidth="1"/>
    <col min="4610" max="4610" width="10.42578125" style="218" customWidth="1"/>
    <col min="4611" max="4612" width="9.140625" style="218"/>
    <col min="4613" max="4613" width="10.140625" style="218" customWidth="1"/>
    <col min="4614" max="4616" width="9.140625" style="218"/>
    <col min="4617" max="4617" width="19.7109375" style="218" customWidth="1"/>
    <col min="4618" max="4618" width="13.140625" style="218" bestFit="1" customWidth="1"/>
    <col min="4619" max="4619" width="4.42578125" style="218" bestFit="1" customWidth="1"/>
    <col min="4620" max="4864" width="9.140625" style="218"/>
    <col min="4865" max="4865" width="29.7109375" style="218" customWidth="1"/>
    <col min="4866" max="4866" width="10.42578125" style="218" customWidth="1"/>
    <col min="4867" max="4868" width="9.140625" style="218"/>
    <col min="4869" max="4869" width="10.140625" style="218" customWidth="1"/>
    <col min="4870" max="4872" width="9.140625" style="218"/>
    <col min="4873" max="4873" width="19.7109375" style="218" customWidth="1"/>
    <col min="4874" max="4874" width="13.140625" style="218" bestFit="1" customWidth="1"/>
    <col min="4875" max="4875" width="4.42578125" style="218" bestFit="1" customWidth="1"/>
    <col min="4876" max="5120" width="9.140625" style="218"/>
    <col min="5121" max="5121" width="29.7109375" style="218" customWidth="1"/>
    <col min="5122" max="5122" width="10.42578125" style="218" customWidth="1"/>
    <col min="5123" max="5124" width="9.140625" style="218"/>
    <col min="5125" max="5125" width="10.140625" style="218" customWidth="1"/>
    <col min="5126" max="5128" width="9.140625" style="218"/>
    <col min="5129" max="5129" width="19.7109375" style="218" customWidth="1"/>
    <col min="5130" max="5130" width="13.140625" style="218" bestFit="1" customWidth="1"/>
    <col min="5131" max="5131" width="4.42578125" style="218" bestFit="1" customWidth="1"/>
    <col min="5132" max="5376" width="9.140625" style="218"/>
    <col min="5377" max="5377" width="29.7109375" style="218" customWidth="1"/>
    <col min="5378" max="5378" width="10.42578125" style="218" customWidth="1"/>
    <col min="5379" max="5380" width="9.140625" style="218"/>
    <col min="5381" max="5381" width="10.140625" style="218" customWidth="1"/>
    <col min="5382" max="5384" width="9.140625" style="218"/>
    <col min="5385" max="5385" width="19.7109375" style="218" customWidth="1"/>
    <col min="5386" max="5386" width="13.140625" style="218" bestFit="1" customWidth="1"/>
    <col min="5387" max="5387" width="4.42578125" style="218" bestFit="1" customWidth="1"/>
    <col min="5388" max="5632" width="9.140625" style="218"/>
    <col min="5633" max="5633" width="29.7109375" style="218" customWidth="1"/>
    <col min="5634" max="5634" width="10.42578125" style="218" customWidth="1"/>
    <col min="5635" max="5636" width="9.140625" style="218"/>
    <col min="5637" max="5637" width="10.140625" style="218" customWidth="1"/>
    <col min="5638" max="5640" width="9.140625" style="218"/>
    <col min="5641" max="5641" width="19.7109375" style="218" customWidth="1"/>
    <col min="5642" max="5642" width="13.140625" style="218" bestFit="1" customWidth="1"/>
    <col min="5643" max="5643" width="4.42578125" style="218" bestFit="1" customWidth="1"/>
    <col min="5644" max="5888" width="9.140625" style="218"/>
    <col min="5889" max="5889" width="29.7109375" style="218" customWidth="1"/>
    <col min="5890" max="5890" width="10.42578125" style="218" customWidth="1"/>
    <col min="5891" max="5892" width="9.140625" style="218"/>
    <col min="5893" max="5893" width="10.140625" style="218" customWidth="1"/>
    <col min="5894" max="5896" width="9.140625" style="218"/>
    <col min="5897" max="5897" width="19.7109375" style="218" customWidth="1"/>
    <col min="5898" max="5898" width="13.140625" style="218" bestFit="1" customWidth="1"/>
    <col min="5899" max="5899" width="4.42578125" style="218" bestFit="1" customWidth="1"/>
    <col min="5900" max="6144" width="9.140625" style="218"/>
    <col min="6145" max="6145" width="29.7109375" style="218" customWidth="1"/>
    <col min="6146" max="6146" width="10.42578125" style="218" customWidth="1"/>
    <col min="6147" max="6148" width="9.140625" style="218"/>
    <col min="6149" max="6149" width="10.140625" style="218" customWidth="1"/>
    <col min="6150" max="6152" width="9.140625" style="218"/>
    <col min="6153" max="6153" width="19.7109375" style="218" customWidth="1"/>
    <col min="6154" max="6154" width="13.140625" style="218" bestFit="1" customWidth="1"/>
    <col min="6155" max="6155" width="4.42578125" style="218" bestFit="1" customWidth="1"/>
    <col min="6156" max="6400" width="9.140625" style="218"/>
    <col min="6401" max="6401" width="29.7109375" style="218" customWidth="1"/>
    <col min="6402" max="6402" width="10.42578125" style="218" customWidth="1"/>
    <col min="6403" max="6404" width="9.140625" style="218"/>
    <col min="6405" max="6405" width="10.140625" style="218" customWidth="1"/>
    <col min="6406" max="6408" width="9.140625" style="218"/>
    <col min="6409" max="6409" width="19.7109375" style="218" customWidth="1"/>
    <col min="6410" max="6410" width="13.140625" style="218" bestFit="1" customWidth="1"/>
    <col min="6411" max="6411" width="4.42578125" style="218" bestFit="1" customWidth="1"/>
    <col min="6412" max="6656" width="9.140625" style="218"/>
    <col min="6657" max="6657" width="29.7109375" style="218" customWidth="1"/>
    <col min="6658" max="6658" width="10.42578125" style="218" customWidth="1"/>
    <col min="6659" max="6660" width="9.140625" style="218"/>
    <col min="6661" max="6661" width="10.140625" style="218" customWidth="1"/>
    <col min="6662" max="6664" width="9.140625" style="218"/>
    <col min="6665" max="6665" width="19.7109375" style="218" customWidth="1"/>
    <col min="6666" max="6666" width="13.140625" style="218" bestFit="1" customWidth="1"/>
    <col min="6667" max="6667" width="4.42578125" style="218" bestFit="1" customWidth="1"/>
    <col min="6668" max="6912" width="9.140625" style="218"/>
    <col min="6913" max="6913" width="29.7109375" style="218" customWidth="1"/>
    <col min="6914" max="6914" width="10.42578125" style="218" customWidth="1"/>
    <col min="6915" max="6916" width="9.140625" style="218"/>
    <col min="6917" max="6917" width="10.140625" style="218" customWidth="1"/>
    <col min="6918" max="6920" width="9.140625" style="218"/>
    <col min="6921" max="6921" width="19.7109375" style="218" customWidth="1"/>
    <col min="6922" max="6922" width="13.140625" style="218" bestFit="1" customWidth="1"/>
    <col min="6923" max="6923" width="4.42578125" style="218" bestFit="1" customWidth="1"/>
    <col min="6924" max="7168" width="9.140625" style="218"/>
    <col min="7169" max="7169" width="29.7109375" style="218" customWidth="1"/>
    <col min="7170" max="7170" width="10.42578125" style="218" customWidth="1"/>
    <col min="7171" max="7172" width="9.140625" style="218"/>
    <col min="7173" max="7173" width="10.140625" style="218" customWidth="1"/>
    <col min="7174" max="7176" width="9.140625" style="218"/>
    <col min="7177" max="7177" width="19.7109375" style="218" customWidth="1"/>
    <col min="7178" max="7178" width="13.140625" style="218" bestFit="1" customWidth="1"/>
    <col min="7179" max="7179" width="4.42578125" style="218" bestFit="1" customWidth="1"/>
    <col min="7180" max="7424" width="9.140625" style="218"/>
    <col min="7425" max="7425" width="29.7109375" style="218" customWidth="1"/>
    <col min="7426" max="7426" width="10.42578125" style="218" customWidth="1"/>
    <col min="7427" max="7428" width="9.140625" style="218"/>
    <col min="7429" max="7429" width="10.140625" style="218" customWidth="1"/>
    <col min="7430" max="7432" width="9.140625" style="218"/>
    <col min="7433" max="7433" width="19.7109375" style="218" customWidth="1"/>
    <col min="7434" max="7434" width="13.140625" style="218" bestFit="1" customWidth="1"/>
    <col min="7435" max="7435" width="4.42578125" style="218" bestFit="1" customWidth="1"/>
    <col min="7436" max="7680" width="9.140625" style="218"/>
    <col min="7681" max="7681" width="29.7109375" style="218" customWidth="1"/>
    <col min="7682" max="7682" width="10.42578125" style="218" customWidth="1"/>
    <col min="7683" max="7684" width="9.140625" style="218"/>
    <col min="7685" max="7685" width="10.140625" style="218" customWidth="1"/>
    <col min="7686" max="7688" width="9.140625" style="218"/>
    <col min="7689" max="7689" width="19.7109375" style="218" customWidth="1"/>
    <col min="7690" max="7690" width="13.140625" style="218" bestFit="1" customWidth="1"/>
    <col min="7691" max="7691" width="4.42578125" style="218" bestFit="1" customWidth="1"/>
    <col min="7692" max="7936" width="9.140625" style="218"/>
    <col min="7937" max="7937" width="29.7109375" style="218" customWidth="1"/>
    <col min="7938" max="7938" width="10.42578125" style="218" customWidth="1"/>
    <col min="7939" max="7940" width="9.140625" style="218"/>
    <col min="7941" max="7941" width="10.140625" style="218" customWidth="1"/>
    <col min="7942" max="7944" width="9.140625" style="218"/>
    <col min="7945" max="7945" width="19.7109375" style="218" customWidth="1"/>
    <col min="7946" max="7946" width="13.140625" style="218" bestFit="1" customWidth="1"/>
    <col min="7947" max="7947" width="4.42578125" style="218" bestFit="1" customWidth="1"/>
    <col min="7948" max="8192" width="9.140625" style="218"/>
    <col min="8193" max="8193" width="29.7109375" style="218" customWidth="1"/>
    <col min="8194" max="8194" width="10.42578125" style="218" customWidth="1"/>
    <col min="8195" max="8196" width="9.140625" style="218"/>
    <col min="8197" max="8197" width="10.140625" style="218" customWidth="1"/>
    <col min="8198" max="8200" width="9.140625" style="218"/>
    <col min="8201" max="8201" width="19.7109375" style="218" customWidth="1"/>
    <col min="8202" max="8202" width="13.140625" style="218" bestFit="1" customWidth="1"/>
    <col min="8203" max="8203" width="4.42578125" style="218" bestFit="1" customWidth="1"/>
    <col min="8204" max="8448" width="9.140625" style="218"/>
    <col min="8449" max="8449" width="29.7109375" style="218" customWidth="1"/>
    <col min="8450" max="8450" width="10.42578125" style="218" customWidth="1"/>
    <col min="8451" max="8452" width="9.140625" style="218"/>
    <col min="8453" max="8453" width="10.140625" style="218" customWidth="1"/>
    <col min="8454" max="8456" width="9.140625" style="218"/>
    <col min="8457" max="8457" width="19.7109375" style="218" customWidth="1"/>
    <col min="8458" max="8458" width="13.140625" style="218" bestFit="1" customWidth="1"/>
    <col min="8459" max="8459" width="4.42578125" style="218" bestFit="1" customWidth="1"/>
    <col min="8460" max="8704" width="9.140625" style="218"/>
    <col min="8705" max="8705" width="29.7109375" style="218" customWidth="1"/>
    <col min="8706" max="8706" width="10.42578125" style="218" customWidth="1"/>
    <col min="8707" max="8708" width="9.140625" style="218"/>
    <col min="8709" max="8709" width="10.140625" style="218" customWidth="1"/>
    <col min="8710" max="8712" width="9.140625" style="218"/>
    <col min="8713" max="8713" width="19.7109375" style="218" customWidth="1"/>
    <col min="8714" max="8714" width="13.140625" style="218" bestFit="1" customWidth="1"/>
    <col min="8715" max="8715" width="4.42578125" style="218" bestFit="1" customWidth="1"/>
    <col min="8716" max="8960" width="9.140625" style="218"/>
    <col min="8961" max="8961" width="29.7109375" style="218" customWidth="1"/>
    <col min="8962" max="8962" width="10.42578125" style="218" customWidth="1"/>
    <col min="8963" max="8964" width="9.140625" style="218"/>
    <col min="8965" max="8965" width="10.140625" style="218" customWidth="1"/>
    <col min="8966" max="8968" width="9.140625" style="218"/>
    <col min="8969" max="8969" width="19.7109375" style="218" customWidth="1"/>
    <col min="8970" max="8970" width="13.140625" style="218" bestFit="1" customWidth="1"/>
    <col min="8971" max="8971" width="4.42578125" style="218" bestFit="1" customWidth="1"/>
    <col min="8972" max="9216" width="9.140625" style="218"/>
    <col min="9217" max="9217" width="29.7109375" style="218" customWidth="1"/>
    <col min="9218" max="9218" width="10.42578125" style="218" customWidth="1"/>
    <col min="9219" max="9220" width="9.140625" style="218"/>
    <col min="9221" max="9221" width="10.140625" style="218" customWidth="1"/>
    <col min="9222" max="9224" width="9.140625" style="218"/>
    <col min="9225" max="9225" width="19.7109375" style="218" customWidth="1"/>
    <col min="9226" max="9226" width="13.140625" style="218" bestFit="1" customWidth="1"/>
    <col min="9227" max="9227" width="4.42578125" style="218" bestFit="1" customWidth="1"/>
    <col min="9228" max="9472" width="9.140625" style="218"/>
    <col min="9473" max="9473" width="29.7109375" style="218" customWidth="1"/>
    <col min="9474" max="9474" width="10.42578125" style="218" customWidth="1"/>
    <col min="9475" max="9476" width="9.140625" style="218"/>
    <col min="9477" max="9477" width="10.140625" style="218" customWidth="1"/>
    <col min="9478" max="9480" width="9.140625" style="218"/>
    <col min="9481" max="9481" width="19.7109375" style="218" customWidth="1"/>
    <col min="9482" max="9482" width="13.140625" style="218" bestFit="1" customWidth="1"/>
    <col min="9483" max="9483" width="4.42578125" style="218" bestFit="1" customWidth="1"/>
    <col min="9484" max="9728" width="9.140625" style="218"/>
    <col min="9729" max="9729" width="29.7109375" style="218" customWidth="1"/>
    <col min="9730" max="9730" width="10.42578125" style="218" customWidth="1"/>
    <col min="9731" max="9732" width="9.140625" style="218"/>
    <col min="9733" max="9733" width="10.140625" style="218" customWidth="1"/>
    <col min="9734" max="9736" width="9.140625" style="218"/>
    <col min="9737" max="9737" width="19.7109375" style="218" customWidth="1"/>
    <col min="9738" max="9738" width="13.140625" style="218" bestFit="1" customWidth="1"/>
    <col min="9739" max="9739" width="4.42578125" style="218" bestFit="1" customWidth="1"/>
    <col min="9740" max="9984" width="9.140625" style="218"/>
    <col min="9985" max="9985" width="29.7109375" style="218" customWidth="1"/>
    <col min="9986" max="9986" width="10.42578125" style="218" customWidth="1"/>
    <col min="9987" max="9988" width="9.140625" style="218"/>
    <col min="9989" max="9989" width="10.140625" style="218" customWidth="1"/>
    <col min="9990" max="9992" width="9.140625" style="218"/>
    <col min="9993" max="9993" width="19.7109375" style="218" customWidth="1"/>
    <col min="9994" max="9994" width="13.140625" style="218" bestFit="1" customWidth="1"/>
    <col min="9995" max="9995" width="4.42578125" style="218" bestFit="1" customWidth="1"/>
    <col min="9996" max="10240" width="9.140625" style="218"/>
    <col min="10241" max="10241" width="29.7109375" style="218" customWidth="1"/>
    <col min="10242" max="10242" width="10.42578125" style="218" customWidth="1"/>
    <col min="10243" max="10244" width="9.140625" style="218"/>
    <col min="10245" max="10245" width="10.140625" style="218" customWidth="1"/>
    <col min="10246" max="10248" width="9.140625" style="218"/>
    <col min="10249" max="10249" width="19.7109375" style="218" customWidth="1"/>
    <col min="10250" max="10250" width="13.140625" style="218" bestFit="1" customWidth="1"/>
    <col min="10251" max="10251" width="4.42578125" style="218" bestFit="1" customWidth="1"/>
    <col min="10252" max="10496" width="9.140625" style="218"/>
    <col min="10497" max="10497" width="29.7109375" style="218" customWidth="1"/>
    <col min="10498" max="10498" width="10.42578125" style="218" customWidth="1"/>
    <col min="10499" max="10500" width="9.140625" style="218"/>
    <col min="10501" max="10501" width="10.140625" style="218" customWidth="1"/>
    <col min="10502" max="10504" width="9.140625" style="218"/>
    <col min="10505" max="10505" width="19.7109375" style="218" customWidth="1"/>
    <col min="10506" max="10506" width="13.140625" style="218" bestFit="1" customWidth="1"/>
    <col min="10507" max="10507" width="4.42578125" style="218" bestFit="1" customWidth="1"/>
    <col min="10508" max="10752" width="9.140625" style="218"/>
    <col min="10753" max="10753" width="29.7109375" style="218" customWidth="1"/>
    <col min="10754" max="10754" width="10.42578125" style="218" customWidth="1"/>
    <col min="10755" max="10756" width="9.140625" style="218"/>
    <col min="10757" max="10757" width="10.140625" style="218" customWidth="1"/>
    <col min="10758" max="10760" width="9.140625" style="218"/>
    <col min="10761" max="10761" width="19.7109375" style="218" customWidth="1"/>
    <col min="10762" max="10762" width="13.140625" style="218" bestFit="1" customWidth="1"/>
    <col min="10763" max="10763" width="4.42578125" style="218" bestFit="1" customWidth="1"/>
    <col min="10764" max="11008" width="9.140625" style="218"/>
    <col min="11009" max="11009" width="29.7109375" style="218" customWidth="1"/>
    <col min="11010" max="11010" width="10.42578125" style="218" customWidth="1"/>
    <col min="11011" max="11012" width="9.140625" style="218"/>
    <col min="11013" max="11013" width="10.140625" style="218" customWidth="1"/>
    <col min="11014" max="11016" width="9.140625" style="218"/>
    <col min="11017" max="11017" width="19.7109375" style="218" customWidth="1"/>
    <col min="11018" max="11018" width="13.140625" style="218" bestFit="1" customWidth="1"/>
    <col min="11019" max="11019" width="4.42578125" style="218" bestFit="1" customWidth="1"/>
    <col min="11020" max="11264" width="9.140625" style="218"/>
    <col min="11265" max="11265" width="29.7109375" style="218" customWidth="1"/>
    <col min="11266" max="11266" width="10.42578125" style="218" customWidth="1"/>
    <col min="11267" max="11268" width="9.140625" style="218"/>
    <col min="11269" max="11269" width="10.140625" style="218" customWidth="1"/>
    <col min="11270" max="11272" width="9.140625" style="218"/>
    <col min="11273" max="11273" width="19.7109375" style="218" customWidth="1"/>
    <col min="11274" max="11274" width="13.140625" style="218" bestFit="1" customWidth="1"/>
    <col min="11275" max="11275" width="4.42578125" style="218" bestFit="1" customWidth="1"/>
    <col min="11276" max="11520" width="9.140625" style="218"/>
    <col min="11521" max="11521" width="29.7109375" style="218" customWidth="1"/>
    <col min="11522" max="11522" width="10.42578125" style="218" customWidth="1"/>
    <col min="11523" max="11524" width="9.140625" style="218"/>
    <col min="11525" max="11525" width="10.140625" style="218" customWidth="1"/>
    <col min="11526" max="11528" width="9.140625" style="218"/>
    <col min="11529" max="11529" width="19.7109375" style="218" customWidth="1"/>
    <col min="11530" max="11530" width="13.140625" style="218" bestFit="1" customWidth="1"/>
    <col min="11531" max="11531" width="4.42578125" style="218" bestFit="1" customWidth="1"/>
    <col min="11532" max="11776" width="9.140625" style="218"/>
    <col min="11777" max="11777" width="29.7109375" style="218" customWidth="1"/>
    <col min="11778" max="11778" width="10.42578125" style="218" customWidth="1"/>
    <col min="11779" max="11780" width="9.140625" style="218"/>
    <col min="11781" max="11781" width="10.140625" style="218" customWidth="1"/>
    <col min="11782" max="11784" width="9.140625" style="218"/>
    <col min="11785" max="11785" width="19.7109375" style="218" customWidth="1"/>
    <col min="11786" max="11786" width="13.140625" style="218" bestFit="1" customWidth="1"/>
    <col min="11787" max="11787" width="4.42578125" style="218" bestFit="1" customWidth="1"/>
    <col min="11788" max="12032" width="9.140625" style="218"/>
    <col min="12033" max="12033" width="29.7109375" style="218" customWidth="1"/>
    <col min="12034" max="12034" width="10.42578125" style="218" customWidth="1"/>
    <col min="12035" max="12036" width="9.140625" style="218"/>
    <col min="12037" max="12037" width="10.140625" style="218" customWidth="1"/>
    <col min="12038" max="12040" width="9.140625" style="218"/>
    <col min="12041" max="12041" width="19.7109375" style="218" customWidth="1"/>
    <col min="12042" max="12042" width="13.140625" style="218" bestFit="1" customWidth="1"/>
    <col min="12043" max="12043" width="4.42578125" style="218" bestFit="1" customWidth="1"/>
    <col min="12044" max="12288" width="9.140625" style="218"/>
    <col min="12289" max="12289" width="29.7109375" style="218" customWidth="1"/>
    <col min="12290" max="12290" width="10.42578125" style="218" customWidth="1"/>
    <col min="12291" max="12292" width="9.140625" style="218"/>
    <col min="12293" max="12293" width="10.140625" style="218" customWidth="1"/>
    <col min="12294" max="12296" width="9.140625" style="218"/>
    <col min="12297" max="12297" width="19.7109375" style="218" customWidth="1"/>
    <col min="12298" max="12298" width="13.140625" style="218" bestFit="1" customWidth="1"/>
    <col min="12299" max="12299" width="4.42578125" style="218" bestFit="1" customWidth="1"/>
    <col min="12300" max="12544" width="9.140625" style="218"/>
    <col min="12545" max="12545" width="29.7109375" style="218" customWidth="1"/>
    <col min="12546" max="12546" width="10.42578125" style="218" customWidth="1"/>
    <col min="12547" max="12548" width="9.140625" style="218"/>
    <col min="12549" max="12549" width="10.140625" style="218" customWidth="1"/>
    <col min="12550" max="12552" width="9.140625" style="218"/>
    <col min="12553" max="12553" width="19.7109375" style="218" customWidth="1"/>
    <col min="12554" max="12554" width="13.140625" style="218" bestFit="1" customWidth="1"/>
    <col min="12555" max="12555" width="4.42578125" style="218" bestFit="1" customWidth="1"/>
    <col min="12556" max="12800" width="9.140625" style="218"/>
    <col min="12801" max="12801" width="29.7109375" style="218" customWidth="1"/>
    <col min="12802" max="12802" width="10.42578125" style="218" customWidth="1"/>
    <col min="12803" max="12804" width="9.140625" style="218"/>
    <col min="12805" max="12805" width="10.140625" style="218" customWidth="1"/>
    <col min="12806" max="12808" width="9.140625" style="218"/>
    <col min="12809" max="12809" width="19.7109375" style="218" customWidth="1"/>
    <col min="12810" max="12810" width="13.140625" style="218" bestFit="1" customWidth="1"/>
    <col min="12811" max="12811" width="4.42578125" style="218" bestFit="1" customWidth="1"/>
    <col min="12812" max="13056" width="9.140625" style="218"/>
    <col min="13057" max="13057" width="29.7109375" style="218" customWidth="1"/>
    <col min="13058" max="13058" width="10.42578125" style="218" customWidth="1"/>
    <col min="13059" max="13060" width="9.140625" style="218"/>
    <col min="13061" max="13061" width="10.140625" style="218" customWidth="1"/>
    <col min="13062" max="13064" width="9.140625" style="218"/>
    <col min="13065" max="13065" width="19.7109375" style="218" customWidth="1"/>
    <col min="13066" max="13066" width="13.140625" style="218" bestFit="1" customWidth="1"/>
    <col min="13067" max="13067" width="4.42578125" style="218" bestFit="1" customWidth="1"/>
    <col min="13068" max="13312" width="9.140625" style="218"/>
    <col min="13313" max="13313" width="29.7109375" style="218" customWidth="1"/>
    <col min="13314" max="13314" width="10.42578125" style="218" customWidth="1"/>
    <col min="13315" max="13316" width="9.140625" style="218"/>
    <col min="13317" max="13317" width="10.140625" style="218" customWidth="1"/>
    <col min="13318" max="13320" width="9.140625" style="218"/>
    <col min="13321" max="13321" width="19.7109375" style="218" customWidth="1"/>
    <col min="13322" max="13322" width="13.140625" style="218" bestFit="1" customWidth="1"/>
    <col min="13323" max="13323" width="4.42578125" style="218" bestFit="1" customWidth="1"/>
    <col min="13324" max="13568" width="9.140625" style="218"/>
    <col min="13569" max="13569" width="29.7109375" style="218" customWidth="1"/>
    <col min="13570" max="13570" width="10.42578125" style="218" customWidth="1"/>
    <col min="13571" max="13572" width="9.140625" style="218"/>
    <col min="13573" max="13573" width="10.140625" style="218" customWidth="1"/>
    <col min="13574" max="13576" width="9.140625" style="218"/>
    <col min="13577" max="13577" width="19.7109375" style="218" customWidth="1"/>
    <col min="13578" max="13578" width="13.140625" style="218" bestFit="1" customWidth="1"/>
    <col min="13579" max="13579" width="4.42578125" style="218" bestFit="1" customWidth="1"/>
    <col min="13580" max="13824" width="9.140625" style="218"/>
    <col min="13825" max="13825" width="29.7109375" style="218" customWidth="1"/>
    <col min="13826" max="13826" width="10.42578125" style="218" customWidth="1"/>
    <col min="13827" max="13828" width="9.140625" style="218"/>
    <col min="13829" max="13829" width="10.140625" style="218" customWidth="1"/>
    <col min="13830" max="13832" width="9.140625" style="218"/>
    <col min="13833" max="13833" width="19.7109375" style="218" customWidth="1"/>
    <col min="13834" max="13834" width="13.140625" style="218" bestFit="1" customWidth="1"/>
    <col min="13835" max="13835" width="4.42578125" style="218" bestFit="1" customWidth="1"/>
    <col min="13836" max="14080" width="9.140625" style="218"/>
    <col min="14081" max="14081" width="29.7109375" style="218" customWidth="1"/>
    <col min="14082" max="14082" width="10.42578125" style="218" customWidth="1"/>
    <col min="14083" max="14084" width="9.140625" style="218"/>
    <col min="14085" max="14085" width="10.140625" style="218" customWidth="1"/>
    <col min="14086" max="14088" width="9.140625" style="218"/>
    <col min="14089" max="14089" width="19.7109375" style="218" customWidth="1"/>
    <col min="14090" max="14090" width="13.140625" style="218" bestFit="1" customWidth="1"/>
    <col min="14091" max="14091" width="4.42578125" style="218" bestFit="1" customWidth="1"/>
    <col min="14092" max="14336" width="9.140625" style="218"/>
    <col min="14337" max="14337" width="29.7109375" style="218" customWidth="1"/>
    <col min="14338" max="14338" width="10.42578125" style="218" customWidth="1"/>
    <col min="14339" max="14340" width="9.140625" style="218"/>
    <col min="14341" max="14341" width="10.140625" style="218" customWidth="1"/>
    <col min="14342" max="14344" width="9.140625" style="218"/>
    <col min="14345" max="14345" width="19.7109375" style="218" customWidth="1"/>
    <col min="14346" max="14346" width="13.140625" style="218" bestFit="1" customWidth="1"/>
    <col min="14347" max="14347" width="4.42578125" style="218" bestFit="1" customWidth="1"/>
    <col min="14348" max="14592" width="9.140625" style="218"/>
    <col min="14593" max="14593" width="29.7109375" style="218" customWidth="1"/>
    <col min="14594" max="14594" width="10.42578125" style="218" customWidth="1"/>
    <col min="14595" max="14596" width="9.140625" style="218"/>
    <col min="14597" max="14597" width="10.140625" style="218" customWidth="1"/>
    <col min="14598" max="14600" width="9.140625" style="218"/>
    <col min="14601" max="14601" width="19.7109375" style="218" customWidth="1"/>
    <col min="14602" max="14602" width="13.140625" style="218" bestFit="1" customWidth="1"/>
    <col min="14603" max="14603" width="4.42578125" style="218" bestFit="1" customWidth="1"/>
    <col min="14604" max="14848" width="9.140625" style="218"/>
    <col min="14849" max="14849" width="29.7109375" style="218" customWidth="1"/>
    <col min="14850" max="14850" width="10.42578125" style="218" customWidth="1"/>
    <col min="14851" max="14852" width="9.140625" style="218"/>
    <col min="14853" max="14853" width="10.140625" style="218" customWidth="1"/>
    <col min="14854" max="14856" width="9.140625" style="218"/>
    <col min="14857" max="14857" width="19.7109375" style="218" customWidth="1"/>
    <col min="14858" max="14858" width="13.140625" style="218" bestFit="1" customWidth="1"/>
    <col min="14859" max="14859" width="4.42578125" style="218" bestFit="1" customWidth="1"/>
    <col min="14860" max="15104" width="9.140625" style="218"/>
    <col min="15105" max="15105" width="29.7109375" style="218" customWidth="1"/>
    <col min="15106" max="15106" width="10.42578125" style="218" customWidth="1"/>
    <col min="15107" max="15108" width="9.140625" style="218"/>
    <col min="15109" max="15109" width="10.140625" style="218" customWidth="1"/>
    <col min="15110" max="15112" width="9.140625" style="218"/>
    <col min="15113" max="15113" width="19.7109375" style="218" customWidth="1"/>
    <col min="15114" max="15114" width="13.140625" style="218" bestFit="1" customWidth="1"/>
    <col min="15115" max="15115" width="4.42578125" style="218" bestFit="1" customWidth="1"/>
    <col min="15116" max="15360" width="9.140625" style="218"/>
    <col min="15361" max="15361" width="29.7109375" style="218" customWidth="1"/>
    <col min="15362" max="15362" width="10.42578125" style="218" customWidth="1"/>
    <col min="15363" max="15364" width="9.140625" style="218"/>
    <col min="15365" max="15365" width="10.140625" style="218" customWidth="1"/>
    <col min="15366" max="15368" width="9.140625" style="218"/>
    <col min="15369" max="15369" width="19.7109375" style="218" customWidth="1"/>
    <col min="15370" max="15370" width="13.140625" style="218" bestFit="1" customWidth="1"/>
    <col min="15371" max="15371" width="4.42578125" style="218" bestFit="1" customWidth="1"/>
    <col min="15372" max="15616" width="9.140625" style="218"/>
    <col min="15617" max="15617" width="29.7109375" style="218" customWidth="1"/>
    <col min="15618" max="15618" width="10.42578125" style="218" customWidth="1"/>
    <col min="15619" max="15620" width="9.140625" style="218"/>
    <col min="15621" max="15621" width="10.140625" style="218" customWidth="1"/>
    <col min="15622" max="15624" width="9.140625" style="218"/>
    <col min="15625" max="15625" width="19.7109375" style="218" customWidth="1"/>
    <col min="15626" max="15626" width="13.140625" style="218" bestFit="1" customWidth="1"/>
    <col min="15627" max="15627" width="4.42578125" style="218" bestFit="1" customWidth="1"/>
    <col min="15628" max="15872" width="9.140625" style="218"/>
    <col min="15873" max="15873" width="29.7109375" style="218" customWidth="1"/>
    <col min="15874" max="15874" width="10.42578125" style="218" customWidth="1"/>
    <col min="15875" max="15876" width="9.140625" style="218"/>
    <col min="15877" max="15877" width="10.140625" style="218" customWidth="1"/>
    <col min="15878" max="15880" width="9.140625" style="218"/>
    <col min="15881" max="15881" width="19.7109375" style="218" customWidth="1"/>
    <col min="15882" max="15882" width="13.140625" style="218" bestFit="1" customWidth="1"/>
    <col min="15883" max="15883" width="4.42578125" style="218" bestFit="1" customWidth="1"/>
    <col min="15884" max="16128" width="9.140625" style="218"/>
    <col min="16129" max="16129" width="29.7109375" style="218" customWidth="1"/>
    <col min="16130" max="16130" width="10.42578125" style="218" customWidth="1"/>
    <col min="16131" max="16132" width="9.140625" style="218"/>
    <col min="16133" max="16133" width="10.140625" style="218" customWidth="1"/>
    <col min="16134" max="16136" width="9.140625" style="218"/>
    <col min="16137" max="16137" width="19.7109375" style="218" customWidth="1"/>
    <col min="16138" max="16138" width="13.140625" style="218" bestFit="1" customWidth="1"/>
    <col min="16139" max="16139" width="4.42578125" style="218" bestFit="1" customWidth="1"/>
    <col min="16140" max="16384" width="9.140625" style="218"/>
  </cols>
  <sheetData>
    <row r="2" spans="1:12" ht="18.75" thickBot="1" x14ac:dyDescent="0.3">
      <c r="A2" s="385" t="s">
        <v>30</v>
      </c>
      <c r="B2" s="385"/>
      <c r="C2" s="385"/>
      <c r="D2" s="385"/>
      <c r="E2" s="385"/>
      <c r="F2" s="385"/>
      <c r="G2" s="385"/>
      <c r="H2" s="385"/>
    </row>
    <row r="3" spans="1:12" ht="18.75" thickTop="1" x14ac:dyDescent="0.25"/>
    <row r="4" spans="1:12" x14ac:dyDescent="0.25">
      <c r="A4" s="218" t="s">
        <v>31</v>
      </c>
      <c r="B4" s="219">
        <v>130000</v>
      </c>
    </row>
    <row r="5" spans="1:12" ht="18.75" thickBot="1" x14ac:dyDescent="0.3">
      <c r="A5" s="220"/>
      <c r="B5" s="220"/>
      <c r="C5" s="220"/>
      <c r="D5" s="220"/>
      <c r="E5" s="220"/>
      <c r="F5" s="220"/>
      <c r="G5" s="220"/>
      <c r="H5" s="220"/>
    </row>
    <row r="6" spans="1:12" ht="19.5" thickTop="1" thickBot="1" x14ac:dyDescent="0.3">
      <c r="A6" s="386"/>
      <c r="B6" s="386"/>
      <c r="C6" s="386"/>
      <c r="D6" s="386"/>
      <c r="E6" s="386"/>
      <c r="F6" s="386"/>
      <c r="G6" s="386"/>
      <c r="H6" s="386"/>
      <c r="I6" s="221"/>
      <c r="J6" s="221"/>
    </row>
    <row r="7" spans="1:12" ht="19.5" thickTop="1" thickBot="1" x14ac:dyDescent="0.3">
      <c r="A7" s="222" t="s">
        <v>32</v>
      </c>
      <c r="B7" s="223" t="s">
        <v>33</v>
      </c>
      <c r="C7" s="223" t="s">
        <v>34</v>
      </c>
      <c r="D7" s="223" t="s">
        <v>35</v>
      </c>
      <c r="E7" s="223" t="s">
        <v>36</v>
      </c>
      <c r="F7" s="223" t="s">
        <v>37</v>
      </c>
      <c r="G7" s="223" t="s">
        <v>38</v>
      </c>
      <c r="H7" s="224" t="s">
        <v>39</v>
      </c>
      <c r="I7" s="225"/>
      <c r="J7" s="225"/>
    </row>
    <row r="8" spans="1:12" s="226" customFormat="1" ht="18.75" thickTop="1" x14ac:dyDescent="0.25">
      <c r="A8" s="218" t="s">
        <v>40</v>
      </c>
      <c r="B8" s="227">
        <v>25000</v>
      </c>
      <c r="C8" s="227">
        <v>12000</v>
      </c>
      <c r="D8" s="227">
        <v>10000</v>
      </c>
      <c r="E8" s="227">
        <v>8000</v>
      </c>
      <c r="F8" s="227"/>
      <c r="G8" s="227"/>
      <c r="H8" s="228">
        <f>+SUM(B8:G8)</f>
        <v>55000</v>
      </c>
      <c r="I8" s="229"/>
      <c r="J8" s="229"/>
      <c r="K8" s="218"/>
      <c r="L8" s="218"/>
    </row>
    <row r="9" spans="1:12" x14ac:dyDescent="0.25">
      <c r="A9" s="218" t="s">
        <v>41</v>
      </c>
      <c r="B9" s="227">
        <v>85000</v>
      </c>
      <c r="C9" s="227"/>
      <c r="D9" s="227"/>
      <c r="E9" s="227"/>
      <c r="F9" s="227"/>
      <c r="G9" s="227"/>
      <c r="H9" s="228">
        <f t="shared" ref="H9:H17" si="0">+SUM(B9:G9)</f>
        <v>85000</v>
      </c>
      <c r="I9" s="229"/>
      <c r="J9" s="229"/>
    </row>
    <row r="10" spans="1:12" s="226" customFormat="1" x14ac:dyDescent="0.25">
      <c r="A10" s="218" t="s">
        <v>42</v>
      </c>
      <c r="B10" s="227">
        <v>50000</v>
      </c>
      <c r="C10" s="227">
        <v>5000</v>
      </c>
      <c r="D10" s="227">
        <v>5000</v>
      </c>
      <c r="E10" s="227">
        <v>5000</v>
      </c>
      <c r="F10" s="227">
        <v>5000</v>
      </c>
      <c r="G10" s="227"/>
      <c r="H10" s="228">
        <f t="shared" si="0"/>
        <v>70000</v>
      </c>
      <c r="I10" s="229"/>
      <c r="J10" s="229"/>
      <c r="K10" s="218"/>
      <c r="L10" s="218"/>
    </row>
    <row r="11" spans="1:12" s="226" customFormat="1" x14ac:dyDescent="0.25">
      <c r="A11" s="218" t="s">
        <v>43</v>
      </c>
      <c r="B11" s="227">
        <v>45000</v>
      </c>
      <c r="C11" s="227">
        <v>10000</v>
      </c>
      <c r="D11" s="227">
        <v>10000</v>
      </c>
      <c r="E11" s="227">
        <v>10000</v>
      </c>
      <c r="F11" s="227"/>
      <c r="G11" s="227"/>
      <c r="H11" s="228">
        <f t="shared" si="0"/>
        <v>75000</v>
      </c>
      <c r="I11" s="229"/>
      <c r="J11" s="378"/>
      <c r="K11" s="239"/>
      <c r="L11" s="239"/>
    </row>
    <row r="12" spans="1:12" x14ac:dyDescent="0.25">
      <c r="A12" s="218" t="s">
        <v>44</v>
      </c>
      <c r="B12" s="227">
        <v>65000</v>
      </c>
      <c r="C12" s="227"/>
      <c r="D12" s="227"/>
      <c r="E12" s="227"/>
      <c r="F12" s="227"/>
      <c r="G12" s="227"/>
      <c r="H12" s="228">
        <f t="shared" si="0"/>
        <v>65000</v>
      </c>
      <c r="I12" s="227"/>
      <c r="J12" s="379"/>
      <c r="K12" s="239"/>
      <c r="L12" s="239"/>
    </row>
    <row r="13" spans="1:12" x14ac:dyDescent="0.25">
      <c r="A13" s="218" t="s">
        <v>45</v>
      </c>
      <c r="B13" s="227">
        <v>68000</v>
      </c>
      <c r="C13" s="227"/>
      <c r="D13" s="227"/>
      <c r="E13" s="227"/>
      <c r="F13" s="227"/>
      <c r="G13" s="227"/>
      <c r="H13" s="228">
        <f t="shared" si="0"/>
        <v>68000</v>
      </c>
      <c r="I13" s="229"/>
      <c r="J13" s="379"/>
      <c r="K13" s="239"/>
      <c r="L13" s="239"/>
    </row>
    <row r="14" spans="1:12" s="226" customFormat="1" x14ac:dyDescent="0.25">
      <c r="A14" s="218" t="s">
        <v>46</v>
      </c>
      <c r="B14" s="227">
        <v>25000</v>
      </c>
      <c r="C14" s="227"/>
      <c r="D14" s="227">
        <v>25000</v>
      </c>
      <c r="E14" s="227"/>
      <c r="F14" s="227">
        <v>15000</v>
      </c>
      <c r="G14" s="227"/>
      <c r="H14" s="228">
        <f t="shared" si="0"/>
        <v>65000</v>
      </c>
      <c r="I14" s="229"/>
      <c r="J14" s="378"/>
      <c r="K14" s="239"/>
      <c r="L14" s="239"/>
    </row>
    <row r="15" spans="1:12" s="226" customFormat="1" x14ac:dyDescent="0.25">
      <c r="A15" s="218" t="s">
        <v>47</v>
      </c>
      <c r="B15" s="227">
        <v>20000</v>
      </c>
      <c r="C15" s="227">
        <v>20000</v>
      </c>
      <c r="D15" s="227">
        <v>15000</v>
      </c>
      <c r="E15" s="227">
        <v>15000</v>
      </c>
      <c r="F15" s="227"/>
      <c r="G15" s="227"/>
      <c r="H15" s="228">
        <f t="shared" si="0"/>
        <v>70000</v>
      </c>
      <c r="I15" s="229"/>
      <c r="J15" s="378"/>
      <c r="K15" s="239"/>
      <c r="L15" s="239"/>
    </row>
    <row r="16" spans="1:12" x14ac:dyDescent="0.25">
      <c r="A16" s="218" t="s">
        <v>48</v>
      </c>
      <c r="B16" s="227">
        <v>75000</v>
      </c>
      <c r="C16" s="227"/>
      <c r="D16" s="227"/>
      <c r="E16" s="227"/>
      <c r="F16" s="227"/>
      <c r="G16" s="227"/>
      <c r="H16" s="228">
        <f t="shared" si="0"/>
        <v>75000</v>
      </c>
      <c r="I16" s="229"/>
      <c r="J16" s="378"/>
      <c r="K16" s="239"/>
      <c r="L16" s="239"/>
    </row>
    <row r="17" spans="1:12" s="226" customFormat="1" ht="18.75" thickBot="1" x14ac:dyDescent="0.3">
      <c r="A17" s="220" t="s">
        <v>49</v>
      </c>
      <c r="B17" s="266">
        <v>12500</v>
      </c>
      <c r="C17" s="266">
        <v>12500</v>
      </c>
      <c r="D17" s="266">
        <v>12500</v>
      </c>
      <c r="E17" s="266">
        <v>12500</v>
      </c>
      <c r="F17" s="266">
        <v>12500</v>
      </c>
      <c r="G17" s="266">
        <v>12500</v>
      </c>
      <c r="H17" s="232">
        <f t="shared" si="0"/>
        <v>75000</v>
      </c>
      <c r="I17" s="229"/>
      <c r="J17" s="378"/>
      <c r="K17" s="239"/>
      <c r="L17" s="239"/>
    </row>
    <row r="18" spans="1:12" ht="18.75" thickTop="1" x14ac:dyDescent="0.25">
      <c r="B18" s="227"/>
      <c r="C18" s="227"/>
      <c r="D18" s="227"/>
      <c r="E18" s="227"/>
      <c r="F18" s="227"/>
      <c r="G18" s="227"/>
      <c r="H18" s="228"/>
      <c r="I18" s="229"/>
      <c r="J18" s="229"/>
    </row>
    <row r="20" spans="1:12" ht="18.75" thickBot="1" x14ac:dyDescent="0.3">
      <c r="A20" s="220"/>
      <c r="B20" s="220"/>
      <c r="C20" s="220"/>
      <c r="D20" s="220"/>
      <c r="E20" s="220"/>
      <c r="F20" s="220"/>
      <c r="G20" s="220"/>
      <c r="H20" s="220"/>
    </row>
    <row r="21" spans="1:12" ht="19.5" thickTop="1" thickBot="1" x14ac:dyDescent="0.3">
      <c r="A21" s="386"/>
      <c r="B21" s="386"/>
      <c r="C21" s="386"/>
      <c r="D21" s="386"/>
      <c r="E21" s="386"/>
      <c r="F21" s="386"/>
      <c r="G21" s="386"/>
      <c r="H21" s="386"/>
      <c r="I21" s="230"/>
      <c r="J21" s="230"/>
    </row>
    <row r="22" spans="1:12" ht="19.5" thickTop="1" thickBot="1" x14ac:dyDescent="0.3">
      <c r="A22" s="222" t="s">
        <v>32</v>
      </c>
      <c r="B22" s="223" t="s">
        <v>33</v>
      </c>
      <c r="C22" s="223" t="s">
        <v>34</v>
      </c>
      <c r="D22" s="223" t="s">
        <v>35</v>
      </c>
      <c r="E22" s="223" t="s">
        <v>36</v>
      </c>
      <c r="F22" s="223" t="s">
        <v>37</v>
      </c>
      <c r="G22" s="223" t="s">
        <v>38</v>
      </c>
      <c r="H22" s="224" t="s">
        <v>39</v>
      </c>
      <c r="I22" s="225"/>
      <c r="J22" s="225"/>
    </row>
    <row r="23" spans="1:12" s="226" customFormat="1" ht="18.75" thickTop="1" x14ac:dyDescent="0.25">
      <c r="A23" s="218" t="s">
        <v>40</v>
      </c>
      <c r="B23" s="218"/>
      <c r="C23" s="219">
        <v>15000</v>
      </c>
      <c r="D23" s="219">
        <v>15000</v>
      </c>
      <c r="E23" s="219">
        <v>15000</v>
      </c>
      <c r="F23" s="219">
        <v>15000</v>
      </c>
      <c r="G23" s="219">
        <v>15000</v>
      </c>
      <c r="H23" s="228">
        <f t="shared" ref="H23:H32" si="1">+SUM(B23:G23)</f>
        <v>75000</v>
      </c>
      <c r="I23" s="218"/>
      <c r="J23" s="218"/>
      <c r="K23" s="218"/>
      <c r="L23" s="218"/>
    </row>
    <row r="24" spans="1:12" x14ac:dyDescent="0.25">
      <c r="A24" s="218" t="s">
        <v>41</v>
      </c>
      <c r="C24" s="219">
        <v>15000</v>
      </c>
      <c r="D24" s="219">
        <v>25000</v>
      </c>
      <c r="E24" s="219">
        <v>32000</v>
      </c>
      <c r="F24" s="219">
        <v>36000</v>
      </c>
      <c r="G24" s="219">
        <v>38000</v>
      </c>
      <c r="H24" s="228">
        <f t="shared" si="1"/>
        <v>146000</v>
      </c>
    </row>
    <row r="25" spans="1:12" s="226" customFormat="1" x14ac:dyDescent="0.25">
      <c r="A25" s="218" t="s">
        <v>42</v>
      </c>
      <c r="B25" s="218"/>
      <c r="C25" s="218">
        <v>-8000</v>
      </c>
      <c r="D25" s="218">
        <v>12500</v>
      </c>
      <c r="E25" s="219">
        <f>+D25*1.25</f>
        <v>15625</v>
      </c>
      <c r="F25" s="219">
        <f>+E25*1.25</f>
        <v>19531.25</v>
      </c>
      <c r="G25" s="219">
        <f>+F25*1.25</f>
        <v>24414.0625</v>
      </c>
      <c r="H25" s="228">
        <f t="shared" si="1"/>
        <v>64070.3125</v>
      </c>
      <c r="I25" s="218"/>
      <c r="J25" s="218"/>
      <c r="K25" s="218"/>
      <c r="L25" s="218"/>
    </row>
    <row r="26" spans="1:12" s="226" customFormat="1" x14ac:dyDescent="0.25">
      <c r="A26" s="218" t="s">
        <v>43</v>
      </c>
      <c r="B26" s="218"/>
      <c r="C26" s="219">
        <v>15000</v>
      </c>
      <c r="D26" s="219">
        <v>15000</v>
      </c>
      <c r="E26" s="219">
        <v>15000</v>
      </c>
      <c r="F26" s="219">
        <v>15000</v>
      </c>
      <c r="G26" s="219">
        <v>15000</v>
      </c>
      <c r="H26" s="228">
        <f t="shared" si="1"/>
        <v>75000</v>
      </c>
      <c r="I26" s="218"/>
      <c r="J26" s="218"/>
      <c r="K26" s="218"/>
      <c r="L26" s="218"/>
    </row>
    <row r="27" spans="1:12" x14ac:dyDescent="0.25">
      <c r="A27" s="218" t="s">
        <v>44</v>
      </c>
      <c r="C27" s="219">
        <v>-15000</v>
      </c>
      <c r="D27" s="219">
        <v>-10000</v>
      </c>
      <c r="E27" s="219">
        <v>45000</v>
      </c>
      <c r="F27" s="219">
        <f>+E27*1.25</f>
        <v>56250</v>
      </c>
      <c r="G27" s="219">
        <f>+F27*1.25</f>
        <v>70312.5</v>
      </c>
      <c r="H27" s="228">
        <f t="shared" si="1"/>
        <v>146562.5</v>
      </c>
    </row>
    <row r="28" spans="1:12" x14ac:dyDescent="0.25">
      <c r="A28" s="218" t="s">
        <v>45</v>
      </c>
      <c r="C28" s="219">
        <v>15000</v>
      </c>
      <c r="D28" s="219">
        <f>+C28*1.2</f>
        <v>18000</v>
      </c>
      <c r="E28" s="219">
        <f>+D28*1.2</f>
        <v>21600</v>
      </c>
      <c r="F28" s="219">
        <f>+E28*1.2</f>
        <v>25920</v>
      </c>
      <c r="G28" s="219">
        <f>+F28*1.2</f>
        <v>31104</v>
      </c>
      <c r="H28" s="228">
        <f t="shared" si="1"/>
        <v>111624</v>
      </c>
    </row>
    <row r="29" spans="1:12" x14ac:dyDescent="0.25">
      <c r="A29" s="218" t="s">
        <v>46</v>
      </c>
      <c r="C29" s="219">
        <v>20000</v>
      </c>
      <c r="D29" s="219">
        <v>20000</v>
      </c>
      <c r="E29" s="219">
        <v>20000</v>
      </c>
      <c r="F29" s="219">
        <v>20000</v>
      </c>
      <c r="G29" s="219">
        <v>20000</v>
      </c>
      <c r="H29" s="228">
        <f t="shared" si="1"/>
        <v>100000</v>
      </c>
    </row>
    <row r="30" spans="1:12" s="226" customFormat="1" x14ac:dyDescent="0.25">
      <c r="A30" s="218" t="s">
        <v>47</v>
      </c>
      <c r="B30" s="218"/>
      <c r="C30" s="219">
        <v>20000</v>
      </c>
      <c r="D30" s="219">
        <f>+C30*1.3</f>
        <v>26000</v>
      </c>
      <c r="E30" s="219">
        <f>+D30*1.3</f>
        <v>33800</v>
      </c>
      <c r="F30" s="219">
        <f>+E30*1.3</f>
        <v>43940</v>
      </c>
      <c r="G30" s="219">
        <f>+F30*1.3</f>
        <v>57122</v>
      </c>
      <c r="H30" s="228">
        <f>+SUM(B30:G30)</f>
        <v>180862</v>
      </c>
      <c r="I30" s="218"/>
      <c r="J30" s="218"/>
      <c r="K30" s="218"/>
      <c r="L30" s="218"/>
    </row>
    <row r="31" spans="1:12" x14ac:dyDescent="0.25">
      <c r="A31" s="218" t="s">
        <v>48</v>
      </c>
      <c r="C31" s="219">
        <v>-10000</v>
      </c>
      <c r="D31" s="219">
        <v>30000</v>
      </c>
      <c r="E31" s="219">
        <v>32000</v>
      </c>
      <c r="F31" s="219">
        <v>36000</v>
      </c>
      <c r="G31" s="219">
        <v>38000</v>
      </c>
      <c r="H31" s="228">
        <f>+SUM(B31:G31)</f>
        <v>126000</v>
      </c>
    </row>
    <row r="32" spans="1:12" ht="18.75" thickBot="1" x14ac:dyDescent="0.3">
      <c r="A32" s="220" t="s">
        <v>49</v>
      </c>
      <c r="B32" s="220"/>
      <c r="C32" s="231">
        <v>-10000</v>
      </c>
      <c r="D32" s="231">
        <v>30000</v>
      </c>
      <c r="E32" s="231">
        <v>40000</v>
      </c>
      <c r="F32" s="231">
        <v>50000</v>
      </c>
      <c r="G32" s="231">
        <v>60000</v>
      </c>
      <c r="H32" s="232">
        <f t="shared" si="1"/>
        <v>170000</v>
      </c>
    </row>
    <row r="33" spans="1:10" ht="18.75" thickTop="1" x14ac:dyDescent="0.25">
      <c r="H33" s="228"/>
    </row>
    <row r="34" spans="1:10" ht="18.75" thickBot="1" x14ac:dyDescent="0.3"/>
    <row r="35" spans="1:10" ht="18.75" thickBot="1" x14ac:dyDescent="0.3">
      <c r="A35" s="382" t="s">
        <v>50</v>
      </c>
      <c r="B35" s="383"/>
      <c r="C35" s="383"/>
      <c r="D35" s="383"/>
      <c r="E35" s="383"/>
      <c r="F35" s="383"/>
      <c r="G35" s="383"/>
      <c r="H35" s="383"/>
      <c r="I35" s="383"/>
      <c r="J35" s="384"/>
    </row>
    <row r="36" spans="1:10" s="236" customFormat="1" ht="18.75" thickBot="1" x14ac:dyDescent="0.3">
      <c r="A36" s="233" t="s">
        <v>51</v>
      </c>
      <c r="B36" s="234" t="s">
        <v>0</v>
      </c>
      <c r="C36" s="234" t="s">
        <v>1</v>
      </c>
      <c r="D36" s="234" t="s">
        <v>2</v>
      </c>
      <c r="E36" s="234" t="s">
        <v>3</v>
      </c>
      <c r="F36" s="234" t="s">
        <v>4</v>
      </c>
      <c r="G36" s="234" t="s">
        <v>5</v>
      </c>
      <c r="H36" s="234" t="s">
        <v>52</v>
      </c>
      <c r="I36" s="234" t="s">
        <v>53</v>
      </c>
      <c r="J36" s="235" t="s">
        <v>54</v>
      </c>
    </row>
    <row r="37" spans="1:10" ht="18.75" thickBot="1" x14ac:dyDescent="0.3">
      <c r="A37" s="237" t="s">
        <v>55</v>
      </c>
      <c r="B37" s="238">
        <v>0.12</v>
      </c>
      <c r="C37" s="237"/>
      <c r="D37" s="237"/>
      <c r="E37" s="237"/>
      <c r="F37" s="237"/>
      <c r="G37" s="237"/>
      <c r="H37" s="237"/>
      <c r="I37" s="237"/>
      <c r="J37" s="237"/>
    </row>
    <row r="38" spans="1:10" x14ac:dyDescent="0.25">
      <c r="A38" s="239"/>
      <c r="B38" s="239"/>
      <c r="C38" s="239"/>
      <c r="D38" s="239"/>
      <c r="E38" s="239"/>
      <c r="F38" s="239"/>
      <c r="G38" s="239"/>
      <c r="H38" s="239"/>
      <c r="I38" s="239"/>
      <c r="J38" s="239"/>
    </row>
    <row r="39" spans="1:10" x14ac:dyDescent="0.25">
      <c r="A39" s="239"/>
      <c r="B39" s="239"/>
      <c r="C39" s="239"/>
      <c r="D39" s="239"/>
      <c r="E39" s="239"/>
      <c r="F39" s="239"/>
      <c r="G39" s="239"/>
      <c r="H39" s="239"/>
      <c r="I39" s="239"/>
      <c r="J39" s="239"/>
    </row>
    <row r="40" spans="1:10" ht="18.75" thickBot="1" x14ac:dyDescent="0.3"/>
    <row r="41" spans="1:10" ht="18.75" thickBot="1" x14ac:dyDescent="0.3">
      <c r="A41" s="382" t="s">
        <v>56</v>
      </c>
      <c r="B41" s="383"/>
      <c r="C41" s="383"/>
      <c r="D41" s="383"/>
      <c r="E41" s="383"/>
      <c r="F41" s="383"/>
      <c r="G41" s="383"/>
      <c r="H41" s="383"/>
      <c r="I41" s="383"/>
      <c r="J41" s="384"/>
    </row>
    <row r="42" spans="1:10" ht="15.75" customHeight="1" thickBot="1" x14ac:dyDescent="0.3">
      <c r="A42" s="233" t="s">
        <v>57</v>
      </c>
      <c r="B42" s="233">
        <v>2005</v>
      </c>
      <c r="C42" s="233">
        <v>2005</v>
      </c>
      <c r="D42" s="233">
        <v>2006</v>
      </c>
      <c r="E42" s="233">
        <v>2007</v>
      </c>
      <c r="F42" s="233">
        <v>2008</v>
      </c>
      <c r="G42" s="233">
        <v>2009</v>
      </c>
      <c r="H42" s="233">
        <v>2010</v>
      </c>
      <c r="I42" s="233">
        <v>2011</v>
      </c>
      <c r="J42" s="233">
        <v>2012</v>
      </c>
    </row>
    <row r="43" spans="1:10" ht="1.5" hidden="1" customHeight="1" x14ac:dyDescent="0.25">
      <c r="A43" s="240" t="s">
        <v>58</v>
      </c>
      <c r="B43" s="241"/>
      <c r="C43" s="242"/>
      <c r="D43" s="242">
        <v>0.6</v>
      </c>
      <c r="E43" s="242">
        <v>5.0999999999999996</v>
      </c>
      <c r="F43" s="242">
        <v>4.5</v>
      </c>
      <c r="G43" s="242">
        <v>7</v>
      </c>
      <c r="H43" s="242">
        <v>0.5</v>
      </c>
      <c r="I43" s="242">
        <v>2.2999999999999998</v>
      </c>
      <c r="J43" s="243">
        <v>4.5</v>
      </c>
    </row>
    <row r="44" spans="1:10" ht="16.5" hidden="1" customHeight="1" x14ac:dyDescent="0.25">
      <c r="A44" s="240" t="s">
        <v>59</v>
      </c>
      <c r="B44" s="241"/>
      <c r="C44" s="242">
        <v>-1.4</v>
      </c>
      <c r="D44" s="242">
        <v>1</v>
      </c>
      <c r="E44" s="242">
        <v>5.2</v>
      </c>
      <c r="F44" s="242">
        <v>4.5</v>
      </c>
      <c r="G44" s="242">
        <v>7.1</v>
      </c>
      <c r="H44" s="242">
        <v>0</v>
      </c>
      <c r="I44" s="242">
        <v>2.7</v>
      </c>
      <c r="J44" s="243">
        <v>4.3</v>
      </c>
    </row>
    <row r="45" spans="1:10" ht="16.5" hidden="1" customHeight="1" x14ac:dyDescent="0.25">
      <c r="A45" s="240" t="s">
        <v>60</v>
      </c>
      <c r="B45" s="241"/>
      <c r="C45" s="242">
        <v>-1.3</v>
      </c>
      <c r="D45" s="242">
        <v>1.4</v>
      </c>
      <c r="E45" s="242">
        <v>5.2</v>
      </c>
      <c r="F45" s="242">
        <v>4.5999999999999996</v>
      </c>
      <c r="G45" s="242">
        <v>7.1</v>
      </c>
      <c r="H45" s="242">
        <v>-0.3</v>
      </c>
      <c r="I45" s="242">
        <v>3</v>
      </c>
      <c r="J45" s="243">
        <v>4.0999999999999996</v>
      </c>
    </row>
    <row r="46" spans="1:10" ht="16.5" hidden="1" customHeight="1" x14ac:dyDescent="0.25">
      <c r="A46" s="240" t="s">
        <v>61</v>
      </c>
      <c r="B46" s="241"/>
      <c r="C46" s="242">
        <v>-1.1000000000000001</v>
      </c>
      <c r="D46" s="242">
        <v>1.8</v>
      </c>
      <c r="E46" s="242">
        <v>5.0999999999999996</v>
      </c>
      <c r="F46" s="242">
        <v>4.9000000000000004</v>
      </c>
      <c r="G46" s="242">
        <v>6.7</v>
      </c>
      <c r="H46" s="242">
        <v>-0.2</v>
      </c>
      <c r="I46" s="242">
        <v>3.3000000000000003</v>
      </c>
      <c r="J46" s="243">
        <v>3.8</v>
      </c>
    </row>
    <row r="47" spans="1:10" ht="16.5" hidden="1" customHeight="1" x14ac:dyDescent="0.25">
      <c r="A47" s="240" t="s">
        <v>62</v>
      </c>
      <c r="B47" s="241"/>
      <c r="C47" s="242">
        <v>-1</v>
      </c>
      <c r="D47" s="242">
        <v>2.5</v>
      </c>
      <c r="E47" s="242">
        <v>4.9000000000000004</v>
      </c>
      <c r="F47" s="242">
        <v>5.0999999999999996</v>
      </c>
      <c r="G47" s="242">
        <v>6.4</v>
      </c>
      <c r="H47" s="242">
        <v>-0.2</v>
      </c>
      <c r="I47" s="242">
        <v>3.5000000000000004</v>
      </c>
      <c r="J47" s="243">
        <v>3.5</v>
      </c>
    </row>
    <row r="48" spans="1:10" ht="16.5" hidden="1" customHeight="1" x14ac:dyDescent="0.25">
      <c r="A48" s="240" t="s">
        <v>63</v>
      </c>
      <c r="B48" s="241"/>
      <c r="C48" s="242">
        <v>-0.8</v>
      </c>
      <c r="D48" s="242">
        <v>3</v>
      </c>
      <c r="E48" s="242">
        <v>4.5</v>
      </c>
      <c r="F48" s="242">
        <v>5.6</v>
      </c>
      <c r="G48" s="242">
        <v>5.8</v>
      </c>
      <c r="H48" s="242">
        <v>0</v>
      </c>
      <c r="I48" s="242">
        <v>3.6999999999999997</v>
      </c>
      <c r="J48" s="243">
        <v>3.2</v>
      </c>
    </row>
    <row r="49" spans="1:11" ht="16.5" hidden="1" customHeight="1" x14ac:dyDescent="0.25">
      <c r="A49" s="240" t="s">
        <v>64</v>
      </c>
      <c r="B49" s="241"/>
      <c r="C49" s="242">
        <v>-0.6</v>
      </c>
      <c r="D49" s="242">
        <v>3.5</v>
      </c>
      <c r="E49" s="242">
        <v>4.4000000000000004</v>
      </c>
      <c r="F49" s="242">
        <v>5.9</v>
      </c>
      <c r="G49" s="242">
        <v>5</v>
      </c>
      <c r="H49" s="242">
        <v>0.3</v>
      </c>
      <c r="I49" s="242">
        <v>4</v>
      </c>
      <c r="J49" s="243">
        <v>3</v>
      </c>
    </row>
    <row r="50" spans="1:11" ht="16.5" hidden="1" customHeight="1" x14ac:dyDescent="0.25">
      <c r="A50" s="240" t="s">
        <v>65</v>
      </c>
      <c r="B50" s="241"/>
      <c r="C50" s="242">
        <v>-0.3</v>
      </c>
      <c r="D50" s="242">
        <v>3.6</v>
      </c>
      <c r="E50" s="242">
        <v>4.5</v>
      </c>
      <c r="F50" s="242">
        <v>6.1</v>
      </c>
      <c r="G50" s="242">
        <v>4.3</v>
      </c>
      <c r="H50" s="242">
        <v>0.6</v>
      </c>
      <c r="I50" s="242">
        <v>4.1000000000000005</v>
      </c>
      <c r="J50" s="243">
        <v>2.8</v>
      </c>
    </row>
    <row r="51" spans="1:11" ht="16.5" hidden="1" customHeight="1" x14ac:dyDescent="0.25">
      <c r="A51" s="240" t="s">
        <v>66</v>
      </c>
      <c r="B51" s="241"/>
      <c r="C51" s="242">
        <v>0</v>
      </c>
      <c r="D51" s="242">
        <v>3.8</v>
      </c>
      <c r="E51" s="242">
        <v>4.5999999999999996</v>
      </c>
      <c r="F51" s="242">
        <v>6.2</v>
      </c>
      <c r="G51" s="242">
        <v>3.4</v>
      </c>
      <c r="H51" s="242">
        <v>0.89999999999999991</v>
      </c>
      <c r="I51" s="242">
        <v>4.2</v>
      </c>
      <c r="J51" s="243">
        <v>2.6</v>
      </c>
    </row>
    <row r="52" spans="1:11" ht="16.5" hidden="1" customHeight="1" x14ac:dyDescent="0.25">
      <c r="A52" s="240" t="s">
        <v>67</v>
      </c>
      <c r="B52" s="241"/>
      <c r="C52" s="242">
        <v>0.1</v>
      </c>
      <c r="D52" s="242">
        <v>4.0999999999999996</v>
      </c>
      <c r="E52" s="242">
        <v>4.7</v>
      </c>
      <c r="F52" s="242">
        <v>6.4</v>
      </c>
      <c r="G52" s="242">
        <v>2.2999999999999998</v>
      </c>
      <c r="H52" s="242">
        <v>1.4000000000000001</v>
      </c>
      <c r="I52" s="242">
        <v>4.3</v>
      </c>
      <c r="J52" s="243">
        <v>2.5</v>
      </c>
    </row>
    <row r="53" spans="1:11" ht="16.5" hidden="1" customHeight="1" x14ac:dyDescent="0.25">
      <c r="A53" s="240" t="s">
        <v>68</v>
      </c>
      <c r="B53" s="241"/>
      <c r="C53" s="242">
        <v>0.3</v>
      </c>
      <c r="D53" s="242">
        <v>4.5</v>
      </c>
      <c r="E53" s="242">
        <v>4.5999999999999996</v>
      </c>
      <c r="F53" s="242">
        <v>6.6</v>
      </c>
      <c r="G53" s="242">
        <v>1.6</v>
      </c>
      <c r="H53" s="242">
        <v>1.7999999999999998</v>
      </c>
      <c r="I53" s="242">
        <v>4.5</v>
      </c>
      <c r="J53" s="243">
        <f>+AVERAGE(J43:J52)</f>
        <v>3.4299999999999997</v>
      </c>
    </row>
    <row r="54" spans="1:11" ht="17.25" hidden="1" customHeight="1" thickBot="1" x14ac:dyDescent="0.3">
      <c r="A54" s="244" t="s">
        <v>69</v>
      </c>
      <c r="B54" s="245"/>
      <c r="C54" s="246">
        <v>0.4</v>
      </c>
      <c r="D54" s="246">
        <v>4.8</v>
      </c>
      <c r="E54" s="246">
        <v>4.4000000000000004</v>
      </c>
      <c r="F54" s="246">
        <v>6.8</v>
      </c>
      <c r="G54" s="246">
        <v>1</v>
      </c>
      <c r="H54" s="246">
        <v>2.1</v>
      </c>
      <c r="I54" s="246">
        <v>4.5</v>
      </c>
      <c r="J54" s="247">
        <f>+AVERAGE(J43:J53)</f>
        <v>3.4299999999999997</v>
      </c>
    </row>
    <row r="55" spans="1:11" x14ac:dyDescent="0.25">
      <c r="A55" s="248" t="s">
        <v>70</v>
      </c>
      <c r="B55" s="249"/>
      <c r="C55" s="250">
        <f>+AVERAGE(C43:C54)</f>
        <v>-0.51818181818181819</v>
      </c>
      <c r="D55" s="250">
        <f t="shared" ref="D55:J55" si="2">+AVERAGE(D43:D54)</f>
        <v>2.8833333333333333</v>
      </c>
      <c r="E55" s="250">
        <f t="shared" si="2"/>
        <v>4.7666666666666666</v>
      </c>
      <c r="F55" s="250">
        <f t="shared" si="2"/>
        <v>5.6000000000000005</v>
      </c>
      <c r="G55" s="250">
        <f t="shared" si="2"/>
        <v>4.8083333333333327</v>
      </c>
      <c r="H55" s="250">
        <f t="shared" si="2"/>
        <v>0.57500000000000007</v>
      </c>
      <c r="I55" s="250">
        <f t="shared" si="2"/>
        <v>3.6750000000000003</v>
      </c>
      <c r="J55" s="251">
        <f t="shared" si="2"/>
        <v>3.4299999999999997</v>
      </c>
      <c r="K55" s="252">
        <f>+AVERAGE(C55:J55)</f>
        <v>3.1525189393939392</v>
      </c>
    </row>
    <row r="56" spans="1:11" ht="18.75" thickBot="1" x14ac:dyDescent="0.3">
      <c r="A56" s="253" t="s">
        <v>71</v>
      </c>
      <c r="B56" s="239"/>
      <c r="C56" s="254"/>
      <c r="D56" s="255">
        <f t="shared" ref="D56:J56" si="3">+(D55-C55)/C55</f>
        <v>-6.564327485380117</v>
      </c>
      <c r="E56" s="255">
        <f t="shared" si="3"/>
        <v>0.65317919075144504</v>
      </c>
      <c r="F56" s="255">
        <f t="shared" si="3"/>
        <v>0.17482517482517496</v>
      </c>
      <c r="G56" s="255">
        <f t="shared" si="3"/>
        <v>-0.14136904761904781</v>
      </c>
      <c r="H56" s="255">
        <f t="shared" si="3"/>
        <v>-0.8804159445407278</v>
      </c>
      <c r="I56" s="255">
        <f t="shared" si="3"/>
        <v>5.3913043478260869</v>
      </c>
      <c r="J56" s="256">
        <f t="shared" si="3"/>
        <v>-6.6666666666666818E-2</v>
      </c>
      <c r="K56" s="257">
        <f>+AVERAGE(C56:J56)</f>
        <v>-0.20478149011483607</v>
      </c>
    </row>
    <row r="57" spans="1:11" s="236" customFormat="1" ht="18.75" thickBot="1" x14ac:dyDescent="0.3">
      <c r="A57" s="233" t="s">
        <v>51</v>
      </c>
      <c r="B57" s="234" t="s">
        <v>0</v>
      </c>
      <c r="C57" s="234" t="s">
        <v>1</v>
      </c>
      <c r="D57" s="234" t="s">
        <v>2</v>
      </c>
      <c r="E57" s="234" t="s">
        <v>3</v>
      </c>
      <c r="F57" s="234" t="s">
        <v>4</v>
      </c>
      <c r="G57" s="234" t="s">
        <v>5</v>
      </c>
      <c r="H57" s="234" t="s">
        <v>52</v>
      </c>
      <c r="I57" s="234" t="s">
        <v>53</v>
      </c>
      <c r="J57" s="235" t="s">
        <v>54</v>
      </c>
    </row>
    <row r="58" spans="1:11" ht="18.75" thickBot="1" x14ac:dyDescent="0.3">
      <c r="A58" s="237" t="s">
        <v>72</v>
      </c>
      <c r="B58" s="258"/>
      <c r="C58" s="259">
        <f>+(J55*(1-K56))/100</f>
        <v>4.132400511093888E-2</v>
      </c>
      <c r="D58" s="260">
        <f>+C58*(1.2)</f>
        <v>4.9588806133126655E-2</v>
      </c>
      <c r="E58" s="260">
        <f>+D58*(1.2)</f>
        <v>5.9506567359751981E-2</v>
      </c>
      <c r="F58" s="260">
        <f>+E58*(1+K56)</f>
        <v>4.7320723824203104E-2</v>
      </c>
      <c r="G58" s="260">
        <f>+F58*(1+K56)</f>
        <v>3.7630315486170171E-2</v>
      </c>
      <c r="H58" s="260">
        <f>+G58*(1+K56)</f>
        <v>2.9924323407420853E-2</v>
      </c>
      <c r="I58" s="261" t="s">
        <v>73</v>
      </c>
      <c r="J58" s="261" t="s">
        <v>73</v>
      </c>
    </row>
    <row r="59" spans="1:11" x14ac:dyDescent="0.25">
      <c r="A59" s="262" t="s">
        <v>137</v>
      </c>
    </row>
    <row r="60" spans="1:11" ht="18.75" thickBot="1" x14ac:dyDescent="0.3"/>
    <row r="61" spans="1:11" ht="18.75" thickBot="1" x14ac:dyDescent="0.3">
      <c r="A61" s="382" t="s">
        <v>74</v>
      </c>
      <c r="B61" s="383"/>
      <c r="C61" s="383"/>
      <c r="D61" s="383"/>
      <c r="E61" s="383"/>
      <c r="F61" s="383"/>
      <c r="G61" s="383"/>
      <c r="H61" s="383"/>
      <c r="I61" s="383"/>
      <c r="J61" s="384"/>
    </row>
    <row r="62" spans="1:11" s="229" customFormat="1" ht="18.75" thickBot="1" x14ac:dyDescent="0.3">
      <c r="A62" s="263"/>
      <c r="B62" s="264" t="s">
        <v>0</v>
      </c>
      <c r="C62" s="264" t="s">
        <v>1</v>
      </c>
      <c r="D62" s="264" t="s">
        <v>2</v>
      </c>
      <c r="E62" s="264" t="s">
        <v>3</v>
      </c>
      <c r="F62" s="264" t="s">
        <v>4</v>
      </c>
      <c r="G62" s="264" t="s">
        <v>5</v>
      </c>
      <c r="H62" s="264" t="s">
        <v>52</v>
      </c>
      <c r="I62" s="264" t="s">
        <v>53</v>
      </c>
      <c r="J62" s="265" t="s">
        <v>54</v>
      </c>
    </row>
    <row r="63" spans="1:11" ht="18.75" thickBot="1" x14ac:dyDescent="0.3">
      <c r="A63" s="237" t="s">
        <v>75</v>
      </c>
      <c r="B63" s="258">
        <v>1</v>
      </c>
      <c r="C63" s="258">
        <f>1-C64</f>
        <v>0.8</v>
      </c>
      <c r="D63" s="258">
        <v>0.75</v>
      </c>
      <c r="E63" s="258">
        <v>0.6</v>
      </c>
      <c r="F63" s="258">
        <v>0.69</v>
      </c>
      <c r="G63" s="258">
        <f>1-G64</f>
        <v>0.85</v>
      </c>
      <c r="H63" s="258">
        <v>0.6</v>
      </c>
      <c r="I63" s="258">
        <f>1-I64</f>
        <v>0.6</v>
      </c>
      <c r="J63" s="258"/>
    </row>
    <row r="64" spans="1:11" ht="18.75" thickBot="1" x14ac:dyDescent="0.3">
      <c r="A64" s="237" t="s">
        <v>76</v>
      </c>
      <c r="B64" s="258">
        <f>1-1</f>
        <v>0</v>
      </c>
      <c r="C64" s="258">
        <v>0.2</v>
      </c>
      <c r="D64" s="258">
        <v>0.25</v>
      </c>
      <c r="E64" s="258">
        <f>1-E63</f>
        <v>0.4</v>
      </c>
      <c r="F64" s="258">
        <f>1-F63</f>
        <v>0.31000000000000005</v>
      </c>
      <c r="G64" s="258">
        <v>0.15</v>
      </c>
      <c r="H64" s="258">
        <v>0.4</v>
      </c>
      <c r="I64" s="258">
        <v>0.4</v>
      </c>
      <c r="J64" s="258">
        <v>0.4</v>
      </c>
    </row>
  </sheetData>
  <mergeCells count="6">
    <mergeCell ref="A61:J61"/>
    <mergeCell ref="A2:H2"/>
    <mergeCell ref="A6:H6"/>
    <mergeCell ref="A21:H21"/>
    <mergeCell ref="A35:J35"/>
    <mergeCell ref="A41:J41"/>
  </mergeCells>
  <pageMargins left="0.511811024" right="0.511811024" top="0.78740157499999996" bottom="0.78740157499999996" header="0.31496062000000002" footer="0.31496062000000002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R94"/>
  <sheetViews>
    <sheetView view="pageBreakPreview" topLeftCell="A40" zoomScale="60" zoomScaleNormal="90" workbookViewId="0">
      <selection activeCell="F69" sqref="F69"/>
    </sheetView>
  </sheetViews>
  <sheetFormatPr defaultRowHeight="20.25" x14ac:dyDescent="0.3"/>
  <cols>
    <col min="1" max="1" width="9.140625" style="189"/>
    <col min="2" max="2" width="42.42578125" style="199" bestFit="1" customWidth="1"/>
    <col min="3" max="3" width="10.5703125" style="199" bestFit="1" customWidth="1"/>
    <col min="4" max="6" width="10.42578125" style="199" bestFit="1" customWidth="1"/>
    <col min="7" max="8" width="9.42578125" style="199" bestFit="1" customWidth="1"/>
    <col min="9" max="9" width="11.85546875" style="199" bestFit="1" customWidth="1"/>
    <col min="10" max="10" width="10.85546875" style="189" bestFit="1" customWidth="1"/>
    <col min="11" max="18" width="9.140625" style="189"/>
    <col min="19" max="16384" width="9.140625" style="199"/>
  </cols>
  <sheetData>
    <row r="1" spans="1:18" s="189" customFormat="1" x14ac:dyDescent="0.3"/>
    <row r="2" spans="1:18" s="189" customFormat="1" x14ac:dyDescent="0.3">
      <c r="B2" s="387" t="s">
        <v>23</v>
      </c>
      <c r="C2" s="387"/>
      <c r="D2" s="387"/>
      <c r="E2" s="387"/>
      <c r="F2" s="387"/>
      <c r="G2" s="387"/>
      <c r="H2" s="387"/>
    </row>
    <row r="3" spans="1:18" s="189" customFormat="1" x14ac:dyDescent="0.3">
      <c r="B3" s="387"/>
      <c r="C3" s="387"/>
      <c r="D3" s="387"/>
      <c r="E3" s="387"/>
      <c r="F3" s="387"/>
      <c r="G3" s="387"/>
      <c r="H3" s="387"/>
    </row>
    <row r="4" spans="1:18" s="189" customFormat="1" x14ac:dyDescent="0.3">
      <c r="B4" s="190"/>
    </row>
    <row r="5" spans="1:18" s="189" customFormat="1" x14ac:dyDescent="0.3"/>
    <row r="6" spans="1:18" s="189" customFormat="1" x14ac:dyDescent="0.3">
      <c r="B6" s="191" t="str">
        <f>'[1]Investimento Unico'!$A$8</f>
        <v>Projeto MAX</v>
      </c>
      <c r="C6" s="191" t="s">
        <v>13</v>
      </c>
      <c r="D6" s="191" t="s">
        <v>14</v>
      </c>
      <c r="E6" s="191" t="s">
        <v>15</v>
      </c>
      <c r="F6" s="191" t="s">
        <v>16</v>
      </c>
      <c r="G6" s="191" t="s">
        <v>17</v>
      </c>
      <c r="H6" s="191" t="s">
        <v>18</v>
      </c>
      <c r="I6" s="191" t="s">
        <v>19</v>
      </c>
    </row>
    <row r="7" spans="1:18" s="195" customFormat="1" x14ac:dyDescent="0.3">
      <c r="A7" s="194"/>
      <c r="B7" s="192" t="s">
        <v>8</v>
      </c>
      <c r="C7" s="193" t="s">
        <v>0</v>
      </c>
      <c r="D7" s="193" t="s">
        <v>1</v>
      </c>
      <c r="E7" s="193" t="s">
        <v>2</v>
      </c>
      <c r="F7" s="193" t="s">
        <v>3</v>
      </c>
      <c r="G7" s="193" t="s">
        <v>4</v>
      </c>
      <c r="H7" s="193" t="s">
        <v>5</v>
      </c>
      <c r="I7" s="193" t="s">
        <v>6</v>
      </c>
      <c r="J7" s="194"/>
      <c r="K7" s="194"/>
      <c r="L7" s="194"/>
      <c r="M7" s="194"/>
      <c r="N7" s="194"/>
      <c r="O7" s="194"/>
      <c r="P7" s="194"/>
      <c r="Q7" s="194"/>
      <c r="R7" s="194"/>
    </row>
    <row r="8" spans="1:18" x14ac:dyDescent="0.3">
      <c r="B8" s="196" t="s">
        <v>12</v>
      </c>
      <c r="C8" s="197">
        <f>'[1]Investimento Unico'!$B$8</f>
        <v>85000</v>
      </c>
      <c r="D8" s="197"/>
      <c r="E8" s="198"/>
      <c r="F8" s="197"/>
      <c r="G8" s="197"/>
      <c r="H8" s="197"/>
      <c r="I8" s="197">
        <f t="shared" ref="I8" si="0">+SUM(C8:H8)</f>
        <v>85000</v>
      </c>
    </row>
    <row r="9" spans="1:18" x14ac:dyDescent="0.3">
      <c r="B9" s="196" t="s">
        <v>11</v>
      </c>
      <c r="C9" s="198"/>
      <c r="D9" s="197"/>
      <c r="E9" s="197"/>
      <c r="F9" s="197"/>
      <c r="G9" s="197"/>
      <c r="H9" s="198"/>
      <c r="I9" s="197"/>
    </row>
    <row r="10" spans="1:18" x14ac:dyDescent="0.3">
      <c r="B10" s="196" t="s">
        <v>7</v>
      </c>
      <c r="C10" s="197">
        <f>-C8</f>
        <v>-85000</v>
      </c>
      <c r="D10" s="197">
        <f>'[1]Programa de Invest (2)'!C$24</f>
        <v>15000</v>
      </c>
      <c r="E10" s="197">
        <f>'[1]Programa de Invest (2)'!D$24</f>
        <v>25000</v>
      </c>
      <c r="F10" s="197">
        <f>'[1]Programa de Invest (2)'!E$24</f>
        <v>32000</v>
      </c>
      <c r="G10" s="197">
        <f>'[1]Programa de Invest (2)'!F$24</f>
        <v>36000</v>
      </c>
      <c r="H10" s="197">
        <f>'[1]Programa de Invest (2)'!G$24</f>
        <v>38000</v>
      </c>
      <c r="I10" s="197">
        <f>+SUM(C10:H10)</f>
        <v>61000</v>
      </c>
    </row>
    <row r="11" spans="1:18" x14ac:dyDescent="0.3">
      <c r="B11" s="196" t="s">
        <v>77</v>
      </c>
      <c r="C11" s="197">
        <f>C10</f>
        <v>-85000</v>
      </c>
      <c r="D11" s="197">
        <f>SUM(C11,D10)</f>
        <v>-70000</v>
      </c>
      <c r="E11" s="197">
        <f>SUM(D11,E10)</f>
        <v>-45000</v>
      </c>
      <c r="F11" s="197">
        <f t="shared" ref="F11:I11" si="1">SUM(E11,F10)</f>
        <v>-13000</v>
      </c>
      <c r="G11" s="197">
        <f t="shared" si="1"/>
        <v>23000</v>
      </c>
      <c r="H11" s="197">
        <f t="shared" si="1"/>
        <v>61000</v>
      </c>
      <c r="I11" s="197">
        <f t="shared" si="1"/>
        <v>122000</v>
      </c>
    </row>
    <row r="12" spans="1:18" s="189" customFormat="1" x14ac:dyDescent="0.3">
      <c r="B12" s="200" t="s">
        <v>10</v>
      </c>
      <c r="C12" s="201">
        <f>'[1]Programa de Invest (2)'!$B$37</f>
        <v>0.12</v>
      </c>
      <c r="D12" s="190"/>
      <c r="E12" s="190"/>
      <c r="F12" s="190"/>
      <c r="G12" s="190"/>
      <c r="H12" s="190"/>
      <c r="I12" s="198"/>
    </row>
    <row r="13" spans="1:18" s="189" customFormat="1" x14ac:dyDescent="0.3">
      <c r="C13" s="202"/>
      <c r="D13" s="198"/>
      <c r="E13" s="198"/>
      <c r="F13" s="198"/>
      <c r="G13" s="198"/>
      <c r="H13" s="198"/>
      <c r="I13" s="190"/>
    </row>
    <row r="14" spans="1:18" s="189" customFormat="1" x14ac:dyDescent="0.3">
      <c r="B14" s="203" t="s">
        <v>78</v>
      </c>
      <c r="C14" s="204">
        <f>+NPV(C12,D10:H10)-C8</f>
        <v>15540.543351542481</v>
      </c>
      <c r="D14" s="205"/>
      <c r="I14" s="202"/>
      <c r="J14" s="213"/>
    </row>
    <row r="15" spans="1:18" s="189" customFormat="1" x14ac:dyDescent="0.3">
      <c r="B15" s="190"/>
      <c r="C15" s="190"/>
    </row>
    <row r="16" spans="1:18" s="189" customFormat="1" x14ac:dyDescent="0.3">
      <c r="B16" s="214" t="s">
        <v>79</v>
      </c>
      <c r="C16" s="206">
        <f>+(C14/C8)+1</f>
        <v>1.1828299217828526</v>
      </c>
      <c r="D16" s="207"/>
      <c r="F16" s="194"/>
    </row>
    <row r="17" spans="2:9" s="189" customFormat="1" x14ac:dyDescent="0.3">
      <c r="B17" s="208"/>
      <c r="C17" s="209"/>
      <c r="D17" s="209"/>
      <c r="E17" s="210"/>
    </row>
    <row r="18" spans="2:9" s="189" customFormat="1" x14ac:dyDescent="0.3">
      <c r="B18" s="203" t="s">
        <v>80</v>
      </c>
      <c r="C18" s="215">
        <f>IRR(C10:H10,C12)</f>
        <v>0.18143777984786302</v>
      </c>
      <c r="D18" s="194"/>
      <c r="E18" s="210"/>
    </row>
    <row r="19" spans="2:9" s="189" customFormat="1" x14ac:dyDescent="0.3">
      <c r="B19" s="208"/>
      <c r="C19" s="209"/>
      <c r="D19" s="209"/>
      <c r="E19" s="210"/>
    </row>
    <row r="20" spans="2:9" s="189" customFormat="1" x14ac:dyDescent="0.3">
      <c r="B20" s="196" t="s">
        <v>81</v>
      </c>
      <c r="C20" s="211">
        <f>3+(-F11/G10)</f>
        <v>3.3611111111111112</v>
      </c>
      <c r="D20" s="209"/>
      <c r="E20" s="210"/>
    </row>
    <row r="21" spans="2:9" s="189" customFormat="1" x14ac:dyDescent="0.3">
      <c r="B21" s="208"/>
      <c r="C21" s="209"/>
      <c r="D21" s="209"/>
      <c r="E21" s="210"/>
    </row>
    <row r="22" spans="2:9" s="189" customFormat="1" x14ac:dyDescent="0.3"/>
    <row r="23" spans="2:9" s="189" customFormat="1" x14ac:dyDescent="0.3">
      <c r="B23" s="191" t="str">
        <f>'[1]Investimento Unico'!$A$9</f>
        <v>Projeto MAYO</v>
      </c>
      <c r="C23" s="191" t="s">
        <v>13</v>
      </c>
      <c r="D23" s="191" t="s">
        <v>14</v>
      </c>
      <c r="E23" s="191" t="s">
        <v>15</v>
      </c>
      <c r="F23" s="191" t="s">
        <v>16</v>
      </c>
      <c r="G23" s="191" t="s">
        <v>17</v>
      </c>
      <c r="H23" s="191" t="s">
        <v>18</v>
      </c>
      <c r="I23" s="191" t="s">
        <v>19</v>
      </c>
    </row>
    <row r="24" spans="2:9" s="189" customFormat="1" x14ac:dyDescent="0.3">
      <c r="B24" s="192" t="s">
        <v>8</v>
      </c>
      <c r="C24" s="193" t="s">
        <v>0</v>
      </c>
      <c r="D24" s="193" t="s">
        <v>1</v>
      </c>
      <c r="E24" s="193" t="s">
        <v>2</v>
      </c>
      <c r="F24" s="193" t="s">
        <v>3</v>
      </c>
      <c r="G24" s="193" t="s">
        <v>4</v>
      </c>
      <c r="H24" s="193" t="s">
        <v>5</v>
      </c>
      <c r="I24" s="193" t="s">
        <v>6</v>
      </c>
    </row>
    <row r="25" spans="2:9" s="189" customFormat="1" x14ac:dyDescent="0.3">
      <c r="B25" s="196" t="s">
        <v>12</v>
      </c>
      <c r="C25" s="197">
        <f>'[1]Investimento Unico'!$B$9</f>
        <v>65000</v>
      </c>
      <c r="D25" s="197"/>
      <c r="E25" s="198"/>
      <c r="F25" s="197"/>
      <c r="G25" s="197"/>
      <c r="H25" s="197"/>
      <c r="I25" s="197">
        <f t="shared" ref="I25:I28" si="2">+SUM(C25:H25)</f>
        <v>65000</v>
      </c>
    </row>
    <row r="26" spans="2:9" s="189" customFormat="1" x14ac:dyDescent="0.3">
      <c r="B26" s="196" t="s">
        <v>11</v>
      </c>
      <c r="C26" s="198"/>
      <c r="D26" s="197"/>
      <c r="E26" s="197"/>
      <c r="F26" s="197"/>
      <c r="G26" s="197"/>
      <c r="H26" s="198"/>
      <c r="I26" s="197"/>
    </row>
    <row r="27" spans="2:9" s="189" customFormat="1" x14ac:dyDescent="0.3">
      <c r="B27" s="196" t="s">
        <v>7</v>
      </c>
      <c r="C27" s="197">
        <f>-C25</f>
        <v>-65000</v>
      </c>
      <c r="D27" s="197">
        <f>'[1]Programa de Invest (2)'!C$27</f>
        <v>-15000</v>
      </c>
      <c r="E27" s="197">
        <f>'[1]Programa de Invest (2)'!D$27</f>
        <v>-10000</v>
      </c>
      <c r="F27" s="197">
        <f>'[1]Programa de Invest (2)'!E$27</f>
        <v>45000</v>
      </c>
      <c r="G27" s="197">
        <f>'[1]Programa de Invest (2)'!F$27</f>
        <v>56250</v>
      </c>
      <c r="H27" s="197">
        <f>'[1]Programa de Invest (2)'!G$27</f>
        <v>70312.5</v>
      </c>
      <c r="I27" s="197">
        <f t="shared" si="2"/>
        <v>81562.5</v>
      </c>
    </row>
    <row r="28" spans="2:9" s="189" customFormat="1" x14ac:dyDescent="0.3">
      <c r="B28" s="196" t="s">
        <v>22</v>
      </c>
      <c r="C28" s="197">
        <f>C27</f>
        <v>-65000</v>
      </c>
      <c r="D28" s="197">
        <f>SUM(C28,D27)</f>
        <v>-80000</v>
      </c>
      <c r="E28" s="197">
        <f>SUM(D28,E27)</f>
        <v>-90000</v>
      </c>
      <c r="F28" s="197">
        <f t="shared" ref="F28" si="3">SUM(E28,F27)</f>
        <v>-45000</v>
      </c>
      <c r="G28" s="197">
        <f t="shared" ref="G28" si="4">SUM(F28,G27)</f>
        <v>11250</v>
      </c>
      <c r="H28" s="197">
        <f t="shared" ref="H28" si="5">SUM(G28,H27)</f>
        <v>81562.5</v>
      </c>
      <c r="I28" s="197">
        <f t="shared" si="2"/>
        <v>-187187.5</v>
      </c>
    </row>
    <row r="29" spans="2:9" s="189" customFormat="1" x14ac:dyDescent="0.3">
      <c r="B29" s="200" t="s">
        <v>10</v>
      </c>
      <c r="C29" s="201">
        <f>'[1]Programa de Invest (2)'!$B$37</f>
        <v>0.12</v>
      </c>
      <c r="D29" s="190"/>
      <c r="E29" s="190"/>
      <c r="F29" s="190"/>
      <c r="G29" s="190"/>
      <c r="H29" s="190"/>
      <c r="I29" s="198"/>
    </row>
    <row r="30" spans="2:9" s="189" customFormat="1" x14ac:dyDescent="0.3">
      <c r="C30" s="202"/>
      <c r="D30" s="198"/>
      <c r="E30" s="198"/>
      <c r="F30" s="198"/>
      <c r="G30" s="198"/>
      <c r="H30" s="198"/>
      <c r="I30" s="190"/>
    </row>
    <row r="31" spans="2:9" s="189" customFormat="1" x14ac:dyDescent="0.3">
      <c r="B31" s="203" t="s">
        <v>78</v>
      </c>
      <c r="C31" s="204">
        <f>+NPV(C29,D27:H27)-C25</f>
        <v>21310.407936221891</v>
      </c>
      <c r="D31" s="205"/>
      <c r="I31" s="202"/>
    </row>
    <row r="32" spans="2:9" s="189" customFormat="1" x14ac:dyDescent="0.3">
      <c r="B32" s="190"/>
      <c r="C32" s="190"/>
      <c r="I32" s="216"/>
    </row>
    <row r="33" spans="2:9" s="189" customFormat="1" x14ac:dyDescent="0.3">
      <c r="B33" s="214" t="s">
        <v>79</v>
      </c>
      <c r="C33" s="206">
        <f>+(C31/C25)+1</f>
        <v>1.3278524297880292</v>
      </c>
      <c r="D33" s="207"/>
      <c r="F33" s="194"/>
      <c r="I33" s="216"/>
    </row>
    <row r="34" spans="2:9" s="189" customFormat="1" x14ac:dyDescent="0.3">
      <c r="B34" s="208"/>
      <c r="C34" s="209"/>
      <c r="D34" s="209"/>
      <c r="E34" s="210"/>
      <c r="I34" s="216"/>
    </row>
    <row r="35" spans="2:9" s="189" customFormat="1" x14ac:dyDescent="0.3">
      <c r="B35" s="203" t="s">
        <v>80</v>
      </c>
      <c r="C35" s="215">
        <f>IRR(C27:H27,C29)</f>
        <v>0.18830110547400625</v>
      </c>
      <c r="D35" s="194"/>
      <c r="E35" s="210"/>
      <c r="I35" s="216"/>
    </row>
    <row r="36" spans="2:9" s="189" customFormat="1" x14ac:dyDescent="0.3">
      <c r="B36" s="208"/>
      <c r="C36" s="209"/>
      <c r="D36" s="209"/>
      <c r="E36" s="210"/>
      <c r="I36" s="216"/>
    </row>
    <row r="37" spans="2:9" s="189" customFormat="1" x14ac:dyDescent="0.3">
      <c r="B37" s="196" t="s">
        <v>81</v>
      </c>
      <c r="C37" s="211">
        <f>3+(-F28/G27)</f>
        <v>3.8</v>
      </c>
      <c r="D37" s="209"/>
      <c r="E37" s="210"/>
    </row>
    <row r="38" spans="2:9" s="189" customFormat="1" x14ac:dyDescent="0.3"/>
    <row r="39" spans="2:9" s="189" customFormat="1" x14ac:dyDescent="0.3"/>
    <row r="40" spans="2:9" s="189" customFormat="1" x14ac:dyDescent="0.3">
      <c r="B40" s="191" t="str">
        <f>'[1]Programa de Invest (2)'!$A$28</f>
        <v>Projeto BVIST</v>
      </c>
      <c r="C40" s="191" t="s">
        <v>13</v>
      </c>
      <c r="D40" s="191" t="s">
        <v>14</v>
      </c>
      <c r="E40" s="191" t="s">
        <v>15</v>
      </c>
      <c r="F40" s="191" t="s">
        <v>16</v>
      </c>
      <c r="G40" s="191" t="s">
        <v>17</v>
      </c>
      <c r="H40" s="191" t="s">
        <v>18</v>
      </c>
      <c r="I40" s="191" t="s">
        <v>19</v>
      </c>
    </row>
    <row r="41" spans="2:9" s="189" customFormat="1" x14ac:dyDescent="0.3">
      <c r="B41" s="192" t="s">
        <v>8</v>
      </c>
      <c r="C41" s="193" t="s">
        <v>0</v>
      </c>
      <c r="D41" s="193" t="s">
        <v>1</v>
      </c>
      <c r="E41" s="193" t="s">
        <v>2</v>
      </c>
      <c r="F41" s="193" t="s">
        <v>3</v>
      </c>
      <c r="G41" s="193" t="s">
        <v>4</v>
      </c>
      <c r="H41" s="193" t="s">
        <v>5</v>
      </c>
      <c r="I41" s="193" t="s">
        <v>6</v>
      </c>
    </row>
    <row r="42" spans="2:9" s="189" customFormat="1" x14ac:dyDescent="0.3">
      <c r="B42" s="196" t="s">
        <v>12</v>
      </c>
      <c r="C42" s="197">
        <f>'[1]Programa de Invest (2)'!$B$12</f>
        <v>65000</v>
      </c>
      <c r="D42" s="197"/>
      <c r="E42" s="198"/>
      <c r="F42" s="197"/>
      <c r="G42" s="197"/>
      <c r="H42" s="197"/>
      <c r="I42" s="197">
        <f t="shared" ref="I42:I44" si="6">+SUM(C42:H42)</f>
        <v>65000</v>
      </c>
    </row>
    <row r="43" spans="2:9" s="189" customFormat="1" x14ac:dyDescent="0.3">
      <c r="B43" s="196" t="s">
        <v>11</v>
      </c>
      <c r="C43" s="198"/>
      <c r="D43" s="197"/>
      <c r="E43" s="197"/>
      <c r="F43" s="197"/>
      <c r="G43" s="197"/>
      <c r="H43" s="198"/>
      <c r="I43" s="197"/>
    </row>
    <row r="44" spans="2:9" s="189" customFormat="1" x14ac:dyDescent="0.3">
      <c r="B44" s="196" t="s">
        <v>7</v>
      </c>
      <c r="C44" s="197">
        <f>-C42</f>
        <v>-65000</v>
      </c>
      <c r="D44" s="197">
        <f>'[1]Programa de Invest (2)'!C$28</f>
        <v>15000</v>
      </c>
      <c r="E44" s="197">
        <f>'[1]Programa de Invest (2)'!D$28</f>
        <v>18000</v>
      </c>
      <c r="F44" s="197">
        <f>'[1]Programa de Invest (2)'!E$28</f>
        <v>21600</v>
      </c>
      <c r="G44" s="197">
        <f>'[1]Programa de Invest (2)'!F$28</f>
        <v>25920</v>
      </c>
      <c r="H44" s="197">
        <f>'[1]Programa de Invest (2)'!G$28</f>
        <v>31104</v>
      </c>
      <c r="I44" s="197">
        <f t="shared" si="6"/>
        <v>46624</v>
      </c>
    </row>
    <row r="45" spans="2:9" s="189" customFormat="1" x14ac:dyDescent="0.3">
      <c r="B45" s="196" t="s">
        <v>77</v>
      </c>
      <c r="C45" s="197">
        <f>C44</f>
        <v>-65000</v>
      </c>
      <c r="D45" s="197">
        <f>SUM(C45,D44)</f>
        <v>-50000</v>
      </c>
      <c r="E45" s="197">
        <f t="shared" ref="E45:H45" si="7">SUM(D45,E44)</f>
        <v>-32000</v>
      </c>
      <c r="F45" s="197">
        <f t="shared" si="7"/>
        <v>-10400</v>
      </c>
      <c r="G45" s="197">
        <f t="shared" si="7"/>
        <v>15520</v>
      </c>
      <c r="H45" s="197">
        <f t="shared" si="7"/>
        <v>46624</v>
      </c>
      <c r="I45" s="197">
        <f>+SUM(C45:H45)</f>
        <v>-95256</v>
      </c>
    </row>
    <row r="46" spans="2:9" x14ac:dyDescent="0.3">
      <c r="B46" s="200" t="s">
        <v>10</v>
      </c>
      <c r="C46" s="201">
        <f>'[1]Programa de Invest (2)'!$B$37</f>
        <v>0.12</v>
      </c>
      <c r="D46" s="190"/>
      <c r="E46" s="190"/>
      <c r="F46" s="190"/>
      <c r="G46" s="190"/>
      <c r="H46" s="190"/>
      <c r="I46" s="198"/>
    </row>
    <row r="47" spans="2:9" x14ac:dyDescent="0.3">
      <c r="B47" s="189"/>
      <c r="C47" s="202"/>
      <c r="D47" s="198"/>
      <c r="E47" s="198"/>
      <c r="F47" s="198"/>
      <c r="G47" s="198"/>
      <c r="H47" s="198"/>
      <c r="I47" s="190"/>
    </row>
    <row r="48" spans="2:9" x14ac:dyDescent="0.3">
      <c r="B48" s="203" t="s">
        <v>78</v>
      </c>
      <c r="C48" s="204">
        <f>+NPV(C46,D44:H44)-C42</f>
        <v>12238.673804069695</v>
      </c>
      <c r="D48" s="205"/>
      <c r="E48" s="189"/>
      <c r="F48" s="189"/>
      <c r="G48" s="189"/>
      <c r="H48" s="189"/>
      <c r="I48" s="202"/>
    </row>
    <row r="49" spans="2:9" x14ac:dyDescent="0.3">
      <c r="B49" s="190"/>
      <c r="C49" s="190"/>
      <c r="D49" s="189"/>
      <c r="E49" s="189"/>
      <c r="F49" s="189"/>
      <c r="G49" s="189"/>
      <c r="H49" s="189"/>
      <c r="I49" s="189"/>
    </row>
    <row r="50" spans="2:9" x14ac:dyDescent="0.3">
      <c r="B50" s="214" t="s">
        <v>79</v>
      </c>
      <c r="C50" s="206">
        <f>+(C48/C42)+1</f>
        <v>1.18828728929338</v>
      </c>
      <c r="D50" s="207"/>
      <c r="E50" s="189"/>
      <c r="F50" s="194"/>
      <c r="G50" s="189"/>
      <c r="H50" s="189"/>
      <c r="I50" s="189"/>
    </row>
    <row r="51" spans="2:9" x14ac:dyDescent="0.3">
      <c r="B51" s="208"/>
      <c r="C51" s="209"/>
      <c r="D51" s="209"/>
      <c r="E51" s="210"/>
      <c r="F51" s="189"/>
      <c r="G51" s="189"/>
      <c r="H51" s="189"/>
      <c r="I51" s="189"/>
    </row>
    <row r="52" spans="2:9" x14ac:dyDescent="0.3">
      <c r="B52" s="203" t="s">
        <v>80</v>
      </c>
      <c r="C52" s="215">
        <f>IRR(C44:H44,C46)</f>
        <v>0.18448071721986636</v>
      </c>
      <c r="D52" s="194"/>
      <c r="E52" s="210"/>
      <c r="F52" s="189"/>
      <c r="G52" s="189"/>
      <c r="H52" s="189"/>
      <c r="I52" s="189"/>
    </row>
    <row r="53" spans="2:9" x14ac:dyDescent="0.3">
      <c r="B53" s="208"/>
      <c r="C53" s="209"/>
      <c r="D53" s="209"/>
      <c r="E53" s="210"/>
      <c r="F53" s="189"/>
      <c r="G53" s="189"/>
      <c r="H53" s="189"/>
      <c r="I53" s="189"/>
    </row>
    <row r="54" spans="2:9" x14ac:dyDescent="0.3">
      <c r="B54" s="196" t="s">
        <v>81</v>
      </c>
      <c r="C54" s="217">
        <f>3+(-F45/G44)</f>
        <v>3.4012345679012346</v>
      </c>
      <c r="D54" s="209"/>
      <c r="E54" s="210"/>
      <c r="F54" s="189"/>
      <c r="G54" s="189"/>
      <c r="H54" s="189"/>
      <c r="I54" s="189"/>
    </row>
    <row r="57" spans="2:9" x14ac:dyDescent="0.3">
      <c r="B57" s="191" t="str">
        <f>'[1]Programa de Invest (2)'!$A$31</f>
        <v>Projeto DANA</v>
      </c>
      <c r="C57" s="191" t="s">
        <v>13</v>
      </c>
      <c r="D57" s="191" t="s">
        <v>14</v>
      </c>
      <c r="E57" s="191" t="s">
        <v>15</v>
      </c>
      <c r="F57" s="191" t="s">
        <v>16</v>
      </c>
      <c r="G57" s="191" t="s">
        <v>17</v>
      </c>
      <c r="H57" s="191" t="s">
        <v>18</v>
      </c>
      <c r="I57" s="191" t="s">
        <v>19</v>
      </c>
    </row>
    <row r="58" spans="2:9" x14ac:dyDescent="0.3">
      <c r="B58" s="192" t="s">
        <v>8</v>
      </c>
      <c r="C58" s="193" t="s">
        <v>0</v>
      </c>
      <c r="D58" s="193" t="s">
        <v>1</v>
      </c>
      <c r="E58" s="193" t="s">
        <v>2</v>
      </c>
      <c r="F58" s="193" t="s">
        <v>3</v>
      </c>
      <c r="G58" s="193" t="s">
        <v>4</v>
      </c>
      <c r="H58" s="193" t="s">
        <v>5</v>
      </c>
      <c r="I58" s="193" t="s">
        <v>6</v>
      </c>
    </row>
    <row r="59" spans="2:9" x14ac:dyDescent="0.3">
      <c r="B59" s="196" t="s">
        <v>12</v>
      </c>
      <c r="C59" s="197">
        <f>'[1]Programa de Invest (2)'!$B$16</f>
        <v>75000</v>
      </c>
      <c r="D59" s="197"/>
      <c r="E59" s="198"/>
      <c r="F59" s="197"/>
      <c r="G59" s="197"/>
      <c r="H59" s="197"/>
      <c r="I59" s="197">
        <f t="shared" ref="I59:I62" si="8">+SUM(C59:H59)</f>
        <v>75000</v>
      </c>
    </row>
    <row r="60" spans="2:9" x14ac:dyDescent="0.3">
      <c r="B60" s="196" t="s">
        <v>11</v>
      </c>
      <c r="C60" s="198"/>
      <c r="D60" s="197"/>
      <c r="E60" s="197"/>
      <c r="F60" s="197"/>
      <c r="G60" s="197"/>
      <c r="H60" s="198"/>
      <c r="I60" s="197"/>
    </row>
    <row r="61" spans="2:9" x14ac:dyDescent="0.3">
      <c r="B61" s="196" t="s">
        <v>7</v>
      </c>
      <c r="C61" s="197">
        <f>-C59</f>
        <v>-75000</v>
      </c>
      <c r="D61" s="197">
        <f>'[1]Programa de Invest (2)'!C$31</f>
        <v>-10000</v>
      </c>
      <c r="E61" s="197">
        <f>'[1]Programa de Invest (2)'!D$31</f>
        <v>30000</v>
      </c>
      <c r="F61" s="197">
        <f>'[1]Programa de Invest (2)'!E$31</f>
        <v>32000</v>
      </c>
      <c r="G61" s="197">
        <f>'[1]Programa de Invest (2)'!F$31</f>
        <v>36000</v>
      </c>
      <c r="H61" s="197">
        <f>'[1]Programa de Invest (2)'!G$31</f>
        <v>38000</v>
      </c>
      <c r="I61" s="197">
        <f t="shared" si="8"/>
        <v>51000</v>
      </c>
    </row>
    <row r="62" spans="2:9" x14ac:dyDescent="0.3">
      <c r="B62" s="196" t="s">
        <v>77</v>
      </c>
      <c r="C62" s="197">
        <f>C61</f>
        <v>-75000</v>
      </c>
      <c r="D62" s="197">
        <f>SUM(C62,D61)</f>
        <v>-85000</v>
      </c>
      <c r="E62" s="197">
        <f>SUM(D62,E61)</f>
        <v>-55000</v>
      </c>
      <c r="F62" s="197">
        <f t="shared" ref="F62" si="9">SUM(E62,F61)</f>
        <v>-23000</v>
      </c>
      <c r="G62" s="197">
        <f t="shared" ref="G62" si="10">SUM(F62,G61)</f>
        <v>13000</v>
      </c>
      <c r="H62" s="197">
        <f t="shared" ref="H62" si="11">SUM(G62,H61)</f>
        <v>51000</v>
      </c>
      <c r="I62" s="197">
        <f t="shared" si="8"/>
        <v>-174000</v>
      </c>
    </row>
    <row r="63" spans="2:9" x14ac:dyDescent="0.3">
      <c r="B63" s="200" t="s">
        <v>10</v>
      </c>
      <c r="C63" s="201">
        <f>'[1]Programa de Invest (2)'!$B$37</f>
        <v>0.12</v>
      </c>
      <c r="D63" s="190"/>
      <c r="E63" s="190"/>
      <c r="F63" s="190"/>
      <c r="G63" s="190"/>
      <c r="H63" s="190"/>
      <c r="I63" s="198"/>
    </row>
    <row r="64" spans="2:9" x14ac:dyDescent="0.3">
      <c r="B64" s="189"/>
      <c r="C64" s="202"/>
      <c r="D64" s="198"/>
      <c r="E64" s="198"/>
      <c r="F64" s="198"/>
      <c r="G64" s="198"/>
      <c r="H64" s="198"/>
      <c r="I64" s="190"/>
    </row>
    <row r="65" spans="2:9" x14ac:dyDescent="0.3">
      <c r="B65" s="203" t="s">
        <v>78</v>
      </c>
      <c r="C65" s="204">
        <f>+NPV(C63,D61:H61)-C59</f>
        <v>7205.0841678690194</v>
      </c>
      <c r="D65" s="205"/>
      <c r="E65" s="189"/>
      <c r="F65" s="189"/>
      <c r="G65" s="189"/>
      <c r="H65" s="189"/>
      <c r="I65" s="202"/>
    </row>
    <row r="66" spans="2:9" x14ac:dyDescent="0.3">
      <c r="B66" s="190"/>
      <c r="C66" s="190"/>
      <c r="D66" s="189"/>
      <c r="E66" s="189"/>
      <c r="F66" s="189"/>
      <c r="G66" s="189"/>
      <c r="H66" s="189"/>
      <c r="I66" s="189"/>
    </row>
    <row r="67" spans="2:9" x14ac:dyDescent="0.3">
      <c r="B67" s="214" t="s">
        <v>79</v>
      </c>
      <c r="C67" s="206">
        <f>+(C65/C59)+1</f>
        <v>1.0960677889049202</v>
      </c>
      <c r="D67" s="207"/>
      <c r="E67" s="189"/>
      <c r="F67" s="194"/>
      <c r="G67" s="189"/>
      <c r="H67" s="189"/>
      <c r="I67" s="189"/>
    </row>
    <row r="68" spans="2:9" x14ac:dyDescent="0.3">
      <c r="B68" s="208"/>
      <c r="C68" s="209"/>
      <c r="D68" s="209"/>
      <c r="E68" s="210"/>
      <c r="F68" s="189"/>
      <c r="G68" s="189"/>
      <c r="H68" s="189"/>
      <c r="I68" s="189"/>
    </row>
    <row r="69" spans="2:9" x14ac:dyDescent="0.3">
      <c r="B69" s="203" t="s">
        <v>80</v>
      </c>
      <c r="C69" s="215">
        <f>IRR(C61:H61,C63)</f>
        <v>0.14795088602470852</v>
      </c>
      <c r="D69" s="194"/>
      <c r="E69" s="210"/>
      <c r="F69" s="189"/>
      <c r="G69" s="189"/>
      <c r="H69" s="189"/>
      <c r="I69" s="189"/>
    </row>
    <row r="70" spans="2:9" x14ac:dyDescent="0.3">
      <c r="B70" s="208"/>
      <c r="C70" s="209"/>
      <c r="D70" s="209"/>
      <c r="E70" s="210"/>
      <c r="F70" s="189"/>
      <c r="G70" s="189"/>
      <c r="H70" s="189"/>
      <c r="I70" s="189"/>
    </row>
    <row r="71" spans="2:9" x14ac:dyDescent="0.3">
      <c r="B71" s="196" t="s">
        <v>81</v>
      </c>
      <c r="C71" s="211">
        <f>3+(-F62/G61)</f>
        <v>3.6388888888888888</v>
      </c>
      <c r="D71" s="209"/>
      <c r="E71" s="210"/>
      <c r="F71" s="189"/>
      <c r="G71" s="189"/>
      <c r="H71" s="189"/>
      <c r="I71" s="189"/>
    </row>
    <row r="72" spans="2:9" x14ac:dyDescent="0.3">
      <c r="B72" s="189"/>
      <c r="C72" s="189"/>
      <c r="D72" s="189"/>
      <c r="E72" s="189"/>
      <c r="F72" s="189"/>
      <c r="G72" s="189"/>
      <c r="H72" s="189"/>
      <c r="I72" s="189"/>
    </row>
    <row r="73" spans="2:9" x14ac:dyDescent="0.3">
      <c r="B73" s="189"/>
      <c r="C73" s="189"/>
      <c r="D73" s="189"/>
      <c r="E73" s="189"/>
      <c r="F73" s="189"/>
      <c r="G73" s="189"/>
      <c r="H73" s="189"/>
      <c r="I73" s="189"/>
    </row>
    <row r="74" spans="2:9" x14ac:dyDescent="0.3">
      <c r="B74" s="189"/>
      <c r="C74" s="189"/>
      <c r="D74" s="189"/>
      <c r="E74" s="189"/>
      <c r="F74" s="189"/>
      <c r="G74" s="189"/>
      <c r="H74" s="189"/>
      <c r="I74" s="189"/>
    </row>
    <row r="75" spans="2:9" x14ac:dyDescent="0.3">
      <c r="B75" s="189"/>
      <c r="C75" s="189"/>
      <c r="D75" s="189"/>
      <c r="E75" s="189"/>
      <c r="F75" s="189"/>
      <c r="G75" s="189"/>
      <c r="H75" s="189"/>
      <c r="I75" s="189"/>
    </row>
    <row r="76" spans="2:9" x14ac:dyDescent="0.3">
      <c r="B76" s="189"/>
      <c r="C76" s="189"/>
      <c r="D76" s="189"/>
      <c r="E76" s="189"/>
      <c r="F76" s="189"/>
      <c r="G76" s="189"/>
      <c r="H76" s="189"/>
      <c r="I76" s="189"/>
    </row>
    <row r="77" spans="2:9" x14ac:dyDescent="0.3">
      <c r="B77" s="189"/>
      <c r="C77" s="189"/>
      <c r="D77" s="189"/>
      <c r="E77" s="189"/>
      <c r="F77" s="189"/>
      <c r="G77" s="189"/>
      <c r="H77" s="189"/>
      <c r="I77" s="189"/>
    </row>
    <row r="78" spans="2:9" x14ac:dyDescent="0.3">
      <c r="B78" s="189"/>
      <c r="C78" s="189"/>
      <c r="D78" s="189"/>
      <c r="E78" s="189"/>
      <c r="F78" s="189"/>
      <c r="G78" s="189"/>
      <c r="H78" s="189"/>
      <c r="I78" s="189"/>
    </row>
    <row r="79" spans="2:9" x14ac:dyDescent="0.3">
      <c r="B79" s="189"/>
      <c r="C79" s="189"/>
      <c r="D79" s="189"/>
      <c r="E79" s="189"/>
      <c r="F79" s="189"/>
      <c r="G79" s="189"/>
      <c r="H79" s="189"/>
      <c r="I79" s="189"/>
    </row>
    <row r="80" spans="2:9" x14ac:dyDescent="0.3">
      <c r="B80" s="189"/>
      <c r="C80" s="189"/>
      <c r="D80" s="189"/>
      <c r="E80" s="189"/>
      <c r="F80" s="189"/>
      <c r="G80" s="189"/>
      <c r="H80" s="189"/>
      <c r="I80" s="189"/>
    </row>
    <row r="81" spans="2:9" x14ac:dyDescent="0.3">
      <c r="B81" s="189"/>
      <c r="C81" s="189"/>
      <c r="D81" s="189"/>
      <c r="E81" s="189"/>
      <c r="F81" s="189"/>
      <c r="G81" s="189"/>
      <c r="H81" s="189"/>
      <c r="I81" s="189"/>
    </row>
    <row r="82" spans="2:9" x14ac:dyDescent="0.3">
      <c r="B82" s="189"/>
      <c r="C82" s="189"/>
      <c r="D82" s="189"/>
      <c r="E82" s="189"/>
      <c r="F82" s="189"/>
      <c r="G82" s="189"/>
      <c r="H82" s="189"/>
      <c r="I82" s="189"/>
    </row>
    <row r="83" spans="2:9" x14ac:dyDescent="0.3">
      <c r="B83" s="189"/>
      <c r="C83" s="189"/>
      <c r="D83" s="189"/>
      <c r="E83" s="189"/>
      <c r="F83" s="189"/>
      <c r="G83" s="189"/>
      <c r="H83" s="189"/>
      <c r="I83" s="189"/>
    </row>
    <row r="84" spans="2:9" x14ac:dyDescent="0.3">
      <c r="B84" s="189"/>
      <c r="C84" s="189"/>
      <c r="D84" s="189"/>
      <c r="E84" s="189"/>
      <c r="F84" s="189"/>
      <c r="G84" s="189"/>
      <c r="H84" s="189"/>
      <c r="I84" s="189"/>
    </row>
    <row r="85" spans="2:9" x14ac:dyDescent="0.3">
      <c r="B85" s="189"/>
      <c r="C85" s="189"/>
      <c r="D85" s="189"/>
      <c r="E85" s="189"/>
      <c r="F85" s="189"/>
      <c r="G85" s="189"/>
      <c r="H85" s="189"/>
      <c r="I85" s="189"/>
    </row>
    <row r="86" spans="2:9" x14ac:dyDescent="0.3">
      <c r="B86" s="189"/>
      <c r="C86" s="189"/>
      <c r="D86" s="189"/>
      <c r="E86" s="189"/>
      <c r="F86" s="189"/>
      <c r="G86" s="189"/>
      <c r="H86" s="189"/>
      <c r="I86" s="189"/>
    </row>
    <row r="87" spans="2:9" x14ac:dyDescent="0.3">
      <c r="B87" s="189"/>
      <c r="C87" s="189"/>
      <c r="D87" s="189"/>
      <c r="E87" s="189"/>
      <c r="F87" s="189"/>
      <c r="G87" s="189"/>
      <c r="H87" s="189"/>
      <c r="I87" s="189"/>
    </row>
    <row r="88" spans="2:9" x14ac:dyDescent="0.3">
      <c r="B88" s="189"/>
      <c r="C88" s="189"/>
      <c r="D88" s="189"/>
      <c r="E88" s="189"/>
      <c r="F88" s="189"/>
      <c r="G88" s="189"/>
      <c r="H88" s="189"/>
      <c r="I88" s="189"/>
    </row>
    <row r="89" spans="2:9" x14ac:dyDescent="0.3">
      <c r="B89" s="189"/>
      <c r="C89" s="189"/>
      <c r="D89" s="189"/>
      <c r="E89" s="189"/>
      <c r="F89" s="189"/>
      <c r="G89" s="189"/>
      <c r="H89" s="189"/>
      <c r="I89" s="189"/>
    </row>
    <row r="90" spans="2:9" x14ac:dyDescent="0.3">
      <c r="B90" s="189"/>
      <c r="C90" s="189"/>
      <c r="D90" s="189"/>
      <c r="E90" s="189"/>
      <c r="F90" s="189"/>
      <c r="G90" s="189"/>
      <c r="H90" s="189"/>
      <c r="I90" s="189"/>
    </row>
    <row r="91" spans="2:9" x14ac:dyDescent="0.3">
      <c r="B91" s="189"/>
      <c r="C91" s="189"/>
      <c r="D91" s="189"/>
      <c r="E91" s="189"/>
      <c r="F91" s="189"/>
      <c r="G91" s="189"/>
      <c r="H91" s="189"/>
      <c r="I91" s="189"/>
    </row>
    <row r="92" spans="2:9" x14ac:dyDescent="0.3">
      <c r="B92" s="189"/>
      <c r="C92" s="189"/>
      <c r="D92" s="189"/>
      <c r="E92" s="189"/>
      <c r="F92" s="189"/>
      <c r="G92" s="189"/>
      <c r="H92" s="189"/>
      <c r="I92" s="189"/>
    </row>
    <row r="93" spans="2:9" x14ac:dyDescent="0.3">
      <c r="B93" s="189"/>
      <c r="C93" s="189"/>
      <c r="D93" s="189"/>
      <c r="E93" s="189"/>
      <c r="F93" s="189"/>
      <c r="G93" s="189"/>
      <c r="H93" s="189"/>
      <c r="I93" s="189"/>
    </row>
    <row r="94" spans="2:9" x14ac:dyDescent="0.3">
      <c r="B94" s="189"/>
      <c r="C94" s="189"/>
      <c r="D94" s="189"/>
      <c r="E94" s="189"/>
      <c r="F94" s="189"/>
      <c r="G94" s="189"/>
      <c r="H94" s="189"/>
      <c r="I94" s="189"/>
    </row>
  </sheetData>
  <mergeCells count="1">
    <mergeCell ref="B2:H3"/>
  </mergeCells>
  <pageMargins left="0.511811024" right="0.511811024" top="0.78740157499999996" bottom="0.78740157499999996" header="0.31496062000000002" footer="0.31496062000000002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225"/>
  <sheetViews>
    <sheetView view="pageBreakPreview" topLeftCell="A217" zoomScale="60" zoomScaleNormal="100" workbookViewId="0">
      <selection activeCell="J222" sqref="J222"/>
    </sheetView>
  </sheetViews>
  <sheetFormatPr defaultRowHeight="20.25" x14ac:dyDescent="0.3"/>
  <cols>
    <col min="1" max="1" width="41.140625" style="199" bestFit="1" customWidth="1"/>
    <col min="2" max="2" width="20.5703125" style="199" customWidth="1"/>
    <col min="3" max="3" width="14.85546875" style="199" customWidth="1"/>
    <col min="4" max="4" width="15.85546875" style="199" customWidth="1"/>
    <col min="5" max="5" width="18.28515625" style="199" customWidth="1"/>
    <col min="6" max="6" width="10.85546875" style="199" bestFit="1" customWidth="1"/>
    <col min="7" max="7" width="14.42578125" style="199" customWidth="1"/>
    <col min="8" max="8" width="20.7109375" style="199" customWidth="1"/>
    <col min="9" max="17" width="9.140625" style="189"/>
    <col min="18" max="16384" width="9.140625" style="199"/>
  </cols>
  <sheetData>
    <row r="1" spans="1:17" s="189" customFormat="1" ht="23.25" x14ac:dyDescent="0.35">
      <c r="A1" s="267"/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</row>
    <row r="2" spans="1:17" s="189" customFormat="1" ht="23.25" x14ac:dyDescent="0.35">
      <c r="A2" s="268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</row>
    <row r="3" spans="1:17" s="189" customFormat="1" ht="23.25" x14ac:dyDescent="0.35">
      <c r="A3" s="267"/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</row>
    <row r="4" spans="1:17" s="189" customFormat="1" ht="23.25" x14ac:dyDescent="0.35">
      <c r="A4" s="271" t="str">
        <f>'[2]Programa de Invest'!$A$8</f>
        <v>Projeto MIM</v>
      </c>
      <c r="B4" s="271" t="s">
        <v>13</v>
      </c>
      <c r="C4" s="271" t="s">
        <v>14</v>
      </c>
      <c r="D4" s="271" t="s">
        <v>15</v>
      </c>
      <c r="E4" s="271" t="s">
        <v>16</v>
      </c>
      <c r="F4" s="271" t="s">
        <v>17</v>
      </c>
      <c r="G4" s="271" t="s">
        <v>18</v>
      </c>
      <c r="H4" s="271" t="s">
        <v>19</v>
      </c>
      <c r="I4" s="267"/>
      <c r="J4" s="267"/>
      <c r="K4" s="267"/>
      <c r="L4" s="267"/>
      <c r="M4" s="267"/>
      <c r="N4" s="267"/>
      <c r="O4" s="267"/>
      <c r="P4" s="267"/>
      <c r="Q4" s="267"/>
    </row>
    <row r="5" spans="1:17" s="195" customFormat="1" ht="23.25" x14ac:dyDescent="0.35">
      <c r="A5" s="273" t="s">
        <v>8</v>
      </c>
      <c r="B5" s="274" t="s">
        <v>0</v>
      </c>
      <c r="C5" s="274" t="s">
        <v>1</v>
      </c>
      <c r="D5" s="274" t="s">
        <v>2</v>
      </c>
      <c r="E5" s="274" t="s">
        <v>3</v>
      </c>
      <c r="F5" s="274" t="s">
        <v>4</v>
      </c>
      <c r="G5" s="274" t="s">
        <v>5</v>
      </c>
      <c r="H5" s="274" t="s">
        <v>6</v>
      </c>
      <c r="I5" s="270"/>
      <c r="J5" s="270"/>
      <c r="K5" s="270"/>
      <c r="L5" s="270"/>
      <c r="M5" s="270"/>
      <c r="N5" s="270"/>
      <c r="O5" s="270"/>
      <c r="P5" s="270"/>
      <c r="Q5" s="270"/>
    </row>
    <row r="6" spans="1:17" ht="23.25" x14ac:dyDescent="0.35">
      <c r="A6" s="275" t="s">
        <v>12</v>
      </c>
      <c r="B6" s="272">
        <f>'[2]Programa de Invest'!$B$8</f>
        <v>25000</v>
      </c>
      <c r="C6" s="272"/>
      <c r="D6" s="269"/>
      <c r="E6" s="272"/>
      <c r="F6" s="272"/>
      <c r="G6" s="272"/>
      <c r="H6" s="272">
        <f t="shared" ref="H6:H7" si="0">+SUM(B6:G6)</f>
        <v>25000</v>
      </c>
      <c r="I6" s="267"/>
      <c r="J6" s="267"/>
      <c r="K6" s="267"/>
      <c r="L6" s="267"/>
      <c r="M6" s="267"/>
      <c r="N6" s="267"/>
      <c r="O6" s="267"/>
      <c r="P6" s="267"/>
      <c r="Q6" s="267"/>
    </row>
    <row r="7" spans="1:17" ht="23.25" x14ac:dyDescent="0.35">
      <c r="A7" s="275" t="s">
        <v>11</v>
      </c>
      <c r="B7" s="269">
        <f>+NPV(B9,C7:E7)</f>
        <v>24380.466472303204</v>
      </c>
      <c r="C7" s="272">
        <f>'[2]Programa de Invest'!C8</f>
        <v>12000</v>
      </c>
      <c r="D7" s="272">
        <f>'[2]Programa de Invest'!D8</f>
        <v>10000</v>
      </c>
      <c r="E7" s="272">
        <f>'[2]Programa de Invest'!E8</f>
        <v>8000</v>
      </c>
      <c r="F7" s="272"/>
      <c r="G7" s="272"/>
      <c r="H7" s="272">
        <f t="shared" si="0"/>
        <v>54380.466472303204</v>
      </c>
      <c r="I7" s="267"/>
      <c r="J7" s="267"/>
      <c r="K7" s="267"/>
      <c r="L7" s="267"/>
      <c r="M7" s="267"/>
      <c r="N7" s="267"/>
      <c r="O7" s="267"/>
      <c r="P7" s="267"/>
      <c r="Q7" s="267"/>
    </row>
    <row r="8" spans="1:17" ht="23.25" x14ac:dyDescent="0.35">
      <c r="A8" s="275" t="s">
        <v>7</v>
      </c>
      <c r="B8" s="272">
        <f>-B6</f>
        <v>-25000</v>
      </c>
      <c r="C8" s="272">
        <f>'[2]Programa de Invest'!C23</f>
        <v>15000</v>
      </c>
      <c r="D8" s="272">
        <f>'[2]Programa de Invest'!D23</f>
        <v>15000</v>
      </c>
      <c r="E8" s="272">
        <f>'[2]Programa de Invest'!E23</f>
        <v>15000</v>
      </c>
      <c r="F8" s="272">
        <f>'[2]Programa de Invest'!F23</f>
        <v>15000</v>
      </c>
      <c r="G8" s="272">
        <f>'[2]Programa de Invest'!G23</f>
        <v>15000</v>
      </c>
      <c r="H8" s="272">
        <f>+SUM(B8:G8)</f>
        <v>50000</v>
      </c>
      <c r="I8" s="267"/>
      <c r="J8" s="267"/>
      <c r="K8" s="267"/>
      <c r="L8" s="267"/>
      <c r="M8" s="267"/>
      <c r="N8" s="267"/>
      <c r="O8" s="267"/>
      <c r="P8" s="267"/>
      <c r="Q8" s="267"/>
    </row>
    <row r="9" spans="1:17" s="189" customFormat="1" ht="23.25" x14ac:dyDescent="0.35">
      <c r="A9" s="276" t="s">
        <v>10</v>
      </c>
      <c r="B9" s="277">
        <f>'[2]Programa de Invest'!$B$37</f>
        <v>0.12</v>
      </c>
      <c r="C9" s="268"/>
      <c r="D9" s="268"/>
      <c r="E9" s="268"/>
      <c r="F9" s="268"/>
      <c r="G9" s="268"/>
      <c r="H9" s="269"/>
      <c r="I9" s="267"/>
      <c r="J9" s="267"/>
      <c r="K9" s="267"/>
      <c r="L9" s="267"/>
      <c r="M9" s="267"/>
      <c r="N9" s="267"/>
      <c r="O9" s="267"/>
      <c r="P9" s="267"/>
      <c r="Q9" s="267"/>
    </row>
    <row r="10" spans="1:17" s="189" customFormat="1" ht="23.25" x14ac:dyDescent="0.35">
      <c r="A10" s="267"/>
      <c r="B10" s="278"/>
      <c r="C10" s="269"/>
      <c r="D10" s="269"/>
      <c r="E10" s="269"/>
      <c r="F10" s="269"/>
      <c r="G10" s="269"/>
      <c r="H10" s="268"/>
      <c r="I10" s="267"/>
      <c r="J10" s="267"/>
      <c r="K10" s="267"/>
      <c r="L10" s="267"/>
      <c r="M10" s="267"/>
      <c r="N10" s="267"/>
      <c r="O10" s="267"/>
      <c r="P10" s="267"/>
      <c r="Q10" s="267"/>
    </row>
    <row r="11" spans="1:17" s="189" customFormat="1" ht="23.25" x14ac:dyDescent="0.35">
      <c r="A11" s="279" t="s">
        <v>138</v>
      </c>
      <c r="B11" s="280">
        <f>+NPV(B9,C8:G8)-(B6+NPV(B9,C7:G7))</f>
        <v>4691.176562871864</v>
      </c>
      <c r="C11" s="281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7"/>
      <c r="P11" s="267"/>
      <c r="Q11" s="267"/>
    </row>
    <row r="12" spans="1:17" s="189" customFormat="1" ht="23.25" x14ac:dyDescent="0.35">
      <c r="A12" s="268"/>
      <c r="B12" s="268"/>
      <c r="C12" s="267"/>
      <c r="D12" s="267"/>
      <c r="E12" s="267"/>
      <c r="F12" s="267"/>
      <c r="G12" s="267"/>
      <c r="H12" s="267"/>
      <c r="I12" s="267"/>
      <c r="J12" s="267"/>
      <c r="K12" s="267"/>
      <c r="L12" s="267"/>
      <c r="M12" s="267"/>
      <c r="N12" s="267"/>
      <c r="O12" s="267"/>
      <c r="P12" s="267"/>
      <c r="Q12" s="267"/>
    </row>
    <row r="13" spans="1:17" s="189" customFormat="1" ht="23.25" x14ac:dyDescent="0.35">
      <c r="A13" s="282" t="s">
        <v>24</v>
      </c>
      <c r="B13" s="283">
        <f>+(B11/(B6+B7))+1</f>
        <v>1.095000653051811</v>
      </c>
      <c r="C13" s="284"/>
      <c r="D13" s="267"/>
      <c r="E13" s="270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  <c r="Q13" s="267"/>
    </row>
    <row r="14" spans="1:17" s="189" customFormat="1" ht="23.25" x14ac:dyDescent="0.35">
      <c r="A14" s="285"/>
      <c r="B14" s="286"/>
      <c r="C14" s="286"/>
      <c r="D14" s="28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</row>
    <row r="15" spans="1:17" s="189" customFormat="1" ht="23.25" x14ac:dyDescent="0.35">
      <c r="A15" s="285"/>
      <c r="B15" s="286"/>
      <c r="C15" s="286"/>
      <c r="D15" s="28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</row>
    <row r="16" spans="1:17" s="189" customFormat="1" ht="23.25" x14ac:dyDescent="0.35">
      <c r="A16" s="271" t="str">
        <f>A4</f>
        <v>Projeto MIM</v>
      </c>
      <c r="B16" s="271" t="s">
        <v>13</v>
      </c>
      <c r="C16" s="271" t="s">
        <v>14</v>
      </c>
      <c r="D16" s="271" t="s">
        <v>15</v>
      </c>
      <c r="E16" s="271" t="s">
        <v>16</v>
      </c>
      <c r="F16" s="271" t="s">
        <v>17</v>
      </c>
      <c r="G16" s="271" t="s">
        <v>18</v>
      </c>
      <c r="H16" s="271" t="s">
        <v>19</v>
      </c>
      <c r="I16" s="267"/>
      <c r="J16" s="267"/>
      <c r="K16" s="267"/>
      <c r="L16" s="267"/>
      <c r="M16" s="267"/>
      <c r="N16" s="267"/>
      <c r="O16" s="267"/>
      <c r="P16" s="267"/>
      <c r="Q16" s="267"/>
    </row>
    <row r="17" spans="1:17" s="195" customFormat="1" ht="23.25" x14ac:dyDescent="0.35">
      <c r="A17" s="273" t="s">
        <v>8</v>
      </c>
      <c r="B17" s="274" t="s">
        <v>0</v>
      </c>
      <c r="C17" s="274" t="s">
        <v>1</v>
      </c>
      <c r="D17" s="274" t="s">
        <v>2</v>
      </c>
      <c r="E17" s="274" t="s">
        <v>3</v>
      </c>
      <c r="F17" s="274" t="s">
        <v>4</v>
      </c>
      <c r="G17" s="274" t="s">
        <v>5</v>
      </c>
      <c r="H17" s="274" t="s">
        <v>6</v>
      </c>
      <c r="I17" s="270"/>
      <c r="J17" s="270"/>
      <c r="K17" s="270"/>
      <c r="L17" s="270"/>
      <c r="M17" s="270"/>
      <c r="N17" s="270"/>
      <c r="O17" s="270"/>
      <c r="P17" s="270"/>
      <c r="Q17" s="270"/>
    </row>
    <row r="18" spans="1:17" ht="23.25" x14ac:dyDescent="0.35">
      <c r="A18" s="275" t="s">
        <v>12</v>
      </c>
      <c r="B18" s="272">
        <f>-B6</f>
        <v>-25000</v>
      </c>
      <c r="C18" s="272"/>
      <c r="D18" s="269"/>
      <c r="E18" s="272"/>
      <c r="F18" s="272"/>
      <c r="G18" s="272"/>
      <c r="H18" s="272">
        <f t="shared" ref="H18:H19" si="1">+SUM(B18:G18)</f>
        <v>-25000</v>
      </c>
      <c r="I18" s="267"/>
      <c r="J18" s="267"/>
      <c r="K18" s="267"/>
      <c r="L18" s="267"/>
      <c r="M18" s="267"/>
      <c r="N18" s="267"/>
      <c r="O18" s="267"/>
      <c r="P18" s="267"/>
      <c r="Q18" s="267"/>
    </row>
    <row r="19" spans="1:17" ht="23.25" x14ac:dyDescent="0.35">
      <c r="A19" s="275" t="s">
        <v>11</v>
      </c>
      <c r="B19" s="272"/>
      <c r="C19" s="272">
        <f>-C7</f>
        <v>-12000</v>
      </c>
      <c r="D19" s="272">
        <f t="shared" ref="D19:E19" si="2">-D7</f>
        <v>-10000</v>
      </c>
      <c r="E19" s="272">
        <f t="shared" si="2"/>
        <v>-8000</v>
      </c>
      <c r="F19" s="272"/>
      <c r="G19" s="272"/>
      <c r="H19" s="272">
        <f t="shared" si="1"/>
        <v>-30000</v>
      </c>
      <c r="I19" s="267"/>
      <c r="J19" s="267"/>
      <c r="K19" s="267"/>
      <c r="L19" s="267"/>
      <c r="M19" s="267"/>
      <c r="N19" s="267"/>
      <c r="O19" s="267"/>
      <c r="P19" s="267"/>
      <c r="Q19" s="267"/>
    </row>
    <row r="20" spans="1:17" ht="23.25" x14ac:dyDescent="0.35">
      <c r="A20" s="275" t="s">
        <v>7</v>
      </c>
      <c r="B20" s="272">
        <f>+B18</f>
        <v>-25000</v>
      </c>
      <c r="C20" s="272">
        <f>C8</f>
        <v>15000</v>
      </c>
      <c r="D20" s="272">
        <f t="shared" ref="D20:G20" si="3">D8</f>
        <v>15000</v>
      </c>
      <c r="E20" s="272">
        <f t="shared" si="3"/>
        <v>15000</v>
      </c>
      <c r="F20" s="272">
        <f t="shared" si="3"/>
        <v>15000</v>
      </c>
      <c r="G20" s="272">
        <f t="shared" si="3"/>
        <v>15000</v>
      </c>
      <c r="H20" s="272">
        <f>+SUM(B20:G20)</f>
        <v>50000</v>
      </c>
      <c r="I20" s="267"/>
      <c r="J20" s="267"/>
      <c r="K20" s="267"/>
      <c r="L20" s="267"/>
      <c r="M20" s="267"/>
      <c r="N20" s="267"/>
      <c r="O20" s="267"/>
      <c r="P20" s="267"/>
      <c r="Q20" s="267"/>
    </row>
    <row r="21" spans="1:17" s="189" customFormat="1" ht="23.25" x14ac:dyDescent="0.35">
      <c r="A21" s="276" t="s">
        <v>10</v>
      </c>
      <c r="B21" s="277">
        <f>B9</f>
        <v>0.12</v>
      </c>
      <c r="C21" s="268"/>
      <c r="D21" s="268"/>
      <c r="E21" s="268"/>
      <c r="F21" s="268"/>
      <c r="G21" s="268"/>
      <c r="H21" s="269"/>
      <c r="I21" s="267"/>
      <c r="J21" s="267"/>
      <c r="K21" s="267"/>
      <c r="L21" s="267"/>
      <c r="M21" s="267"/>
      <c r="N21" s="267"/>
      <c r="O21" s="267"/>
      <c r="P21" s="267"/>
      <c r="Q21" s="267"/>
    </row>
    <row r="22" spans="1:17" s="189" customFormat="1" ht="23.25" x14ac:dyDescent="0.35">
      <c r="A22" s="288"/>
      <c r="B22" s="289"/>
      <c r="C22" s="268"/>
      <c r="D22" s="268"/>
      <c r="E22" s="268"/>
      <c r="F22" s="268"/>
      <c r="G22" s="268"/>
      <c r="H22" s="269"/>
      <c r="I22" s="267"/>
      <c r="J22" s="267"/>
      <c r="K22" s="267"/>
      <c r="L22" s="267"/>
      <c r="M22" s="267"/>
      <c r="N22" s="267"/>
      <c r="O22" s="267"/>
      <c r="P22" s="267"/>
      <c r="Q22" s="267"/>
    </row>
    <row r="23" spans="1:17" s="189" customFormat="1" ht="23.25" x14ac:dyDescent="0.35">
      <c r="A23" s="279" t="s">
        <v>139</v>
      </c>
      <c r="B23" s="290">
        <f>+IRR(B19:G20,B21)</f>
        <v>7.7697065740846449E-2</v>
      </c>
      <c r="C23" s="270"/>
      <c r="D23" s="267"/>
      <c r="E23" s="267"/>
      <c r="F23" s="267"/>
      <c r="G23" s="267"/>
      <c r="H23" s="267"/>
      <c r="I23" s="267"/>
      <c r="J23" s="267"/>
      <c r="K23" s="267"/>
      <c r="L23" s="267"/>
      <c r="M23" s="267"/>
      <c r="N23" s="267"/>
      <c r="O23" s="267"/>
      <c r="P23" s="267"/>
      <c r="Q23" s="267"/>
    </row>
    <row r="24" spans="1:17" s="189" customFormat="1" ht="23.25" x14ac:dyDescent="0.35">
      <c r="A24" s="267"/>
      <c r="B24" s="267"/>
      <c r="C24" s="267"/>
      <c r="D24" s="267"/>
      <c r="E24" s="267"/>
      <c r="F24" s="267"/>
      <c r="G24" s="267"/>
      <c r="H24" s="267"/>
      <c r="I24" s="267"/>
      <c r="J24" s="267"/>
      <c r="K24" s="267"/>
      <c r="L24" s="267"/>
      <c r="M24" s="267"/>
      <c r="N24" s="267"/>
      <c r="O24" s="267"/>
      <c r="P24" s="267"/>
      <c r="Q24" s="267"/>
    </row>
    <row r="25" spans="1:17" s="189" customFormat="1" ht="23.25" x14ac:dyDescent="0.35">
      <c r="A25" s="267"/>
      <c r="B25" s="267"/>
      <c r="C25" s="267"/>
      <c r="D25" s="267"/>
      <c r="E25" s="267"/>
      <c r="F25" s="267"/>
      <c r="G25" s="267"/>
      <c r="H25" s="267"/>
      <c r="I25" s="267"/>
      <c r="J25" s="267"/>
      <c r="K25" s="267"/>
      <c r="L25" s="267"/>
      <c r="M25" s="267"/>
      <c r="N25" s="267"/>
      <c r="O25" s="267"/>
      <c r="P25" s="267"/>
      <c r="Q25" s="267"/>
    </row>
    <row r="26" spans="1:17" s="189" customFormat="1" ht="23.25" x14ac:dyDescent="0.35">
      <c r="A26" s="267"/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</row>
    <row r="27" spans="1:17" s="189" customFormat="1" ht="23.25" x14ac:dyDescent="0.35">
      <c r="A27" s="271" t="str">
        <f>A16</f>
        <v>Projeto MIM</v>
      </c>
      <c r="B27" s="271" t="s">
        <v>13</v>
      </c>
      <c r="C27" s="271" t="s">
        <v>14</v>
      </c>
      <c r="D27" s="271" t="s">
        <v>15</v>
      </c>
      <c r="E27" s="271" t="s">
        <v>16</v>
      </c>
      <c r="F27" s="271" t="s">
        <v>17</v>
      </c>
      <c r="G27" s="271" t="s">
        <v>18</v>
      </c>
      <c r="H27" s="271" t="s">
        <v>19</v>
      </c>
      <c r="I27" s="267"/>
      <c r="J27" s="267"/>
      <c r="K27" s="267"/>
      <c r="L27" s="267"/>
      <c r="M27" s="267"/>
      <c r="N27" s="267"/>
      <c r="O27" s="267"/>
      <c r="P27" s="267"/>
      <c r="Q27" s="267"/>
    </row>
    <row r="28" spans="1:17" s="195" customFormat="1" ht="23.25" x14ac:dyDescent="0.35">
      <c r="A28" s="291" t="s">
        <v>8</v>
      </c>
      <c r="B28" s="274" t="s">
        <v>0</v>
      </c>
      <c r="C28" s="274" t="s">
        <v>1</v>
      </c>
      <c r="D28" s="274" t="s">
        <v>2</v>
      </c>
      <c r="E28" s="274" t="s">
        <v>3</v>
      </c>
      <c r="F28" s="274" t="s">
        <v>4</v>
      </c>
      <c r="G28" s="274" t="s">
        <v>5</v>
      </c>
      <c r="H28" s="274" t="s">
        <v>6</v>
      </c>
      <c r="I28" s="270"/>
      <c r="J28" s="270"/>
      <c r="K28" s="270"/>
      <c r="L28" s="270"/>
      <c r="M28" s="270"/>
      <c r="N28" s="270"/>
      <c r="O28" s="270"/>
      <c r="P28" s="270"/>
      <c r="Q28" s="270"/>
    </row>
    <row r="29" spans="1:17" ht="23.25" x14ac:dyDescent="0.35">
      <c r="A29" s="275" t="s">
        <v>12</v>
      </c>
      <c r="B29" s="272">
        <f>B18</f>
        <v>-25000</v>
      </c>
      <c r="C29" s="272"/>
      <c r="D29" s="272"/>
      <c r="E29" s="272"/>
      <c r="F29" s="272"/>
      <c r="G29" s="272"/>
      <c r="H29" s="272">
        <f t="shared" ref="H29:H30" si="4">+SUM(B29:G29)</f>
        <v>-25000</v>
      </c>
      <c r="I29" s="267"/>
      <c r="J29" s="267"/>
      <c r="K29" s="267"/>
      <c r="L29" s="267"/>
      <c r="M29" s="267"/>
      <c r="N29" s="267"/>
      <c r="O29" s="267"/>
      <c r="P29" s="267"/>
      <c r="Q29" s="267"/>
    </row>
    <row r="30" spans="1:17" ht="23.25" x14ac:dyDescent="0.35">
      <c r="A30" s="275" t="s">
        <v>11</v>
      </c>
      <c r="B30" s="272"/>
      <c r="C30" s="272">
        <f>C19</f>
        <v>-12000</v>
      </c>
      <c r="D30" s="272">
        <f t="shared" ref="D30:E30" si="5">D19</f>
        <v>-10000</v>
      </c>
      <c r="E30" s="272">
        <f t="shared" si="5"/>
        <v>-8000</v>
      </c>
      <c r="F30" s="272"/>
      <c r="G30" s="272"/>
      <c r="H30" s="272">
        <f t="shared" si="4"/>
        <v>-30000</v>
      </c>
      <c r="I30" s="267"/>
      <c r="J30" s="267"/>
      <c r="K30" s="267"/>
      <c r="L30" s="267"/>
      <c r="M30" s="267"/>
      <c r="N30" s="267"/>
      <c r="O30" s="267"/>
      <c r="P30" s="267"/>
      <c r="Q30" s="267"/>
    </row>
    <row r="31" spans="1:17" ht="23.25" x14ac:dyDescent="0.35">
      <c r="A31" s="275" t="s">
        <v>7</v>
      </c>
      <c r="B31" s="272">
        <f>+B29</f>
        <v>-25000</v>
      </c>
      <c r="C31" s="272">
        <f>C20</f>
        <v>15000</v>
      </c>
      <c r="D31" s="272">
        <f t="shared" ref="D31:G31" si="6">D20</f>
        <v>15000</v>
      </c>
      <c r="E31" s="272">
        <f t="shared" si="6"/>
        <v>15000</v>
      </c>
      <c r="F31" s="272">
        <f t="shared" si="6"/>
        <v>15000</v>
      </c>
      <c r="G31" s="272">
        <f t="shared" si="6"/>
        <v>15000</v>
      </c>
      <c r="H31" s="272">
        <f>+SUM(B31:G31)</f>
        <v>50000</v>
      </c>
      <c r="I31" s="267"/>
      <c r="J31" s="267"/>
      <c r="K31" s="267"/>
      <c r="L31" s="267"/>
      <c r="M31" s="267"/>
      <c r="N31" s="267"/>
      <c r="O31" s="267"/>
      <c r="P31" s="267"/>
      <c r="Q31" s="267"/>
    </row>
    <row r="32" spans="1:17" s="189" customFormat="1" ht="23.25" x14ac:dyDescent="0.35">
      <c r="A32" s="276" t="s">
        <v>10</v>
      </c>
      <c r="B32" s="277">
        <f>B21</f>
        <v>0.12</v>
      </c>
      <c r="C32" s="268"/>
      <c r="D32" s="268"/>
      <c r="E32" s="268"/>
      <c r="F32" s="268"/>
      <c r="G32" s="268"/>
      <c r="H32" s="269"/>
      <c r="I32" s="267"/>
      <c r="J32" s="267"/>
      <c r="K32" s="267"/>
      <c r="L32" s="267"/>
      <c r="M32" s="267"/>
      <c r="N32" s="267"/>
      <c r="O32" s="267"/>
      <c r="P32" s="267"/>
      <c r="Q32" s="267"/>
    </row>
    <row r="33" spans="1:17" s="189" customFormat="1" ht="23.25" x14ac:dyDescent="0.35">
      <c r="A33" s="288"/>
      <c r="B33" s="289"/>
      <c r="C33" s="268"/>
      <c r="D33" s="268"/>
      <c r="E33" s="268"/>
      <c r="F33" s="268"/>
      <c r="G33" s="268"/>
      <c r="H33" s="269"/>
      <c r="I33" s="267"/>
      <c r="J33" s="267"/>
      <c r="K33" s="267"/>
      <c r="L33" s="267"/>
      <c r="M33" s="267"/>
      <c r="N33" s="267"/>
      <c r="O33" s="267"/>
      <c r="P33" s="267"/>
      <c r="Q33" s="267"/>
    </row>
    <row r="34" spans="1:17" s="189" customFormat="1" ht="23.25" x14ac:dyDescent="0.35">
      <c r="A34" s="276" t="s">
        <v>21</v>
      </c>
      <c r="B34" s="272">
        <f>B20</f>
        <v>-25000</v>
      </c>
      <c r="C34" s="272">
        <f t="shared" ref="C34:H34" si="7">+B34+C31+C30</f>
        <v>-22000</v>
      </c>
      <c r="D34" s="280">
        <f t="shared" si="7"/>
        <v>-17000</v>
      </c>
      <c r="E34" s="272">
        <f t="shared" si="7"/>
        <v>-10000</v>
      </c>
      <c r="F34" s="272">
        <f t="shared" si="7"/>
        <v>5000</v>
      </c>
      <c r="G34" s="272">
        <f t="shared" si="7"/>
        <v>20000</v>
      </c>
      <c r="H34" s="272">
        <f t="shared" si="7"/>
        <v>40000</v>
      </c>
      <c r="I34" s="267"/>
      <c r="J34" s="267"/>
      <c r="K34" s="267"/>
      <c r="L34" s="267"/>
      <c r="M34" s="267"/>
      <c r="N34" s="267"/>
      <c r="O34" s="267"/>
      <c r="P34" s="267"/>
      <c r="Q34" s="267"/>
    </row>
    <row r="35" spans="1:17" s="189" customFormat="1" ht="23.25" x14ac:dyDescent="0.35">
      <c r="A35" s="267"/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</row>
    <row r="36" spans="1:17" s="189" customFormat="1" ht="23.25" x14ac:dyDescent="0.35">
      <c r="A36" s="275" t="s">
        <v>20</v>
      </c>
      <c r="B36" s="292">
        <f>3+(-E34/(F31+F30))</f>
        <v>3.6666666666666665</v>
      </c>
      <c r="C36" s="293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</row>
    <row r="37" spans="1:17" s="189" customFormat="1" ht="23.25" x14ac:dyDescent="0.35">
      <c r="A37" s="267"/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</row>
    <row r="38" spans="1:17" s="189" customFormat="1" ht="23.25" x14ac:dyDescent="0.35">
      <c r="A38" s="267"/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</row>
    <row r="39" spans="1:17" s="212" customFormat="1" ht="23.25" x14ac:dyDescent="0.35">
      <c r="A39" s="294"/>
      <c r="B39" s="294"/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</row>
    <row r="40" spans="1:17" s="189" customFormat="1" ht="23.25" x14ac:dyDescent="0.35">
      <c r="A40" s="267"/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</row>
    <row r="41" spans="1:17" s="189" customFormat="1" ht="23.25" x14ac:dyDescent="0.35">
      <c r="A41" s="267"/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</row>
    <row r="42" spans="1:17" s="189" customFormat="1" ht="23.25" x14ac:dyDescent="0.35">
      <c r="A42" s="271" t="str">
        <f>'[2]Programa de Invest'!$A$10</f>
        <v>Projeto ZAPY's</v>
      </c>
      <c r="B42" s="271" t="s">
        <v>13</v>
      </c>
      <c r="C42" s="271" t="s">
        <v>14</v>
      </c>
      <c r="D42" s="271" t="s">
        <v>15</v>
      </c>
      <c r="E42" s="271" t="s">
        <v>16</v>
      </c>
      <c r="F42" s="271" t="s">
        <v>17</v>
      </c>
      <c r="G42" s="271" t="s">
        <v>18</v>
      </c>
      <c r="H42" s="271" t="s">
        <v>19</v>
      </c>
      <c r="I42" s="267"/>
      <c r="J42" s="267"/>
      <c r="K42" s="267"/>
      <c r="L42" s="267"/>
      <c r="M42" s="267"/>
      <c r="N42" s="267"/>
      <c r="O42" s="267"/>
      <c r="P42" s="267"/>
      <c r="Q42" s="267"/>
    </row>
    <row r="43" spans="1:17" s="189" customFormat="1" ht="23.25" x14ac:dyDescent="0.35">
      <c r="A43" s="273" t="s">
        <v>8</v>
      </c>
      <c r="B43" s="274" t="s">
        <v>0</v>
      </c>
      <c r="C43" s="274" t="s">
        <v>1</v>
      </c>
      <c r="D43" s="274" t="s">
        <v>2</v>
      </c>
      <c r="E43" s="274" t="s">
        <v>3</v>
      </c>
      <c r="F43" s="274" t="s">
        <v>4</v>
      </c>
      <c r="G43" s="274" t="s">
        <v>5</v>
      </c>
      <c r="H43" s="274" t="s">
        <v>6</v>
      </c>
      <c r="I43" s="270"/>
      <c r="J43" s="267"/>
      <c r="K43" s="267"/>
      <c r="L43" s="267"/>
      <c r="M43" s="267"/>
      <c r="N43" s="267"/>
      <c r="O43" s="267"/>
      <c r="P43" s="267"/>
      <c r="Q43" s="267"/>
    </row>
    <row r="44" spans="1:17" s="189" customFormat="1" ht="23.25" x14ac:dyDescent="0.35">
      <c r="A44" s="275" t="s">
        <v>12</v>
      </c>
      <c r="B44" s="272">
        <f>'[2]Programa de Invest'!$B$10</f>
        <v>50000</v>
      </c>
      <c r="C44" s="272"/>
      <c r="D44" s="269"/>
      <c r="E44" s="272"/>
      <c r="F44" s="272"/>
      <c r="G44" s="272"/>
      <c r="H44" s="272">
        <f t="shared" ref="H44:H45" si="8">+SUM(B44:G44)</f>
        <v>50000</v>
      </c>
      <c r="I44" s="267"/>
      <c r="J44" s="267"/>
      <c r="K44" s="267"/>
      <c r="L44" s="267"/>
      <c r="M44" s="267"/>
      <c r="N44" s="267"/>
      <c r="O44" s="267"/>
      <c r="P44" s="267"/>
      <c r="Q44" s="267"/>
    </row>
    <row r="45" spans="1:17" s="189" customFormat="1" ht="23.25" x14ac:dyDescent="0.35">
      <c r="A45" s="275" t="s">
        <v>11</v>
      </c>
      <c r="B45" s="269">
        <f>+NPV(B47,C45:E45)</f>
        <v>12009.15634110787</v>
      </c>
      <c r="C45" s="272">
        <f>'[2]Programa de Invest'!C10</f>
        <v>5000</v>
      </c>
      <c r="D45" s="272">
        <f>'[2]Programa de Invest'!D10</f>
        <v>5000</v>
      </c>
      <c r="E45" s="272">
        <f>'[2]Programa de Invest'!E10</f>
        <v>5000</v>
      </c>
      <c r="F45" s="272">
        <f>'[2]Programa de Invest'!F10</f>
        <v>5000</v>
      </c>
      <c r="G45" s="272"/>
      <c r="H45" s="272">
        <f t="shared" si="8"/>
        <v>32009.156341107868</v>
      </c>
      <c r="I45" s="267"/>
      <c r="J45" s="267"/>
      <c r="K45" s="267"/>
      <c r="L45" s="267"/>
      <c r="M45" s="267"/>
      <c r="N45" s="267"/>
      <c r="O45" s="267"/>
      <c r="P45" s="267"/>
      <c r="Q45" s="267"/>
    </row>
    <row r="46" spans="1:17" s="189" customFormat="1" ht="23.25" x14ac:dyDescent="0.35">
      <c r="A46" s="275" t="s">
        <v>7</v>
      </c>
      <c r="B46" s="272">
        <f>-B44</f>
        <v>-50000</v>
      </c>
      <c r="C46" s="272">
        <f>'[2]Programa de Invest'!C25</f>
        <v>-8000</v>
      </c>
      <c r="D46" s="272">
        <f>'[2]Programa de Invest'!D25</f>
        <v>12500</v>
      </c>
      <c r="E46" s="272">
        <f>'[2]Programa de Invest'!E25</f>
        <v>15625</v>
      </c>
      <c r="F46" s="272">
        <f>'[2]Programa de Invest'!F25</f>
        <v>19531.25</v>
      </c>
      <c r="G46" s="272">
        <f>'[2]Programa de Invest'!G25</f>
        <v>24414.0625</v>
      </c>
      <c r="H46" s="272">
        <f>+SUM(B46:G46)</f>
        <v>14070.3125</v>
      </c>
      <c r="I46" s="267"/>
      <c r="J46" s="267"/>
      <c r="K46" s="267"/>
      <c r="L46" s="267"/>
      <c r="M46" s="267"/>
      <c r="N46" s="267"/>
      <c r="O46" s="267"/>
      <c r="P46" s="267"/>
      <c r="Q46" s="267"/>
    </row>
    <row r="47" spans="1:17" s="189" customFormat="1" ht="23.25" x14ac:dyDescent="0.35">
      <c r="A47" s="276" t="s">
        <v>10</v>
      </c>
      <c r="B47" s="277">
        <f>'[2]Programa de Invest'!$B$37</f>
        <v>0.12</v>
      </c>
      <c r="C47" s="268"/>
      <c r="D47" s="268"/>
      <c r="E47" s="268"/>
      <c r="F47" s="268"/>
      <c r="G47" s="268"/>
      <c r="H47" s="269"/>
      <c r="I47" s="267"/>
      <c r="J47" s="267"/>
      <c r="K47" s="267"/>
      <c r="L47" s="267"/>
      <c r="M47" s="267"/>
      <c r="N47" s="267"/>
      <c r="O47" s="267"/>
      <c r="P47" s="267"/>
      <c r="Q47" s="267"/>
    </row>
    <row r="48" spans="1:17" s="189" customFormat="1" ht="23.25" x14ac:dyDescent="0.35">
      <c r="A48" s="267"/>
      <c r="B48" s="278"/>
      <c r="C48" s="269"/>
      <c r="D48" s="269"/>
      <c r="E48" s="269"/>
      <c r="F48" s="269"/>
      <c r="G48" s="269"/>
      <c r="H48" s="268"/>
      <c r="I48" s="267"/>
      <c r="J48" s="267"/>
      <c r="K48" s="267"/>
      <c r="L48" s="267"/>
      <c r="M48" s="267"/>
      <c r="N48" s="267"/>
      <c r="O48" s="267"/>
      <c r="P48" s="267"/>
      <c r="Q48" s="267"/>
    </row>
    <row r="49" spans="1:17" s="189" customFormat="1" ht="23.25" x14ac:dyDescent="0.35">
      <c r="A49" s="279" t="s">
        <v>138</v>
      </c>
      <c r="B49" s="280">
        <f>+NPV(B47,C46:G46)-(B44+NPV(B47,C45:G45))</f>
        <v>-24977.456845980152</v>
      </c>
      <c r="C49" s="281"/>
      <c r="D49" s="267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267"/>
    </row>
    <row r="50" spans="1:17" s="189" customFormat="1" ht="23.25" x14ac:dyDescent="0.35">
      <c r="A50" s="268"/>
      <c r="B50" s="268"/>
      <c r="C50" s="267"/>
      <c r="D50" s="267"/>
      <c r="E50" s="267"/>
      <c r="F50" s="267"/>
      <c r="G50" s="267"/>
      <c r="H50" s="267"/>
      <c r="I50" s="267"/>
      <c r="J50" s="267"/>
      <c r="K50" s="267"/>
      <c r="L50" s="267"/>
      <c r="M50" s="267"/>
      <c r="N50" s="267"/>
      <c r="O50" s="267"/>
      <c r="P50" s="267"/>
      <c r="Q50" s="267"/>
    </row>
    <row r="51" spans="1:17" s="189" customFormat="1" ht="23.25" x14ac:dyDescent="0.35">
      <c r="A51" s="282" t="s">
        <v>24</v>
      </c>
      <c r="B51" s="283">
        <f>+(B49/(B44+B45))+1</f>
        <v>0.59719727988910254</v>
      </c>
      <c r="C51" s="284"/>
      <c r="D51" s="267"/>
      <c r="E51" s="270"/>
      <c r="F51" s="267"/>
      <c r="G51" s="267"/>
      <c r="H51" s="267"/>
      <c r="I51" s="267"/>
      <c r="J51" s="267"/>
      <c r="K51" s="267"/>
      <c r="L51" s="267"/>
      <c r="M51" s="267"/>
      <c r="N51" s="267"/>
      <c r="O51" s="267"/>
      <c r="P51" s="267"/>
      <c r="Q51" s="267"/>
    </row>
    <row r="52" spans="1:17" s="189" customFormat="1" ht="23.25" x14ac:dyDescent="0.35">
      <c r="A52" s="285"/>
      <c r="B52" s="286"/>
      <c r="C52" s="286"/>
      <c r="D52" s="287"/>
      <c r="E52" s="267"/>
      <c r="F52" s="267"/>
      <c r="G52" s="267"/>
      <c r="H52" s="267"/>
      <c r="I52" s="267"/>
      <c r="J52" s="267"/>
      <c r="K52" s="267"/>
      <c r="L52" s="267"/>
      <c r="M52" s="267"/>
      <c r="N52" s="267"/>
      <c r="O52" s="267"/>
      <c r="P52" s="267"/>
      <c r="Q52" s="267"/>
    </row>
    <row r="53" spans="1:17" s="189" customFormat="1" ht="23.25" x14ac:dyDescent="0.35">
      <c r="A53" s="285"/>
      <c r="B53" s="286"/>
      <c r="C53" s="286"/>
      <c r="D53" s="287"/>
      <c r="E53" s="267"/>
      <c r="F53" s="267"/>
      <c r="G53" s="267"/>
      <c r="H53" s="267"/>
      <c r="I53" s="267"/>
      <c r="J53" s="267"/>
      <c r="K53" s="267"/>
      <c r="L53" s="267"/>
      <c r="M53" s="267"/>
      <c r="N53" s="267"/>
      <c r="O53" s="267"/>
      <c r="P53" s="267"/>
      <c r="Q53" s="267"/>
    </row>
    <row r="54" spans="1:17" s="189" customFormat="1" ht="23.25" x14ac:dyDescent="0.35">
      <c r="A54" s="271" t="str">
        <f>A42</f>
        <v>Projeto ZAPY's</v>
      </c>
      <c r="B54" s="271" t="s">
        <v>13</v>
      </c>
      <c r="C54" s="271" t="s">
        <v>14</v>
      </c>
      <c r="D54" s="271" t="s">
        <v>15</v>
      </c>
      <c r="E54" s="271" t="s">
        <v>16</v>
      </c>
      <c r="F54" s="271" t="s">
        <v>17</v>
      </c>
      <c r="G54" s="271" t="s">
        <v>18</v>
      </c>
      <c r="H54" s="271" t="s">
        <v>19</v>
      </c>
      <c r="I54" s="267"/>
      <c r="J54" s="267"/>
      <c r="K54" s="267"/>
      <c r="L54" s="267"/>
      <c r="M54" s="267"/>
      <c r="N54" s="267"/>
      <c r="O54" s="267"/>
      <c r="P54" s="267"/>
      <c r="Q54" s="267"/>
    </row>
    <row r="55" spans="1:17" s="189" customFormat="1" ht="23.25" x14ac:dyDescent="0.35">
      <c r="A55" s="273" t="s">
        <v>8</v>
      </c>
      <c r="B55" s="274" t="s">
        <v>0</v>
      </c>
      <c r="C55" s="274" t="s">
        <v>1</v>
      </c>
      <c r="D55" s="274" t="s">
        <v>2</v>
      </c>
      <c r="E55" s="274" t="s">
        <v>3</v>
      </c>
      <c r="F55" s="274" t="s">
        <v>4</v>
      </c>
      <c r="G55" s="274" t="s">
        <v>5</v>
      </c>
      <c r="H55" s="274" t="s">
        <v>6</v>
      </c>
      <c r="I55" s="270"/>
      <c r="J55" s="267"/>
      <c r="K55" s="267"/>
      <c r="L55" s="267"/>
      <c r="M55" s="267"/>
      <c r="N55" s="267"/>
      <c r="O55" s="267"/>
      <c r="P55" s="267"/>
      <c r="Q55" s="267"/>
    </row>
    <row r="56" spans="1:17" s="189" customFormat="1" ht="23.25" x14ac:dyDescent="0.35">
      <c r="A56" s="275" t="s">
        <v>12</v>
      </c>
      <c r="B56" s="272">
        <f>-B44</f>
        <v>-50000</v>
      </c>
      <c r="C56" s="272"/>
      <c r="D56" s="269"/>
      <c r="E56" s="272"/>
      <c r="F56" s="272"/>
      <c r="G56" s="272"/>
      <c r="H56" s="272">
        <f t="shared" ref="H56:H57" si="9">+SUM(B56:G56)</f>
        <v>-50000</v>
      </c>
      <c r="I56" s="267"/>
      <c r="J56" s="267"/>
      <c r="K56" s="267"/>
      <c r="L56" s="267"/>
      <c r="M56" s="267"/>
      <c r="N56" s="267"/>
      <c r="O56" s="267"/>
      <c r="P56" s="267"/>
      <c r="Q56" s="267"/>
    </row>
    <row r="57" spans="1:17" s="189" customFormat="1" ht="23.25" x14ac:dyDescent="0.35">
      <c r="A57" s="275" t="s">
        <v>11</v>
      </c>
      <c r="B57" s="272"/>
      <c r="C57" s="272">
        <f>-C45</f>
        <v>-5000</v>
      </c>
      <c r="D57" s="272">
        <f>-D45</f>
        <v>-5000</v>
      </c>
      <c r="E57" s="272">
        <f>-E45</f>
        <v>-5000</v>
      </c>
      <c r="F57" s="272">
        <f>-F45</f>
        <v>-5000</v>
      </c>
      <c r="G57" s="272"/>
      <c r="H57" s="272">
        <f t="shared" si="9"/>
        <v>-20000</v>
      </c>
      <c r="I57" s="267"/>
      <c r="J57" s="267"/>
      <c r="K57" s="267"/>
      <c r="L57" s="267"/>
      <c r="M57" s="267"/>
      <c r="N57" s="267"/>
      <c r="O57" s="267"/>
      <c r="P57" s="267"/>
      <c r="Q57" s="267"/>
    </row>
    <row r="58" spans="1:17" s="189" customFormat="1" ht="23.25" x14ac:dyDescent="0.35">
      <c r="A58" s="275" t="s">
        <v>7</v>
      </c>
      <c r="B58" s="272">
        <f>+B56</f>
        <v>-50000</v>
      </c>
      <c r="C58" s="272">
        <f>C46</f>
        <v>-8000</v>
      </c>
      <c r="D58" s="272">
        <f t="shared" ref="D58:G58" si="10">D46</f>
        <v>12500</v>
      </c>
      <c r="E58" s="272">
        <f t="shared" si="10"/>
        <v>15625</v>
      </c>
      <c r="F58" s="272">
        <f t="shared" si="10"/>
        <v>19531.25</v>
      </c>
      <c r="G58" s="272">
        <f t="shared" si="10"/>
        <v>24414.0625</v>
      </c>
      <c r="H58" s="272">
        <f>+SUM(B58:G58)</f>
        <v>14070.3125</v>
      </c>
      <c r="I58" s="267"/>
      <c r="J58" s="267"/>
      <c r="K58" s="267"/>
      <c r="L58" s="267"/>
      <c r="M58" s="267"/>
      <c r="N58" s="267"/>
      <c r="O58" s="267"/>
      <c r="P58" s="267"/>
      <c r="Q58" s="267"/>
    </row>
    <row r="59" spans="1:17" s="189" customFormat="1" ht="23.25" x14ac:dyDescent="0.35">
      <c r="A59" s="276" t="s">
        <v>10</v>
      </c>
      <c r="B59" s="277">
        <f>B47</f>
        <v>0.12</v>
      </c>
      <c r="C59" s="268"/>
      <c r="D59" s="268"/>
      <c r="E59" s="268"/>
      <c r="F59" s="268"/>
      <c r="G59" s="268"/>
      <c r="H59" s="269"/>
      <c r="I59" s="267"/>
      <c r="J59" s="267"/>
      <c r="K59" s="267"/>
      <c r="L59" s="267"/>
      <c r="M59" s="267"/>
      <c r="N59" s="267"/>
      <c r="O59" s="267"/>
      <c r="P59" s="267"/>
      <c r="Q59" s="267"/>
    </row>
    <row r="60" spans="1:17" ht="23.25" x14ac:dyDescent="0.35">
      <c r="A60" s="288"/>
      <c r="B60" s="289"/>
      <c r="C60" s="268"/>
      <c r="D60" s="268"/>
      <c r="E60" s="268"/>
      <c r="F60" s="268"/>
      <c r="G60" s="268"/>
      <c r="H60" s="269"/>
      <c r="I60" s="267"/>
      <c r="J60" s="267"/>
      <c r="K60" s="267"/>
      <c r="L60" s="267"/>
      <c r="M60" s="267"/>
      <c r="N60" s="267"/>
      <c r="O60" s="267"/>
      <c r="P60" s="267"/>
      <c r="Q60" s="267"/>
    </row>
    <row r="61" spans="1:17" ht="23.25" x14ac:dyDescent="0.35">
      <c r="A61" s="279" t="s">
        <v>139</v>
      </c>
      <c r="B61" s="290">
        <f>+IRR(B57:G58,B59)</f>
        <v>-1.81828464345547E-2</v>
      </c>
      <c r="C61" s="270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</row>
    <row r="62" spans="1:17" ht="23.25" x14ac:dyDescent="0.35">
      <c r="A62" s="267"/>
      <c r="B62" s="267"/>
      <c r="C62" s="267"/>
      <c r="D62" s="267"/>
      <c r="E62" s="267"/>
      <c r="F62" s="267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</row>
    <row r="63" spans="1:17" ht="23.25" x14ac:dyDescent="0.35">
      <c r="A63" s="267"/>
      <c r="B63" s="267"/>
      <c r="C63" s="267"/>
      <c r="D63" s="267"/>
      <c r="E63" s="267"/>
      <c r="F63" s="267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</row>
    <row r="64" spans="1:17" ht="23.25" x14ac:dyDescent="0.35">
      <c r="A64" s="267"/>
      <c r="B64" s="267"/>
      <c r="C64" s="267"/>
      <c r="D64" s="267"/>
      <c r="E64" s="267"/>
      <c r="F64" s="267"/>
      <c r="G64" s="267"/>
      <c r="H64" s="267"/>
      <c r="I64" s="267"/>
      <c r="J64" s="267"/>
      <c r="K64" s="267"/>
      <c r="L64" s="267"/>
      <c r="M64" s="267"/>
      <c r="N64" s="267"/>
      <c r="O64" s="267"/>
      <c r="P64" s="267"/>
      <c r="Q64" s="267"/>
    </row>
    <row r="65" spans="1:17" ht="23.25" x14ac:dyDescent="0.35">
      <c r="A65" s="271" t="str">
        <f>A54</f>
        <v>Projeto ZAPY's</v>
      </c>
      <c r="B65" s="271" t="s">
        <v>13</v>
      </c>
      <c r="C65" s="271" t="s">
        <v>14</v>
      </c>
      <c r="D65" s="271" t="s">
        <v>15</v>
      </c>
      <c r="E65" s="271" t="s">
        <v>16</v>
      </c>
      <c r="F65" s="271" t="s">
        <v>17</v>
      </c>
      <c r="G65" s="271" t="s">
        <v>18</v>
      </c>
      <c r="H65" s="271" t="s">
        <v>19</v>
      </c>
      <c r="I65" s="267"/>
      <c r="J65" s="267"/>
      <c r="K65" s="267"/>
      <c r="L65" s="267"/>
      <c r="M65" s="267"/>
      <c r="N65" s="267"/>
      <c r="O65" s="267"/>
      <c r="P65" s="267"/>
      <c r="Q65" s="267"/>
    </row>
    <row r="66" spans="1:17" ht="23.25" x14ac:dyDescent="0.35">
      <c r="A66" s="291" t="s">
        <v>8</v>
      </c>
      <c r="B66" s="274" t="s">
        <v>0</v>
      </c>
      <c r="C66" s="274" t="s">
        <v>1</v>
      </c>
      <c r="D66" s="274" t="s">
        <v>2</v>
      </c>
      <c r="E66" s="274" t="s">
        <v>3</v>
      </c>
      <c r="F66" s="274" t="s">
        <v>4</v>
      </c>
      <c r="G66" s="274" t="s">
        <v>5</v>
      </c>
      <c r="H66" s="274" t="s">
        <v>6</v>
      </c>
      <c r="I66" s="270"/>
      <c r="J66" s="267"/>
      <c r="K66" s="267"/>
      <c r="L66" s="267"/>
      <c r="M66" s="267"/>
      <c r="N66" s="267"/>
      <c r="O66" s="267"/>
      <c r="P66" s="267"/>
      <c r="Q66" s="267"/>
    </row>
    <row r="67" spans="1:17" ht="23.25" x14ac:dyDescent="0.35">
      <c r="A67" s="275" t="s">
        <v>12</v>
      </c>
      <c r="B67" s="272">
        <f>B56</f>
        <v>-50000</v>
      </c>
      <c r="C67" s="272"/>
      <c r="D67" s="272"/>
      <c r="E67" s="272"/>
      <c r="F67" s="272"/>
      <c r="G67" s="272"/>
      <c r="H67" s="272">
        <f t="shared" ref="H67:H68" si="11">+SUM(B67:G67)</f>
        <v>-50000</v>
      </c>
      <c r="I67" s="267"/>
      <c r="J67" s="267"/>
      <c r="K67" s="267"/>
      <c r="L67" s="267"/>
      <c r="M67" s="267"/>
      <c r="N67" s="267"/>
      <c r="O67" s="267"/>
      <c r="P67" s="267"/>
      <c r="Q67" s="267"/>
    </row>
    <row r="68" spans="1:17" ht="23.25" x14ac:dyDescent="0.35">
      <c r="A68" s="275" t="s">
        <v>11</v>
      </c>
      <c r="B68" s="272"/>
      <c r="C68" s="272">
        <f>C57</f>
        <v>-5000</v>
      </c>
      <c r="D68" s="272">
        <f t="shared" ref="D68:F68" si="12">D57</f>
        <v>-5000</v>
      </c>
      <c r="E68" s="272">
        <f t="shared" si="12"/>
        <v>-5000</v>
      </c>
      <c r="F68" s="272">
        <f t="shared" si="12"/>
        <v>-5000</v>
      </c>
      <c r="G68" s="272"/>
      <c r="H68" s="272">
        <f t="shared" si="11"/>
        <v>-20000</v>
      </c>
      <c r="I68" s="267"/>
      <c r="J68" s="267"/>
      <c r="K68" s="267"/>
      <c r="L68" s="267"/>
      <c r="M68" s="267"/>
      <c r="N68" s="267"/>
      <c r="O68" s="267"/>
      <c r="P68" s="267"/>
      <c r="Q68" s="267"/>
    </row>
    <row r="69" spans="1:17" ht="23.25" x14ac:dyDescent="0.35">
      <c r="A69" s="275" t="s">
        <v>7</v>
      </c>
      <c r="B69" s="272">
        <f>+B67</f>
        <v>-50000</v>
      </c>
      <c r="C69" s="272">
        <f>C58</f>
        <v>-8000</v>
      </c>
      <c r="D69" s="272">
        <f t="shared" ref="D69:G69" si="13">D58</f>
        <v>12500</v>
      </c>
      <c r="E69" s="272">
        <f t="shared" si="13"/>
        <v>15625</v>
      </c>
      <c r="F69" s="272">
        <f t="shared" si="13"/>
        <v>19531.25</v>
      </c>
      <c r="G69" s="272">
        <f t="shared" si="13"/>
        <v>24414.0625</v>
      </c>
      <c r="H69" s="272">
        <f>+SUM(B69:G69)</f>
        <v>14070.3125</v>
      </c>
      <c r="I69" s="267"/>
      <c r="J69" s="267"/>
      <c r="K69" s="267"/>
      <c r="L69" s="267"/>
      <c r="M69" s="267"/>
      <c r="N69" s="267"/>
      <c r="O69" s="267"/>
      <c r="P69" s="267"/>
      <c r="Q69" s="267"/>
    </row>
    <row r="70" spans="1:17" ht="23.25" x14ac:dyDescent="0.35">
      <c r="A70" s="276" t="s">
        <v>10</v>
      </c>
      <c r="B70" s="277">
        <f>B59</f>
        <v>0.12</v>
      </c>
      <c r="C70" s="268"/>
      <c r="D70" s="268"/>
      <c r="E70" s="268"/>
      <c r="F70" s="268"/>
      <c r="G70" s="268"/>
      <c r="H70" s="269"/>
      <c r="I70" s="267"/>
      <c r="J70" s="267"/>
      <c r="K70" s="267"/>
      <c r="L70" s="267"/>
      <c r="M70" s="267"/>
      <c r="N70" s="267"/>
      <c r="O70" s="267"/>
      <c r="P70" s="267"/>
      <c r="Q70" s="267"/>
    </row>
    <row r="71" spans="1:17" ht="23.25" x14ac:dyDescent="0.35">
      <c r="A71" s="288"/>
      <c r="B71" s="289"/>
      <c r="C71" s="268"/>
      <c r="D71" s="268"/>
      <c r="E71" s="268"/>
      <c r="F71" s="268"/>
      <c r="G71" s="268"/>
      <c r="H71" s="269"/>
      <c r="I71" s="267"/>
      <c r="J71" s="267"/>
      <c r="K71" s="267"/>
      <c r="L71" s="267"/>
      <c r="M71" s="267"/>
      <c r="N71" s="267"/>
      <c r="O71" s="267"/>
      <c r="P71" s="267"/>
      <c r="Q71" s="267"/>
    </row>
    <row r="72" spans="1:17" ht="23.25" x14ac:dyDescent="0.35">
      <c r="A72" s="276" t="s">
        <v>21</v>
      </c>
      <c r="B72" s="272">
        <f>B58</f>
        <v>-50000</v>
      </c>
      <c r="C72" s="272">
        <f t="shared" ref="C72:G72" si="14">+B72+C69+C68</f>
        <v>-63000</v>
      </c>
      <c r="D72" s="280">
        <f t="shared" si="14"/>
        <v>-55500</v>
      </c>
      <c r="E72" s="272">
        <f t="shared" si="14"/>
        <v>-44875</v>
      </c>
      <c r="F72" s="272">
        <f t="shared" si="14"/>
        <v>-30343.75</v>
      </c>
      <c r="G72" s="272">
        <f t="shared" si="14"/>
        <v>-5929.6875</v>
      </c>
      <c r="H72" s="272">
        <f>+G72+H69+H68</f>
        <v>-11859.375</v>
      </c>
      <c r="I72" s="267"/>
      <c r="J72" s="267"/>
      <c r="K72" s="267"/>
      <c r="L72" s="267"/>
      <c r="M72" s="267"/>
      <c r="N72" s="267"/>
      <c r="O72" s="267"/>
      <c r="P72" s="267"/>
      <c r="Q72" s="267"/>
    </row>
    <row r="73" spans="1:17" ht="23.25" x14ac:dyDescent="0.35">
      <c r="A73" s="267"/>
      <c r="B73" s="267"/>
      <c r="C73" s="267"/>
      <c r="D73" s="267"/>
      <c r="E73" s="267"/>
      <c r="F73" s="267"/>
      <c r="G73" s="267"/>
      <c r="H73" s="267"/>
      <c r="I73" s="267"/>
      <c r="J73" s="267"/>
      <c r="K73" s="267"/>
      <c r="L73" s="267"/>
      <c r="M73" s="267"/>
      <c r="N73" s="267"/>
      <c r="O73" s="267"/>
      <c r="P73" s="267"/>
      <c r="Q73" s="267"/>
    </row>
    <row r="74" spans="1:17" ht="23.25" x14ac:dyDescent="0.35">
      <c r="A74" s="275" t="s">
        <v>20</v>
      </c>
      <c r="B74" s="295" t="s">
        <v>136</v>
      </c>
      <c r="C74" s="293"/>
      <c r="D74" s="267"/>
      <c r="E74" s="267"/>
      <c r="F74" s="267"/>
      <c r="G74" s="267"/>
      <c r="H74" s="267"/>
      <c r="I74" s="267"/>
      <c r="J74" s="267"/>
      <c r="K74" s="267"/>
      <c r="L74" s="267"/>
      <c r="M74" s="267"/>
      <c r="N74" s="267"/>
      <c r="O74" s="267"/>
      <c r="P74" s="267"/>
      <c r="Q74" s="267"/>
    </row>
    <row r="75" spans="1:17" ht="23.25" x14ac:dyDescent="0.35">
      <c r="A75" s="267"/>
      <c r="B75" s="267"/>
      <c r="C75" s="267"/>
      <c r="D75" s="267"/>
      <c r="E75" s="267"/>
      <c r="F75" s="267"/>
      <c r="G75" s="267"/>
      <c r="H75" s="267"/>
      <c r="I75" s="267"/>
      <c r="J75" s="267"/>
      <c r="K75" s="267"/>
      <c r="L75" s="267"/>
      <c r="M75" s="267"/>
      <c r="N75" s="267"/>
      <c r="O75" s="267"/>
      <c r="P75" s="267"/>
      <c r="Q75" s="267"/>
    </row>
    <row r="76" spans="1:17" s="212" customFormat="1" ht="23.25" x14ac:dyDescent="0.35">
      <c r="A76" s="294"/>
      <c r="B76" s="294"/>
      <c r="C76" s="294"/>
      <c r="D76" s="294"/>
      <c r="E76" s="294"/>
      <c r="F76" s="294"/>
      <c r="G76" s="294"/>
      <c r="H76" s="294"/>
      <c r="I76" s="294"/>
      <c r="J76" s="294"/>
      <c r="K76" s="294"/>
      <c r="L76" s="294"/>
      <c r="M76" s="294"/>
      <c r="N76" s="294"/>
      <c r="O76" s="294"/>
      <c r="P76" s="294"/>
      <c r="Q76" s="294"/>
    </row>
    <row r="77" spans="1:17" ht="23.25" x14ac:dyDescent="0.35">
      <c r="A77" s="267"/>
      <c r="B77" s="267"/>
      <c r="C77" s="267"/>
      <c r="D77" s="267"/>
      <c r="E77" s="267"/>
      <c r="F77" s="267"/>
      <c r="G77" s="267"/>
      <c r="H77" s="267"/>
      <c r="I77" s="267"/>
      <c r="J77" s="267"/>
      <c r="K77" s="267"/>
      <c r="L77" s="267"/>
      <c r="M77" s="267"/>
      <c r="N77" s="267"/>
      <c r="O77" s="267"/>
      <c r="P77" s="267"/>
      <c r="Q77" s="267"/>
    </row>
    <row r="78" spans="1:17" ht="23.25" x14ac:dyDescent="0.35">
      <c r="A78" s="267"/>
      <c r="B78" s="267"/>
      <c r="C78" s="267"/>
      <c r="D78" s="267"/>
      <c r="E78" s="267"/>
      <c r="F78" s="267"/>
      <c r="G78" s="267"/>
      <c r="H78" s="267"/>
      <c r="I78" s="267"/>
      <c r="J78" s="267"/>
      <c r="K78" s="267"/>
      <c r="L78" s="267"/>
      <c r="M78" s="267"/>
      <c r="N78" s="267"/>
      <c r="O78" s="267"/>
      <c r="P78" s="267"/>
      <c r="Q78" s="267"/>
    </row>
    <row r="79" spans="1:17" ht="23.25" x14ac:dyDescent="0.35">
      <c r="A79" s="271" t="str">
        <f>'[2]Programa de Invest'!$A$11</f>
        <v>Projeto ZANA's</v>
      </c>
      <c r="B79" s="271" t="s">
        <v>13</v>
      </c>
      <c r="C79" s="271" t="s">
        <v>14</v>
      </c>
      <c r="D79" s="271" t="s">
        <v>15</v>
      </c>
      <c r="E79" s="271" t="s">
        <v>16</v>
      </c>
      <c r="F79" s="271" t="s">
        <v>17</v>
      </c>
      <c r="G79" s="271" t="s">
        <v>18</v>
      </c>
      <c r="H79" s="271" t="s">
        <v>19</v>
      </c>
      <c r="I79" s="267"/>
      <c r="J79" s="267"/>
      <c r="K79" s="267"/>
      <c r="L79" s="267"/>
      <c r="M79" s="267"/>
      <c r="N79" s="267"/>
      <c r="O79" s="267"/>
      <c r="P79" s="267"/>
      <c r="Q79" s="267"/>
    </row>
    <row r="80" spans="1:17" ht="23.25" x14ac:dyDescent="0.35">
      <c r="A80" s="273" t="s">
        <v>8</v>
      </c>
      <c r="B80" s="274" t="s">
        <v>0</v>
      </c>
      <c r="C80" s="274" t="s">
        <v>1</v>
      </c>
      <c r="D80" s="274" t="s">
        <v>2</v>
      </c>
      <c r="E80" s="274" t="s">
        <v>3</v>
      </c>
      <c r="F80" s="274" t="s">
        <v>4</v>
      </c>
      <c r="G80" s="274" t="s">
        <v>5</v>
      </c>
      <c r="H80" s="274" t="s">
        <v>6</v>
      </c>
      <c r="I80" s="270"/>
      <c r="J80" s="267"/>
      <c r="K80" s="267"/>
      <c r="L80" s="267"/>
      <c r="M80" s="267"/>
      <c r="N80" s="267"/>
      <c r="O80" s="267"/>
      <c r="P80" s="267"/>
      <c r="Q80" s="267"/>
    </row>
    <row r="81" spans="1:17" ht="23.25" x14ac:dyDescent="0.35">
      <c r="A81" s="275" t="s">
        <v>12</v>
      </c>
      <c r="B81" s="272">
        <f>'Programa de Invest'!B11</f>
        <v>45000</v>
      </c>
      <c r="C81" s="272"/>
      <c r="D81" s="269"/>
      <c r="E81" s="272"/>
      <c r="F81" s="272"/>
      <c r="G81" s="272"/>
      <c r="H81" s="272">
        <f t="shared" ref="H81:H82" si="15">+SUM(B81:G81)</f>
        <v>45000</v>
      </c>
      <c r="I81" s="267"/>
      <c r="J81" s="267"/>
      <c r="K81" s="267"/>
      <c r="L81" s="267"/>
      <c r="M81" s="267"/>
      <c r="N81" s="267"/>
      <c r="O81" s="267"/>
      <c r="P81" s="267"/>
      <c r="Q81" s="267"/>
    </row>
    <row r="82" spans="1:17" ht="23.25" x14ac:dyDescent="0.35">
      <c r="A82" s="275" t="s">
        <v>11</v>
      </c>
      <c r="B82" s="269">
        <f>+NPV(B84,C82:E82)</f>
        <v>24018.312682215739</v>
      </c>
      <c r="C82" s="272">
        <f>'Programa de Invest'!C11</f>
        <v>10000</v>
      </c>
      <c r="D82" s="272">
        <f>'Programa de Invest'!D11</f>
        <v>10000</v>
      </c>
      <c r="E82" s="272">
        <f>'Programa de Invest'!E11</f>
        <v>10000</v>
      </c>
      <c r="F82" s="272"/>
      <c r="G82" s="272"/>
      <c r="H82" s="272">
        <f t="shared" si="15"/>
        <v>54018.312682215736</v>
      </c>
      <c r="I82" s="267"/>
      <c r="J82" s="267"/>
      <c r="K82" s="267"/>
      <c r="L82" s="267"/>
      <c r="M82" s="267"/>
      <c r="N82" s="267"/>
      <c r="O82" s="267"/>
      <c r="P82" s="267"/>
      <c r="Q82" s="267"/>
    </row>
    <row r="83" spans="1:17" ht="23.25" x14ac:dyDescent="0.35">
      <c r="A83" s="275" t="s">
        <v>7</v>
      </c>
      <c r="B83" s="272">
        <f>-B81</f>
        <v>-45000</v>
      </c>
      <c r="C83" s="272">
        <f>'Programa de Invest'!C26</f>
        <v>15000</v>
      </c>
      <c r="D83" s="272">
        <f>'Programa de Invest'!D26</f>
        <v>15000</v>
      </c>
      <c r="E83" s="272">
        <f>'Programa de Invest'!E26</f>
        <v>15000</v>
      </c>
      <c r="F83" s="272">
        <f>'Programa de Invest'!F26</f>
        <v>15000</v>
      </c>
      <c r="G83" s="272">
        <f>'Programa de Invest'!G26</f>
        <v>15000</v>
      </c>
      <c r="H83" s="272">
        <f>+SUM(B83:G83)</f>
        <v>30000</v>
      </c>
      <c r="I83" s="267"/>
      <c r="J83" s="267"/>
      <c r="K83" s="267"/>
      <c r="L83" s="267"/>
      <c r="M83" s="267"/>
      <c r="N83" s="267"/>
      <c r="O83" s="267"/>
      <c r="P83" s="267"/>
      <c r="Q83" s="267"/>
    </row>
    <row r="84" spans="1:17" ht="23.25" x14ac:dyDescent="0.35">
      <c r="A84" s="276" t="s">
        <v>10</v>
      </c>
      <c r="B84" s="277">
        <f>'[2]Programa de Invest'!$B$37</f>
        <v>0.12</v>
      </c>
      <c r="C84" s="268"/>
      <c r="D84" s="268"/>
      <c r="E84" s="268"/>
      <c r="F84" s="268"/>
      <c r="G84" s="268"/>
      <c r="H84" s="269"/>
      <c r="I84" s="267"/>
      <c r="J84" s="267"/>
      <c r="K84" s="267"/>
      <c r="L84" s="267"/>
      <c r="M84" s="267"/>
      <c r="N84" s="267"/>
      <c r="O84" s="267"/>
      <c r="P84" s="267"/>
      <c r="Q84" s="267"/>
    </row>
    <row r="85" spans="1:17" ht="23.25" x14ac:dyDescent="0.35">
      <c r="A85" s="267"/>
      <c r="B85" s="278"/>
      <c r="C85" s="269"/>
      <c r="D85" s="269"/>
      <c r="E85" s="269"/>
      <c r="F85" s="269"/>
      <c r="G85" s="269"/>
      <c r="H85" s="268"/>
      <c r="I85" s="267"/>
      <c r="J85" s="267"/>
      <c r="K85" s="267"/>
      <c r="L85" s="267"/>
      <c r="M85" s="267"/>
      <c r="N85" s="267"/>
      <c r="O85" s="267"/>
      <c r="P85" s="267"/>
      <c r="Q85" s="267"/>
    </row>
    <row r="86" spans="1:17" ht="23.25" x14ac:dyDescent="0.35">
      <c r="A86" s="279" t="s">
        <v>138</v>
      </c>
      <c r="B86" s="280">
        <f>+NPV(B84,C83:G83)-(B81+NPV(B84,C82:G82))</f>
        <v>-14946.669647040668</v>
      </c>
      <c r="C86" s="281"/>
      <c r="D86" s="267"/>
      <c r="E86" s="267"/>
      <c r="F86" s="267"/>
      <c r="G86" s="267"/>
      <c r="H86" s="267"/>
      <c r="I86" s="267"/>
      <c r="J86" s="267"/>
      <c r="K86" s="267"/>
      <c r="L86" s="267"/>
      <c r="M86" s="267"/>
      <c r="N86" s="267"/>
      <c r="O86" s="267"/>
      <c r="P86" s="267"/>
      <c r="Q86" s="267"/>
    </row>
    <row r="87" spans="1:17" ht="23.25" x14ac:dyDescent="0.35">
      <c r="A87" s="268"/>
      <c r="B87" s="268"/>
      <c r="C87" s="267"/>
      <c r="D87" s="267"/>
      <c r="E87" s="267"/>
      <c r="F87" s="267"/>
      <c r="G87" s="267"/>
      <c r="H87" s="267"/>
      <c r="I87" s="267"/>
      <c r="J87" s="267"/>
      <c r="K87" s="267"/>
      <c r="L87" s="267"/>
      <c r="M87" s="267"/>
      <c r="N87" s="267"/>
      <c r="O87" s="267"/>
      <c r="P87" s="267"/>
      <c r="Q87" s="267"/>
    </row>
    <row r="88" spans="1:17" ht="23.25" x14ac:dyDescent="0.35">
      <c r="A88" s="282" t="s">
        <v>24</v>
      </c>
      <c r="B88" s="283">
        <f>+(B86/(B81+B82))+1</f>
        <v>0.78343907484582642</v>
      </c>
      <c r="C88" s="284"/>
      <c r="D88" s="267"/>
      <c r="E88" s="270"/>
      <c r="F88" s="267"/>
      <c r="G88" s="267"/>
      <c r="H88" s="267"/>
      <c r="I88" s="267"/>
      <c r="J88" s="267"/>
      <c r="K88" s="267"/>
      <c r="L88" s="267"/>
      <c r="M88" s="267"/>
      <c r="N88" s="267"/>
      <c r="O88" s="267"/>
      <c r="P88" s="267"/>
      <c r="Q88" s="267"/>
    </row>
    <row r="89" spans="1:17" ht="23.25" x14ac:dyDescent="0.35">
      <c r="A89" s="285"/>
      <c r="B89" s="286"/>
      <c r="C89" s="286"/>
      <c r="D89" s="287"/>
      <c r="E89" s="267"/>
      <c r="F89" s="267"/>
      <c r="G89" s="267"/>
      <c r="H89" s="267"/>
      <c r="I89" s="267"/>
      <c r="J89" s="267"/>
      <c r="K89" s="267"/>
      <c r="L89" s="267"/>
      <c r="M89" s="267"/>
      <c r="N89" s="267"/>
      <c r="O89" s="267"/>
      <c r="P89" s="267"/>
      <c r="Q89" s="267"/>
    </row>
    <row r="90" spans="1:17" ht="23.25" x14ac:dyDescent="0.35">
      <c r="A90" s="285"/>
      <c r="B90" s="286"/>
      <c r="C90" s="286"/>
      <c r="D90" s="287"/>
      <c r="E90" s="267"/>
      <c r="F90" s="267"/>
      <c r="G90" s="267"/>
      <c r="H90" s="267"/>
      <c r="I90" s="267"/>
      <c r="J90" s="267"/>
      <c r="K90" s="267"/>
      <c r="L90" s="267"/>
      <c r="M90" s="267"/>
      <c r="N90" s="267"/>
      <c r="O90" s="267"/>
      <c r="P90" s="267"/>
      <c r="Q90" s="267"/>
    </row>
    <row r="91" spans="1:17" ht="23.25" x14ac:dyDescent="0.35">
      <c r="A91" s="271" t="str">
        <f>A79</f>
        <v>Projeto ZANA's</v>
      </c>
      <c r="B91" s="271" t="s">
        <v>13</v>
      </c>
      <c r="C91" s="271" t="s">
        <v>14</v>
      </c>
      <c r="D91" s="271" t="s">
        <v>15</v>
      </c>
      <c r="E91" s="271" t="s">
        <v>16</v>
      </c>
      <c r="F91" s="271" t="s">
        <v>17</v>
      </c>
      <c r="G91" s="271" t="s">
        <v>18</v>
      </c>
      <c r="H91" s="271" t="s">
        <v>19</v>
      </c>
      <c r="I91" s="267"/>
      <c r="J91" s="267"/>
      <c r="K91" s="267"/>
      <c r="L91" s="267"/>
      <c r="M91" s="267"/>
      <c r="N91" s="267"/>
      <c r="O91" s="267"/>
      <c r="P91" s="267"/>
      <c r="Q91" s="267"/>
    </row>
    <row r="92" spans="1:17" ht="23.25" x14ac:dyDescent="0.35">
      <c r="A92" s="273" t="s">
        <v>8</v>
      </c>
      <c r="B92" s="274" t="s">
        <v>0</v>
      </c>
      <c r="C92" s="274" t="s">
        <v>1</v>
      </c>
      <c r="D92" s="274" t="s">
        <v>2</v>
      </c>
      <c r="E92" s="274" t="s">
        <v>3</v>
      </c>
      <c r="F92" s="274" t="s">
        <v>4</v>
      </c>
      <c r="G92" s="274" t="s">
        <v>5</v>
      </c>
      <c r="H92" s="274" t="s">
        <v>6</v>
      </c>
      <c r="I92" s="270"/>
      <c r="J92" s="267"/>
      <c r="K92" s="267"/>
      <c r="L92" s="267"/>
      <c r="M92" s="267"/>
      <c r="N92" s="267"/>
      <c r="O92" s="267"/>
      <c r="P92" s="267"/>
      <c r="Q92" s="267"/>
    </row>
    <row r="93" spans="1:17" ht="23.25" x14ac:dyDescent="0.35">
      <c r="A93" s="275" t="s">
        <v>12</v>
      </c>
      <c r="B93" s="272">
        <f>-B81</f>
        <v>-45000</v>
      </c>
      <c r="C93" s="272"/>
      <c r="D93" s="269"/>
      <c r="E93" s="272"/>
      <c r="F93" s="272"/>
      <c r="G93" s="272"/>
      <c r="H93" s="272">
        <f t="shared" ref="H93:H94" si="16">+SUM(B93:G93)</f>
        <v>-45000</v>
      </c>
      <c r="I93" s="267"/>
      <c r="J93" s="267"/>
      <c r="K93" s="267"/>
      <c r="L93" s="267"/>
      <c r="M93" s="267"/>
      <c r="N93" s="267"/>
      <c r="O93" s="267"/>
      <c r="P93" s="267"/>
      <c r="Q93" s="267"/>
    </row>
    <row r="94" spans="1:17" ht="23.25" x14ac:dyDescent="0.35">
      <c r="A94" s="275" t="s">
        <v>11</v>
      </c>
      <c r="B94" s="272"/>
      <c r="C94" s="272">
        <f>-C82</f>
        <v>-10000</v>
      </c>
      <c r="D94" s="272">
        <f t="shared" ref="D94:E94" si="17">-D82</f>
        <v>-10000</v>
      </c>
      <c r="E94" s="272">
        <f t="shared" si="17"/>
        <v>-10000</v>
      </c>
      <c r="F94" s="272"/>
      <c r="G94" s="272"/>
      <c r="H94" s="272">
        <f t="shared" si="16"/>
        <v>-30000</v>
      </c>
      <c r="I94" s="267"/>
      <c r="J94" s="267"/>
      <c r="K94" s="267"/>
      <c r="L94" s="267"/>
      <c r="M94" s="267"/>
      <c r="N94" s="267"/>
      <c r="O94" s="267"/>
      <c r="P94" s="267"/>
      <c r="Q94" s="267"/>
    </row>
    <row r="95" spans="1:17" ht="23.25" x14ac:dyDescent="0.35">
      <c r="A95" s="275" t="s">
        <v>7</v>
      </c>
      <c r="B95" s="272">
        <f>+B93</f>
        <v>-45000</v>
      </c>
      <c r="C95" s="272">
        <f>C83</f>
        <v>15000</v>
      </c>
      <c r="D95" s="272">
        <f t="shared" ref="D95:G95" si="18">D83</f>
        <v>15000</v>
      </c>
      <c r="E95" s="272">
        <f t="shared" si="18"/>
        <v>15000</v>
      </c>
      <c r="F95" s="272">
        <f t="shared" si="18"/>
        <v>15000</v>
      </c>
      <c r="G95" s="272">
        <f t="shared" si="18"/>
        <v>15000</v>
      </c>
      <c r="H95" s="272">
        <f>+SUM(B95:G95)</f>
        <v>30000</v>
      </c>
      <c r="I95" s="267"/>
      <c r="J95" s="267"/>
      <c r="K95" s="267"/>
      <c r="L95" s="267"/>
      <c r="M95" s="267"/>
      <c r="N95" s="267"/>
      <c r="O95" s="267"/>
      <c r="P95" s="267"/>
      <c r="Q95" s="267"/>
    </row>
    <row r="96" spans="1:17" ht="23.25" x14ac:dyDescent="0.35">
      <c r="A96" s="276" t="s">
        <v>10</v>
      </c>
      <c r="B96" s="277">
        <f>B84</f>
        <v>0.12</v>
      </c>
      <c r="C96" s="268"/>
      <c r="D96" s="268"/>
      <c r="E96" s="268"/>
      <c r="F96" s="268"/>
      <c r="G96" s="268"/>
      <c r="H96" s="269"/>
      <c r="I96" s="267"/>
      <c r="J96" s="267"/>
      <c r="K96" s="267"/>
      <c r="L96" s="267"/>
      <c r="M96" s="267"/>
      <c r="N96" s="267"/>
      <c r="O96" s="267"/>
      <c r="P96" s="267"/>
      <c r="Q96" s="267"/>
    </row>
    <row r="97" spans="1:17" ht="23.25" x14ac:dyDescent="0.35">
      <c r="A97" s="288"/>
      <c r="B97" s="289"/>
      <c r="C97" s="268"/>
      <c r="D97" s="268"/>
      <c r="E97" s="268"/>
      <c r="F97" s="268"/>
      <c r="G97" s="268"/>
      <c r="H97" s="269"/>
      <c r="I97" s="267"/>
      <c r="J97" s="267"/>
      <c r="K97" s="267"/>
      <c r="L97" s="267"/>
      <c r="M97" s="267"/>
      <c r="N97" s="267"/>
      <c r="O97" s="267"/>
      <c r="P97" s="267"/>
      <c r="Q97" s="267"/>
    </row>
    <row r="98" spans="1:17" ht="23.25" x14ac:dyDescent="0.35">
      <c r="A98" s="279" t="s">
        <v>139</v>
      </c>
      <c r="B98" s="290">
        <f>+IRR(B94:G95,B96)</f>
        <v>0</v>
      </c>
      <c r="C98" s="270"/>
      <c r="D98" s="267"/>
      <c r="E98" s="267"/>
      <c r="F98" s="267"/>
      <c r="G98" s="267"/>
      <c r="H98" s="267"/>
      <c r="I98" s="267"/>
      <c r="J98" s="267"/>
      <c r="K98" s="267"/>
      <c r="L98" s="267"/>
      <c r="M98" s="267"/>
      <c r="N98" s="267"/>
      <c r="O98" s="267"/>
      <c r="P98" s="267"/>
      <c r="Q98" s="267"/>
    </row>
    <row r="99" spans="1:17" ht="23.25" x14ac:dyDescent="0.35">
      <c r="A99" s="267"/>
      <c r="B99" s="267"/>
      <c r="C99" s="267"/>
      <c r="D99" s="267"/>
      <c r="E99" s="267"/>
      <c r="F99" s="267"/>
      <c r="G99" s="267"/>
      <c r="H99" s="267"/>
      <c r="I99" s="267"/>
      <c r="J99" s="267"/>
      <c r="K99" s="267"/>
      <c r="L99" s="267"/>
      <c r="M99" s="267"/>
      <c r="N99" s="267"/>
      <c r="O99" s="267"/>
      <c r="P99" s="267"/>
      <c r="Q99" s="267"/>
    </row>
    <row r="100" spans="1:17" ht="23.25" x14ac:dyDescent="0.35">
      <c r="A100" s="267"/>
      <c r="B100" s="267"/>
      <c r="C100" s="267"/>
      <c r="D100" s="267"/>
      <c r="E100" s="267"/>
      <c r="F100" s="267"/>
      <c r="G100" s="267"/>
      <c r="H100" s="267"/>
      <c r="I100" s="267"/>
      <c r="J100" s="267"/>
      <c r="K100" s="267"/>
      <c r="L100" s="267"/>
      <c r="M100" s="267"/>
      <c r="N100" s="267"/>
      <c r="O100" s="267"/>
      <c r="P100" s="267"/>
      <c r="Q100" s="267"/>
    </row>
    <row r="101" spans="1:17" ht="23.25" x14ac:dyDescent="0.35">
      <c r="A101" s="267"/>
      <c r="B101" s="267"/>
      <c r="C101" s="267"/>
      <c r="D101" s="267"/>
      <c r="E101" s="267"/>
      <c r="F101" s="267"/>
      <c r="G101" s="267"/>
      <c r="H101" s="267"/>
      <c r="I101" s="267"/>
      <c r="J101" s="267"/>
      <c r="K101" s="267"/>
      <c r="L101" s="267"/>
      <c r="M101" s="267"/>
      <c r="N101" s="267"/>
      <c r="O101" s="267"/>
      <c r="P101" s="267"/>
      <c r="Q101" s="267"/>
    </row>
    <row r="102" spans="1:17" ht="23.25" x14ac:dyDescent="0.35">
      <c r="A102" s="271" t="str">
        <f>A91</f>
        <v>Projeto ZANA's</v>
      </c>
      <c r="B102" s="271" t="s">
        <v>13</v>
      </c>
      <c r="C102" s="271" t="s">
        <v>14</v>
      </c>
      <c r="D102" s="271" t="s">
        <v>15</v>
      </c>
      <c r="E102" s="271" t="s">
        <v>16</v>
      </c>
      <c r="F102" s="271" t="s">
        <v>17</v>
      </c>
      <c r="G102" s="271" t="s">
        <v>18</v>
      </c>
      <c r="H102" s="271" t="s">
        <v>19</v>
      </c>
      <c r="I102" s="267"/>
      <c r="J102" s="267"/>
      <c r="K102" s="267"/>
      <c r="L102" s="267"/>
      <c r="M102" s="267"/>
      <c r="N102" s="267"/>
      <c r="O102" s="267"/>
      <c r="P102" s="267"/>
      <c r="Q102" s="267"/>
    </row>
    <row r="103" spans="1:17" ht="23.25" x14ac:dyDescent="0.35">
      <c r="A103" s="291" t="s">
        <v>8</v>
      </c>
      <c r="B103" s="274" t="s">
        <v>0</v>
      </c>
      <c r="C103" s="274" t="s">
        <v>1</v>
      </c>
      <c r="D103" s="274" t="s">
        <v>2</v>
      </c>
      <c r="E103" s="274" t="s">
        <v>3</v>
      </c>
      <c r="F103" s="274" t="s">
        <v>4</v>
      </c>
      <c r="G103" s="274" t="s">
        <v>5</v>
      </c>
      <c r="H103" s="274" t="s">
        <v>6</v>
      </c>
      <c r="I103" s="270"/>
      <c r="J103" s="267"/>
      <c r="K103" s="267"/>
      <c r="L103" s="267"/>
      <c r="M103" s="267"/>
      <c r="N103" s="267"/>
      <c r="O103" s="267"/>
      <c r="P103" s="267"/>
      <c r="Q103" s="267"/>
    </row>
    <row r="104" spans="1:17" ht="23.25" x14ac:dyDescent="0.35">
      <c r="A104" s="275" t="s">
        <v>12</v>
      </c>
      <c r="B104" s="272">
        <f>B93</f>
        <v>-45000</v>
      </c>
      <c r="C104" s="272"/>
      <c r="D104" s="272"/>
      <c r="E104" s="272"/>
      <c r="F104" s="272"/>
      <c r="G104" s="272"/>
      <c r="H104" s="272">
        <f t="shared" ref="H104:H105" si="19">+SUM(B104:G104)</f>
        <v>-45000</v>
      </c>
      <c r="I104" s="267"/>
      <c r="J104" s="267"/>
      <c r="K104" s="267"/>
      <c r="L104" s="267"/>
      <c r="M104" s="267"/>
      <c r="N104" s="267"/>
      <c r="O104" s="267"/>
      <c r="P104" s="267"/>
      <c r="Q104" s="267"/>
    </row>
    <row r="105" spans="1:17" ht="23.25" x14ac:dyDescent="0.35">
      <c r="A105" s="275" t="s">
        <v>11</v>
      </c>
      <c r="B105" s="272"/>
      <c r="C105" s="272">
        <f>C94</f>
        <v>-10000</v>
      </c>
      <c r="D105" s="272">
        <f t="shared" ref="D105:E105" si="20">D94</f>
        <v>-10000</v>
      </c>
      <c r="E105" s="272">
        <f t="shared" si="20"/>
        <v>-10000</v>
      </c>
      <c r="F105" s="272"/>
      <c r="G105" s="272"/>
      <c r="H105" s="272">
        <f t="shared" si="19"/>
        <v>-30000</v>
      </c>
      <c r="I105" s="267"/>
      <c r="J105" s="267"/>
      <c r="K105" s="267"/>
      <c r="L105" s="267"/>
      <c r="M105" s="267"/>
      <c r="N105" s="267"/>
      <c r="O105" s="267"/>
      <c r="P105" s="267"/>
      <c r="Q105" s="267"/>
    </row>
    <row r="106" spans="1:17" ht="23.25" x14ac:dyDescent="0.35">
      <c r="A106" s="275" t="s">
        <v>7</v>
      </c>
      <c r="B106" s="272">
        <f>+B104</f>
        <v>-45000</v>
      </c>
      <c r="C106" s="272">
        <f>C95</f>
        <v>15000</v>
      </c>
      <c r="D106" s="272">
        <f t="shared" ref="D106:G106" si="21">D95</f>
        <v>15000</v>
      </c>
      <c r="E106" s="272">
        <f t="shared" si="21"/>
        <v>15000</v>
      </c>
      <c r="F106" s="272">
        <f t="shared" si="21"/>
        <v>15000</v>
      </c>
      <c r="G106" s="272">
        <f t="shared" si="21"/>
        <v>15000</v>
      </c>
      <c r="H106" s="272">
        <f>+SUM(B106:G106)</f>
        <v>30000</v>
      </c>
      <c r="I106" s="267"/>
      <c r="J106" s="267"/>
      <c r="K106" s="267"/>
      <c r="L106" s="267"/>
      <c r="M106" s="267"/>
      <c r="N106" s="267"/>
      <c r="O106" s="267"/>
      <c r="P106" s="267"/>
      <c r="Q106" s="267"/>
    </row>
    <row r="107" spans="1:17" ht="23.25" x14ac:dyDescent="0.35">
      <c r="A107" s="276" t="s">
        <v>10</v>
      </c>
      <c r="B107" s="277">
        <f>B96</f>
        <v>0.12</v>
      </c>
      <c r="C107" s="268"/>
      <c r="D107" s="268"/>
      <c r="E107" s="268"/>
      <c r="F107" s="268"/>
      <c r="G107" s="268"/>
      <c r="H107" s="269"/>
      <c r="I107" s="267"/>
      <c r="J107" s="267"/>
      <c r="K107" s="267"/>
      <c r="L107" s="267"/>
      <c r="M107" s="267"/>
      <c r="N107" s="267"/>
      <c r="O107" s="267"/>
      <c r="P107" s="267"/>
      <c r="Q107" s="267"/>
    </row>
    <row r="108" spans="1:17" ht="23.25" x14ac:dyDescent="0.35">
      <c r="A108" s="288"/>
      <c r="B108" s="289"/>
      <c r="C108" s="268"/>
      <c r="D108" s="268"/>
      <c r="E108" s="268"/>
      <c r="F108" s="268"/>
      <c r="G108" s="268"/>
      <c r="H108" s="269"/>
      <c r="I108" s="267"/>
      <c r="J108" s="267"/>
      <c r="K108" s="267"/>
      <c r="L108" s="267"/>
      <c r="M108" s="267"/>
      <c r="N108" s="267"/>
      <c r="O108" s="267"/>
      <c r="P108" s="267"/>
      <c r="Q108" s="267"/>
    </row>
    <row r="109" spans="1:17" ht="23.25" x14ac:dyDescent="0.35">
      <c r="A109" s="276" t="s">
        <v>21</v>
      </c>
      <c r="B109" s="272">
        <f>B95</f>
        <v>-45000</v>
      </c>
      <c r="C109" s="272">
        <f t="shared" ref="C109:F109" si="22">+B109+C106+C105</f>
        <v>-40000</v>
      </c>
      <c r="D109" s="280">
        <f t="shared" si="22"/>
        <v>-35000</v>
      </c>
      <c r="E109" s="272">
        <f t="shared" si="22"/>
        <v>-30000</v>
      </c>
      <c r="F109" s="272">
        <f t="shared" si="22"/>
        <v>-15000</v>
      </c>
      <c r="G109" s="272">
        <f>+F109+G106+G105</f>
        <v>0</v>
      </c>
      <c r="H109" s="272"/>
      <c r="I109" s="267"/>
      <c r="J109" s="267"/>
      <c r="K109" s="267"/>
      <c r="L109" s="267"/>
      <c r="M109" s="267"/>
      <c r="N109" s="267"/>
      <c r="O109" s="267"/>
      <c r="P109" s="267"/>
      <c r="Q109" s="267"/>
    </row>
    <row r="110" spans="1:17" ht="23.25" x14ac:dyDescent="0.35">
      <c r="A110" s="267"/>
      <c r="B110" s="267"/>
      <c r="C110" s="267"/>
      <c r="D110" s="267"/>
      <c r="E110" s="267"/>
      <c r="F110" s="267"/>
      <c r="G110" s="267"/>
      <c r="H110" s="267"/>
      <c r="I110" s="267"/>
      <c r="J110" s="267"/>
      <c r="K110" s="267"/>
      <c r="L110" s="267"/>
      <c r="M110" s="267"/>
      <c r="N110" s="267"/>
      <c r="O110" s="267"/>
      <c r="P110" s="267"/>
      <c r="Q110" s="267"/>
    </row>
    <row r="111" spans="1:17" ht="23.25" x14ac:dyDescent="0.35">
      <c r="A111" s="275" t="s">
        <v>20</v>
      </c>
      <c r="B111" s="292">
        <f>4+(-F109/(G106+G105))</f>
        <v>5</v>
      </c>
      <c r="C111" s="293"/>
      <c r="D111" s="267"/>
      <c r="E111" s="267"/>
      <c r="F111" s="267"/>
      <c r="G111" s="267"/>
      <c r="H111" s="267"/>
      <c r="I111" s="267"/>
      <c r="J111" s="267"/>
      <c r="K111" s="267"/>
      <c r="L111" s="267"/>
      <c r="M111" s="267"/>
      <c r="N111" s="267"/>
      <c r="O111" s="267"/>
      <c r="P111" s="267"/>
      <c r="Q111" s="267"/>
    </row>
    <row r="112" spans="1:17" ht="23.25" x14ac:dyDescent="0.35">
      <c r="A112" s="267"/>
      <c r="B112" s="267"/>
      <c r="C112" s="267"/>
      <c r="D112" s="267"/>
      <c r="E112" s="267"/>
      <c r="F112" s="267"/>
      <c r="G112" s="267"/>
      <c r="H112" s="267"/>
      <c r="I112" s="267"/>
      <c r="J112" s="267"/>
      <c r="K112" s="267"/>
      <c r="L112" s="267"/>
      <c r="M112" s="267"/>
      <c r="N112" s="267"/>
      <c r="O112" s="267"/>
      <c r="P112" s="267"/>
      <c r="Q112" s="267"/>
    </row>
    <row r="113" spans="1:17" ht="23.25" x14ac:dyDescent="0.35">
      <c r="A113" s="267"/>
      <c r="B113" s="267"/>
      <c r="C113" s="267"/>
      <c r="D113" s="267"/>
      <c r="E113" s="267"/>
      <c r="F113" s="267"/>
      <c r="G113" s="267"/>
      <c r="H113" s="267"/>
      <c r="I113" s="267"/>
      <c r="J113" s="267"/>
      <c r="K113" s="267"/>
      <c r="L113" s="267"/>
      <c r="M113" s="267"/>
      <c r="N113" s="267"/>
      <c r="O113" s="267"/>
      <c r="P113" s="267"/>
      <c r="Q113" s="267"/>
    </row>
    <row r="114" spans="1:17" s="212" customFormat="1" ht="23.25" x14ac:dyDescent="0.35">
      <c r="A114" s="294"/>
      <c r="B114" s="294"/>
      <c r="C114" s="294"/>
      <c r="D114" s="294"/>
      <c r="E114" s="294"/>
      <c r="F114" s="294"/>
      <c r="G114" s="294"/>
      <c r="H114" s="294"/>
      <c r="I114" s="294"/>
      <c r="J114" s="294"/>
      <c r="K114" s="294"/>
      <c r="L114" s="294"/>
      <c r="M114" s="294"/>
      <c r="N114" s="294"/>
      <c r="O114" s="294"/>
      <c r="P114" s="294"/>
      <c r="Q114" s="294"/>
    </row>
    <row r="115" spans="1:17" ht="23.25" x14ac:dyDescent="0.35">
      <c r="A115" s="271" t="str">
        <f>'Programa de Invest'!A29</f>
        <v>Projeto SAL</v>
      </c>
      <c r="B115" s="271" t="s">
        <v>13</v>
      </c>
      <c r="C115" s="271" t="s">
        <v>14</v>
      </c>
      <c r="D115" s="271" t="s">
        <v>15</v>
      </c>
      <c r="E115" s="271" t="s">
        <v>16</v>
      </c>
      <c r="F115" s="271" t="s">
        <v>17</v>
      </c>
      <c r="G115" s="271" t="s">
        <v>18</v>
      </c>
      <c r="H115" s="271" t="s">
        <v>19</v>
      </c>
      <c r="I115" s="267"/>
      <c r="J115" s="267"/>
      <c r="K115" s="267"/>
      <c r="L115" s="267"/>
      <c r="M115" s="267"/>
      <c r="N115" s="267"/>
      <c r="O115" s="267"/>
      <c r="P115" s="267"/>
      <c r="Q115" s="267"/>
    </row>
    <row r="116" spans="1:17" ht="23.25" x14ac:dyDescent="0.35">
      <c r="A116" s="273" t="s">
        <v>8</v>
      </c>
      <c r="B116" s="274" t="s">
        <v>0</v>
      </c>
      <c r="C116" s="274" t="s">
        <v>1</v>
      </c>
      <c r="D116" s="274" t="s">
        <v>2</v>
      </c>
      <c r="E116" s="274" t="s">
        <v>3</v>
      </c>
      <c r="F116" s="274" t="s">
        <v>4</v>
      </c>
      <c r="G116" s="274" t="s">
        <v>5</v>
      </c>
      <c r="H116" s="274" t="s">
        <v>6</v>
      </c>
      <c r="I116" s="270"/>
      <c r="J116" s="267"/>
      <c r="K116" s="267"/>
      <c r="L116" s="267"/>
      <c r="M116" s="267"/>
      <c r="N116" s="267"/>
      <c r="O116" s="267"/>
      <c r="P116" s="267"/>
      <c r="Q116" s="267"/>
    </row>
    <row r="117" spans="1:17" ht="23.25" x14ac:dyDescent="0.35">
      <c r="A117" s="275" t="s">
        <v>12</v>
      </c>
      <c r="B117" s="272">
        <f>'Programa de Invest'!B14</f>
        <v>25000</v>
      </c>
      <c r="C117" s="272"/>
      <c r="D117" s="269"/>
      <c r="E117" s="272"/>
      <c r="F117" s="272"/>
      <c r="G117" s="272"/>
      <c r="H117" s="272">
        <f t="shared" ref="H117:H118" si="23">+SUM(B117:G117)</f>
        <v>25000</v>
      </c>
      <c r="I117" s="267"/>
      <c r="J117" s="267"/>
      <c r="K117" s="267"/>
      <c r="L117" s="267"/>
      <c r="M117" s="267"/>
      <c r="N117" s="267"/>
      <c r="O117" s="267"/>
      <c r="P117" s="267"/>
      <c r="Q117" s="267"/>
    </row>
    <row r="118" spans="1:17" ht="23.25" x14ac:dyDescent="0.35">
      <c r="A118" s="275" t="s">
        <v>11</v>
      </c>
      <c r="B118" s="269">
        <f>+NPV(B120,C118:E118)</f>
        <v>22321.428571428569</v>
      </c>
      <c r="C118" s="272"/>
      <c r="D118" s="272">
        <f>'Programa de Invest'!D14</f>
        <v>25000</v>
      </c>
      <c r="E118" s="272"/>
      <c r="F118" s="272">
        <f>'Programa de Invest'!F14</f>
        <v>15000</v>
      </c>
      <c r="G118" s="272"/>
      <c r="H118" s="272">
        <f t="shared" si="23"/>
        <v>62321.428571428565</v>
      </c>
      <c r="I118" s="267"/>
      <c r="J118" s="267"/>
      <c r="K118" s="267"/>
      <c r="L118" s="267"/>
      <c r="M118" s="267"/>
      <c r="N118" s="267"/>
      <c r="O118" s="267"/>
      <c r="P118" s="267"/>
      <c r="Q118" s="267"/>
    </row>
    <row r="119" spans="1:17" ht="23.25" x14ac:dyDescent="0.35">
      <c r="A119" s="275" t="s">
        <v>7</v>
      </c>
      <c r="B119" s="272">
        <f>-B117</f>
        <v>-25000</v>
      </c>
      <c r="C119" s="272">
        <f>'Programa de Invest'!C29</f>
        <v>20000</v>
      </c>
      <c r="D119" s="272">
        <f>'Programa de Invest'!D29</f>
        <v>20000</v>
      </c>
      <c r="E119" s="272">
        <f>'Programa de Invest'!E29</f>
        <v>20000</v>
      </c>
      <c r="F119" s="272">
        <f>'Programa de Invest'!F29</f>
        <v>20000</v>
      </c>
      <c r="G119" s="272">
        <f>'Programa de Invest'!G29</f>
        <v>20000</v>
      </c>
      <c r="H119" s="272">
        <f>+SUM(B119:G119)</f>
        <v>75000</v>
      </c>
      <c r="I119" s="267"/>
      <c r="J119" s="267"/>
      <c r="K119" s="267"/>
      <c r="L119" s="267"/>
      <c r="M119" s="267"/>
      <c r="N119" s="267"/>
      <c r="O119" s="267"/>
      <c r="P119" s="267"/>
      <c r="Q119" s="267"/>
    </row>
    <row r="120" spans="1:17" ht="23.25" x14ac:dyDescent="0.35">
      <c r="A120" s="276" t="s">
        <v>10</v>
      </c>
      <c r="B120" s="277">
        <f>'[2]Programa de Invest'!$B$37</f>
        <v>0.12</v>
      </c>
      <c r="C120" s="268"/>
      <c r="D120" s="268"/>
      <c r="E120" s="268"/>
      <c r="F120" s="268"/>
      <c r="G120" s="268"/>
      <c r="H120" s="269"/>
      <c r="I120" s="267"/>
      <c r="J120" s="267"/>
      <c r="K120" s="267"/>
      <c r="L120" s="267"/>
      <c r="M120" s="267"/>
      <c r="N120" s="267"/>
      <c r="O120" s="267"/>
      <c r="P120" s="267"/>
      <c r="Q120" s="267"/>
    </row>
    <row r="121" spans="1:17" ht="23.25" x14ac:dyDescent="0.35">
      <c r="A121" s="267"/>
      <c r="B121" s="278"/>
      <c r="C121" s="269"/>
      <c r="D121" s="269"/>
      <c r="E121" s="269"/>
      <c r="F121" s="269"/>
      <c r="G121" s="269"/>
      <c r="H121" s="268"/>
      <c r="I121" s="267"/>
      <c r="J121" s="267"/>
      <c r="K121" s="267"/>
      <c r="L121" s="267"/>
      <c r="M121" s="267"/>
      <c r="N121" s="267"/>
      <c r="O121" s="267"/>
      <c r="P121" s="267"/>
      <c r="Q121" s="267"/>
    </row>
    <row r="122" spans="1:17" ht="23.25" x14ac:dyDescent="0.35">
      <c r="A122" s="279" t="s">
        <v>138</v>
      </c>
      <c r="B122" s="280">
        <f>+NPV(B120,C119:G119)-(B117+NPV(B120,C118:G118))</f>
        <v>12816.18731220621</v>
      </c>
      <c r="C122" s="281"/>
      <c r="D122" s="267"/>
      <c r="E122" s="267"/>
      <c r="F122" s="267"/>
      <c r="G122" s="267"/>
      <c r="H122" s="267"/>
      <c r="I122" s="267"/>
      <c r="J122" s="267"/>
      <c r="K122" s="267"/>
      <c r="L122" s="267"/>
      <c r="M122" s="267"/>
      <c r="N122" s="267"/>
      <c r="O122" s="267"/>
      <c r="P122" s="267"/>
      <c r="Q122" s="267"/>
    </row>
    <row r="123" spans="1:17" ht="23.25" x14ac:dyDescent="0.35">
      <c r="A123" s="268"/>
      <c r="B123" s="268"/>
      <c r="C123" s="267"/>
      <c r="D123" s="267"/>
      <c r="E123" s="267"/>
      <c r="F123" s="267"/>
      <c r="G123" s="267"/>
      <c r="H123" s="267"/>
      <c r="I123" s="267"/>
      <c r="J123" s="267"/>
      <c r="K123" s="267"/>
      <c r="L123" s="267"/>
      <c r="M123" s="267"/>
      <c r="N123" s="267"/>
      <c r="O123" s="267"/>
      <c r="P123" s="267"/>
      <c r="Q123" s="267"/>
    </row>
    <row r="124" spans="1:17" ht="23.25" x14ac:dyDescent="0.35">
      <c r="A124" s="282" t="s">
        <v>24</v>
      </c>
      <c r="B124" s="283">
        <f>+(B122/(B117+B118))+1</f>
        <v>1.2708326375409613</v>
      </c>
      <c r="C124" s="284"/>
      <c r="D124" s="267"/>
      <c r="E124" s="270"/>
      <c r="F124" s="267"/>
      <c r="G124" s="267"/>
      <c r="H124" s="267"/>
      <c r="I124" s="267"/>
      <c r="J124" s="267"/>
      <c r="K124" s="267"/>
      <c r="L124" s="267"/>
      <c r="M124" s="267"/>
      <c r="N124" s="267"/>
      <c r="O124" s="267"/>
      <c r="P124" s="267"/>
      <c r="Q124" s="267"/>
    </row>
    <row r="125" spans="1:17" ht="23.25" x14ac:dyDescent="0.35">
      <c r="A125" s="285"/>
      <c r="B125" s="286"/>
      <c r="C125" s="286"/>
      <c r="D125" s="287"/>
      <c r="E125" s="267"/>
      <c r="F125" s="267"/>
      <c r="G125" s="267"/>
      <c r="H125" s="267"/>
      <c r="I125" s="267"/>
      <c r="J125" s="267"/>
      <c r="K125" s="267"/>
      <c r="L125" s="267"/>
      <c r="M125" s="267"/>
      <c r="N125" s="267"/>
      <c r="O125" s="267"/>
      <c r="P125" s="267"/>
      <c r="Q125" s="267"/>
    </row>
    <row r="126" spans="1:17" ht="23.25" x14ac:dyDescent="0.35">
      <c r="A126" s="285"/>
      <c r="B126" s="286"/>
      <c r="C126" s="286"/>
      <c r="D126" s="287"/>
      <c r="E126" s="267"/>
      <c r="F126" s="267"/>
      <c r="G126" s="267"/>
      <c r="H126" s="267"/>
      <c r="I126" s="267"/>
      <c r="J126" s="267"/>
      <c r="K126" s="267"/>
      <c r="L126" s="267"/>
      <c r="M126" s="267"/>
      <c r="N126" s="267"/>
      <c r="O126" s="267"/>
      <c r="P126" s="267"/>
      <c r="Q126" s="267"/>
    </row>
    <row r="127" spans="1:17" ht="23.25" x14ac:dyDescent="0.35">
      <c r="A127" s="271" t="str">
        <f>A115</f>
        <v>Projeto SAL</v>
      </c>
      <c r="B127" s="271" t="s">
        <v>13</v>
      </c>
      <c r="C127" s="271" t="s">
        <v>14</v>
      </c>
      <c r="D127" s="271" t="s">
        <v>15</v>
      </c>
      <c r="E127" s="271" t="s">
        <v>16</v>
      </c>
      <c r="F127" s="271" t="s">
        <v>17</v>
      </c>
      <c r="G127" s="271" t="s">
        <v>18</v>
      </c>
      <c r="H127" s="271" t="s">
        <v>19</v>
      </c>
      <c r="I127" s="267"/>
      <c r="J127" s="267"/>
      <c r="K127" s="267"/>
      <c r="L127" s="267"/>
      <c r="M127" s="267"/>
      <c r="N127" s="267"/>
      <c r="O127" s="267"/>
      <c r="P127" s="267"/>
      <c r="Q127" s="267"/>
    </row>
    <row r="128" spans="1:17" ht="23.25" x14ac:dyDescent="0.35">
      <c r="A128" s="273" t="s">
        <v>8</v>
      </c>
      <c r="B128" s="274" t="s">
        <v>0</v>
      </c>
      <c r="C128" s="274" t="s">
        <v>1</v>
      </c>
      <c r="D128" s="274" t="s">
        <v>2</v>
      </c>
      <c r="E128" s="274" t="s">
        <v>3</v>
      </c>
      <c r="F128" s="274" t="s">
        <v>4</v>
      </c>
      <c r="G128" s="274" t="s">
        <v>5</v>
      </c>
      <c r="H128" s="274" t="s">
        <v>6</v>
      </c>
      <c r="I128" s="270"/>
      <c r="J128" s="267"/>
      <c r="K128" s="267"/>
      <c r="L128" s="267"/>
      <c r="M128" s="267"/>
      <c r="N128" s="267"/>
      <c r="O128" s="267"/>
      <c r="P128" s="267"/>
      <c r="Q128" s="267"/>
    </row>
    <row r="129" spans="1:17" ht="23.25" x14ac:dyDescent="0.35">
      <c r="A129" s="275" t="s">
        <v>12</v>
      </c>
      <c r="B129" s="272">
        <f>-B117</f>
        <v>-25000</v>
      </c>
      <c r="C129" s="272"/>
      <c r="D129" s="269"/>
      <c r="E129" s="272"/>
      <c r="F129" s="272"/>
      <c r="G129" s="272"/>
      <c r="H129" s="272">
        <f t="shared" ref="H129:H130" si="24">+SUM(B129:G129)</f>
        <v>-25000</v>
      </c>
      <c r="I129" s="267"/>
      <c r="J129" s="267"/>
      <c r="K129" s="267"/>
      <c r="L129" s="267"/>
      <c r="M129" s="267"/>
      <c r="N129" s="267"/>
      <c r="O129" s="267"/>
      <c r="P129" s="267"/>
      <c r="Q129" s="267"/>
    </row>
    <row r="130" spans="1:17" ht="23.25" x14ac:dyDescent="0.35">
      <c r="A130" s="275" t="s">
        <v>11</v>
      </c>
      <c r="B130" s="272"/>
      <c r="C130" s="272"/>
      <c r="D130" s="272">
        <f t="shared" ref="D130:F130" si="25">-D118</f>
        <v>-25000</v>
      </c>
      <c r="E130" s="272"/>
      <c r="F130" s="272">
        <f t="shared" si="25"/>
        <v>-15000</v>
      </c>
      <c r="G130" s="272"/>
      <c r="H130" s="272">
        <f t="shared" si="24"/>
        <v>-40000</v>
      </c>
      <c r="I130" s="267"/>
      <c r="J130" s="267"/>
      <c r="K130" s="267"/>
      <c r="L130" s="267"/>
      <c r="M130" s="267"/>
      <c r="N130" s="267"/>
      <c r="O130" s="267"/>
      <c r="P130" s="267"/>
      <c r="Q130" s="267"/>
    </row>
    <row r="131" spans="1:17" ht="23.25" x14ac:dyDescent="0.35">
      <c r="A131" s="275" t="s">
        <v>7</v>
      </c>
      <c r="B131" s="272">
        <f>+B129</f>
        <v>-25000</v>
      </c>
      <c r="C131" s="272">
        <f>C119</f>
        <v>20000</v>
      </c>
      <c r="D131" s="272">
        <f t="shared" ref="D131:G131" si="26">D119</f>
        <v>20000</v>
      </c>
      <c r="E131" s="272">
        <f t="shared" si="26"/>
        <v>20000</v>
      </c>
      <c r="F131" s="272">
        <f t="shared" si="26"/>
        <v>20000</v>
      </c>
      <c r="G131" s="272">
        <f t="shared" si="26"/>
        <v>20000</v>
      </c>
      <c r="H131" s="272">
        <f>+SUM(B131:G131)</f>
        <v>75000</v>
      </c>
      <c r="I131" s="267"/>
      <c r="J131" s="267"/>
      <c r="K131" s="267"/>
      <c r="L131" s="267"/>
      <c r="M131" s="267"/>
      <c r="N131" s="267"/>
      <c r="O131" s="267"/>
      <c r="P131" s="267"/>
      <c r="Q131" s="267"/>
    </row>
    <row r="132" spans="1:17" ht="23.25" x14ac:dyDescent="0.35">
      <c r="A132" s="276" t="s">
        <v>10</v>
      </c>
      <c r="B132" s="277">
        <f>B120</f>
        <v>0.12</v>
      </c>
      <c r="C132" s="268"/>
      <c r="D132" s="268"/>
      <c r="E132" s="268"/>
      <c r="F132" s="268"/>
      <c r="G132" s="268"/>
      <c r="H132" s="269"/>
      <c r="I132" s="267"/>
      <c r="J132" s="267"/>
      <c r="K132" s="267"/>
      <c r="L132" s="267"/>
      <c r="M132" s="267"/>
      <c r="N132" s="267"/>
      <c r="O132" s="267"/>
      <c r="P132" s="267"/>
      <c r="Q132" s="267"/>
    </row>
    <row r="133" spans="1:17" ht="23.25" x14ac:dyDescent="0.35">
      <c r="A133" s="288"/>
      <c r="B133" s="289"/>
      <c r="C133" s="268"/>
      <c r="D133" s="268"/>
      <c r="E133" s="268"/>
      <c r="F133" s="268"/>
      <c r="G133" s="268"/>
      <c r="H133" s="269"/>
      <c r="I133" s="267"/>
      <c r="J133" s="267"/>
      <c r="K133" s="267"/>
      <c r="L133" s="267"/>
      <c r="M133" s="267"/>
      <c r="N133" s="267"/>
      <c r="O133" s="267"/>
      <c r="P133" s="267"/>
      <c r="Q133" s="267"/>
    </row>
    <row r="134" spans="1:17" ht="23.25" x14ac:dyDescent="0.35">
      <c r="A134" s="279" t="s">
        <v>139</v>
      </c>
      <c r="B134" s="290">
        <f>+IRR(B130:G131,B132)</f>
        <v>0.11575947622605209</v>
      </c>
      <c r="C134" s="270"/>
      <c r="D134" s="267"/>
      <c r="E134" s="267"/>
      <c r="F134" s="267"/>
      <c r="G134" s="267"/>
      <c r="H134" s="267"/>
      <c r="I134" s="267"/>
      <c r="J134" s="267"/>
      <c r="K134" s="267"/>
      <c r="L134" s="267"/>
      <c r="M134" s="267"/>
      <c r="N134" s="267"/>
      <c r="O134" s="267"/>
      <c r="P134" s="267"/>
      <c r="Q134" s="267"/>
    </row>
    <row r="135" spans="1:17" ht="23.25" x14ac:dyDescent="0.35">
      <c r="A135" s="267"/>
      <c r="B135" s="267"/>
      <c r="C135" s="267"/>
      <c r="D135" s="267"/>
      <c r="E135" s="267"/>
      <c r="F135" s="267"/>
      <c r="G135" s="267"/>
      <c r="H135" s="267"/>
      <c r="I135" s="267"/>
      <c r="J135" s="267"/>
      <c r="K135" s="267"/>
      <c r="L135" s="267"/>
      <c r="M135" s="267"/>
      <c r="N135" s="267"/>
      <c r="O135" s="267"/>
      <c r="P135" s="267"/>
      <c r="Q135" s="267"/>
    </row>
    <row r="136" spans="1:17" ht="23.25" x14ac:dyDescent="0.35">
      <c r="A136" s="267"/>
      <c r="B136" s="267"/>
      <c r="C136" s="267"/>
      <c r="D136" s="267"/>
      <c r="E136" s="267"/>
      <c r="F136" s="267"/>
      <c r="G136" s="267"/>
      <c r="H136" s="267"/>
      <c r="I136" s="267"/>
      <c r="J136" s="267"/>
      <c r="K136" s="267"/>
      <c r="L136" s="267"/>
      <c r="M136" s="267"/>
      <c r="N136" s="267"/>
      <c r="O136" s="267"/>
      <c r="P136" s="267"/>
      <c r="Q136" s="267"/>
    </row>
    <row r="137" spans="1:17" ht="23.25" x14ac:dyDescent="0.35">
      <c r="A137" s="267"/>
      <c r="B137" s="267"/>
      <c r="C137" s="267"/>
      <c r="D137" s="267"/>
      <c r="E137" s="267"/>
      <c r="F137" s="267"/>
      <c r="G137" s="267"/>
      <c r="H137" s="267"/>
      <c r="I137" s="267"/>
      <c r="J137" s="267"/>
      <c r="K137" s="267"/>
      <c r="L137" s="267"/>
      <c r="M137" s="267"/>
      <c r="N137" s="267"/>
      <c r="O137" s="267"/>
      <c r="P137" s="267"/>
      <c r="Q137" s="267"/>
    </row>
    <row r="138" spans="1:17" ht="23.25" x14ac:dyDescent="0.35">
      <c r="A138" s="271" t="str">
        <f>A127</f>
        <v>Projeto SAL</v>
      </c>
      <c r="B138" s="271" t="s">
        <v>13</v>
      </c>
      <c r="C138" s="271" t="s">
        <v>14</v>
      </c>
      <c r="D138" s="271" t="s">
        <v>15</v>
      </c>
      <c r="E138" s="271" t="s">
        <v>16</v>
      </c>
      <c r="F138" s="271" t="s">
        <v>17</v>
      </c>
      <c r="G138" s="271" t="s">
        <v>18</v>
      </c>
      <c r="H138" s="271" t="s">
        <v>19</v>
      </c>
      <c r="I138" s="267"/>
      <c r="J138" s="267"/>
      <c r="K138" s="267"/>
      <c r="L138" s="267"/>
      <c r="M138" s="267"/>
      <c r="N138" s="267"/>
      <c r="O138" s="267"/>
      <c r="P138" s="267"/>
      <c r="Q138" s="267"/>
    </row>
    <row r="139" spans="1:17" ht="23.25" x14ac:dyDescent="0.35">
      <c r="A139" s="291" t="s">
        <v>8</v>
      </c>
      <c r="B139" s="274" t="s">
        <v>0</v>
      </c>
      <c r="C139" s="274" t="s">
        <v>1</v>
      </c>
      <c r="D139" s="274" t="s">
        <v>2</v>
      </c>
      <c r="E139" s="274" t="s">
        <v>3</v>
      </c>
      <c r="F139" s="274" t="s">
        <v>4</v>
      </c>
      <c r="G139" s="274" t="s">
        <v>5</v>
      </c>
      <c r="H139" s="274" t="s">
        <v>6</v>
      </c>
      <c r="I139" s="270"/>
      <c r="J139" s="267"/>
      <c r="K139" s="267"/>
      <c r="L139" s="267"/>
      <c r="M139" s="267"/>
      <c r="N139" s="267"/>
      <c r="O139" s="267"/>
      <c r="P139" s="267"/>
      <c r="Q139" s="267"/>
    </row>
    <row r="140" spans="1:17" ht="23.25" x14ac:dyDescent="0.35">
      <c r="A140" s="275" t="s">
        <v>12</v>
      </c>
      <c r="B140" s="272">
        <f>B129</f>
        <v>-25000</v>
      </c>
      <c r="C140" s="272"/>
      <c r="D140" s="272"/>
      <c r="E140" s="272"/>
      <c r="F140" s="272"/>
      <c r="G140" s="272"/>
      <c r="H140" s="272">
        <f t="shared" ref="H140:H141" si="27">+SUM(B140:G140)</f>
        <v>-25000</v>
      </c>
      <c r="I140" s="267"/>
      <c r="J140" s="267"/>
      <c r="K140" s="267"/>
      <c r="L140" s="267"/>
      <c r="M140" s="267"/>
      <c r="N140" s="267"/>
      <c r="O140" s="267"/>
      <c r="P140" s="267"/>
      <c r="Q140" s="267"/>
    </row>
    <row r="141" spans="1:17" ht="23.25" x14ac:dyDescent="0.35">
      <c r="A141" s="275" t="s">
        <v>11</v>
      </c>
      <c r="B141" s="272"/>
      <c r="C141" s="272"/>
      <c r="D141" s="272">
        <f t="shared" ref="D141:F141" si="28">D130</f>
        <v>-25000</v>
      </c>
      <c r="E141" s="272"/>
      <c r="F141" s="272">
        <f t="shared" si="28"/>
        <v>-15000</v>
      </c>
      <c r="G141" s="272"/>
      <c r="H141" s="272">
        <f t="shared" si="27"/>
        <v>-40000</v>
      </c>
      <c r="I141" s="267"/>
      <c r="J141" s="267"/>
      <c r="K141" s="267"/>
      <c r="L141" s="267"/>
      <c r="M141" s="267"/>
      <c r="N141" s="267"/>
      <c r="O141" s="267"/>
      <c r="P141" s="267"/>
      <c r="Q141" s="267"/>
    </row>
    <row r="142" spans="1:17" ht="23.25" x14ac:dyDescent="0.35">
      <c r="A142" s="275" t="s">
        <v>7</v>
      </c>
      <c r="B142" s="272">
        <f>+B140</f>
        <v>-25000</v>
      </c>
      <c r="C142" s="272">
        <f>C131</f>
        <v>20000</v>
      </c>
      <c r="D142" s="272">
        <f t="shared" ref="D142:G142" si="29">D131</f>
        <v>20000</v>
      </c>
      <c r="E142" s="272">
        <f t="shared" si="29"/>
        <v>20000</v>
      </c>
      <c r="F142" s="272">
        <f t="shared" si="29"/>
        <v>20000</v>
      </c>
      <c r="G142" s="272">
        <f t="shared" si="29"/>
        <v>20000</v>
      </c>
      <c r="H142" s="272">
        <f>+SUM(B142:G142)</f>
        <v>75000</v>
      </c>
      <c r="I142" s="267"/>
      <c r="J142" s="267"/>
      <c r="K142" s="267"/>
      <c r="L142" s="267"/>
      <c r="M142" s="267"/>
      <c r="N142" s="267"/>
      <c r="O142" s="267"/>
      <c r="P142" s="267"/>
      <c r="Q142" s="267"/>
    </row>
    <row r="143" spans="1:17" ht="23.25" x14ac:dyDescent="0.35">
      <c r="A143" s="276" t="s">
        <v>10</v>
      </c>
      <c r="B143" s="277">
        <f>B132</f>
        <v>0.12</v>
      </c>
      <c r="C143" s="268"/>
      <c r="D143" s="268"/>
      <c r="E143" s="268"/>
      <c r="F143" s="268"/>
      <c r="G143" s="268"/>
      <c r="H143" s="269"/>
      <c r="I143" s="267"/>
      <c r="J143" s="267"/>
      <c r="K143" s="267"/>
      <c r="L143" s="267"/>
      <c r="M143" s="267"/>
      <c r="N143" s="267"/>
      <c r="O143" s="267"/>
      <c r="P143" s="267"/>
      <c r="Q143" s="267"/>
    </row>
    <row r="144" spans="1:17" ht="23.25" x14ac:dyDescent="0.35">
      <c r="A144" s="288"/>
      <c r="B144" s="289"/>
      <c r="C144" s="268"/>
      <c r="D144" s="268"/>
      <c r="E144" s="268"/>
      <c r="F144" s="268"/>
      <c r="G144" s="268"/>
      <c r="H144" s="269"/>
      <c r="I144" s="267"/>
      <c r="J144" s="267"/>
      <c r="K144" s="267"/>
      <c r="L144" s="267"/>
      <c r="M144" s="267"/>
      <c r="N144" s="267"/>
      <c r="O144" s="267"/>
      <c r="P144" s="267"/>
      <c r="Q144" s="267"/>
    </row>
    <row r="145" spans="1:17" ht="23.25" x14ac:dyDescent="0.35">
      <c r="A145" s="276" t="s">
        <v>21</v>
      </c>
      <c r="B145" s="272">
        <f>B131</f>
        <v>-25000</v>
      </c>
      <c r="C145" s="272">
        <f t="shared" ref="C145:H145" si="30">+B145+C142+C141</f>
        <v>-5000</v>
      </c>
      <c r="D145" s="280">
        <f t="shared" si="30"/>
        <v>-10000</v>
      </c>
      <c r="E145" s="272">
        <f t="shared" si="30"/>
        <v>10000</v>
      </c>
      <c r="F145" s="272">
        <f t="shared" si="30"/>
        <v>15000</v>
      </c>
      <c r="G145" s="272">
        <f t="shared" si="30"/>
        <v>35000</v>
      </c>
      <c r="H145" s="272">
        <f t="shared" si="30"/>
        <v>70000</v>
      </c>
      <c r="I145" s="267"/>
      <c r="J145" s="267"/>
      <c r="K145" s="267"/>
      <c r="L145" s="267"/>
      <c r="M145" s="267"/>
      <c r="N145" s="267"/>
      <c r="O145" s="267"/>
      <c r="P145" s="267"/>
      <c r="Q145" s="267"/>
    </row>
    <row r="146" spans="1:17" ht="23.25" x14ac:dyDescent="0.35">
      <c r="A146" s="267"/>
      <c r="B146" s="267"/>
      <c r="C146" s="267"/>
      <c r="D146" s="267"/>
      <c r="E146" s="267"/>
      <c r="F146" s="267"/>
      <c r="G146" s="267"/>
      <c r="H146" s="267"/>
      <c r="I146" s="267"/>
      <c r="J146" s="267"/>
      <c r="K146" s="267"/>
      <c r="L146" s="267"/>
      <c r="M146" s="267"/>
      <c r="N146" s="267"/>
      <c r="O146" s="267"/>
      <c r="P146" s="267"/>
      <c r="Q146" s="267"/>
    </row>
    <row r="147" spans="1:17" ht="23.25" x14ac:dyDescent="0.35">
      <c r="A147" s="275" t="s">
        <v>20</v>
      </c>
      <c r="B147" s="292">
        <f>3+(-D145/(E142+E141))</f>
        <v>3.5</v>
      </c>
      <c r="C147" s="293"/>
      <c r="D147" s="267"/>
      <c r="E147" s="267"/>
      <c r="F147" s="267"/>
      <c r="G147" s="267"/>
      <c r="H147" s="267"/>
      <c r="I147" s="267"/>
      <c r="J147" s="267"/>
      <c r="K147" s="267"/>
      <c r="L147" s="267"/>
      <c r="M147" s="267"/>
      <c r="N147" s="267"/>
      <c r="O147" s="267"/>
      <c r="P147" s="267"/>
      <c r="Q147" s="267"/>
    </row>
    <row r="148" spans="1:17" ht="23.25" x14ac:dyDescent="0.35">
      <c r="A148" s="267"/>
      <c r="B148" s="267"/>
      <c r="C148" s="267"/>
      <c r="D148" s="267"/>
      <c r="E148" s="267"/>
      <c r="F148" s="267"/>
      <c r="G148" s="267"/>
      <c r="H148" s="267"/>
      <c r="I148" s="267"/>
      <c r="J148" s="267"/>
      <c r="K148" s="267"/>
      <c r="L148" s="267"/>
      <c r="M148" s="267"/>
      <c r="N148" s="267"/>
      <c r="O148" s="267"/>
      <c r="P148" s="267"/>
      <c r="Q148" s="267"/>
    </row>
    <row r="149" spans="1:17" ht="23.25" x14ac:dyDescent="0.35">
      <c r="A149" s="267"/>
      <c r="B149" s="267"/>
      <c r="C149" s="267"/>
      <c r="D149" s="267"/>
      <c r="E149" s="267"/>
      <c r="F149" s="267"/>
      <c r="G149" s="267"/>
      <c r="H149" s="267"/>
      <c r="I149" s="267"/>
      <c r="J149" s="267"/>
      <c r="K149" s="267"/>
      <c r="L149" s="267"/>
      <c r="M149" s="267"/>
      <c r="N149" s="267"/>
      <c r="O149" s="267"/>
      <c r="P149" s="267"/>
      <c r="Q149" s="267"/>
    </row>
    <row r="150" spans="1:17" s="212" customFormat="1" ht="23.25" x14ac:dyDescent="0.35">
      <c r="A150" s="294"/>
      <c r="B150" s="294"/>
      <c r="C150" s="294"/>
      <c r="D150" s="294"/>
      <c r="E150" s="294"/>
      <c r="F150" s="294"/>
      <c r="G150" s="294"/>
      <c r="H150" s="294"/>
      <c r="I150" s="294"/>
      <c r="J150" s="294"/>
      <c r="K150" s="294"/>
      <c r="L150" s="294"/>
      <c r="M150" s="294"/>
      <c r="N150" s="294"/>
      <c r="O150" s="294"/>
      <c r="P150" s="294"/>
      <c r="Q150" s="294"/>
    </row>
    <row r="151" spans="1:17" ht="23.25" x14ac:dyDescent="0.35">
      <c r="A151" s="296"/>
      <c r="B151" s="296"/>
      <c r="C151" s="296"/>
      <c r="D151" s="296"/>
      <c r="E151" s="296"/>
      <c r="F151" s="296"/>
      <c r="G151" s="296"/>
      <c r="H151" s="296"/>
      <c r="I151" s="267"/>
      <c r="J151" s="267"/>
      <c r="K151" s="267"/>
      <c r="L151" s="267"/>
      <c r="M151" s="267"/>
      <c r="N151" s="267"/>
      <c r="O151" s="267"/>
      <c r="P151" s="267"/>
      <c r="Q151" s="267"/>
    </row>
    <row r="152" spans="1:17" ht="23.25" x14ac:dyDescent="0.35">
      <c r="A152" s="271" t="str">
        <f>'Programa de Invest'!A15</f>
        <v>Projeto PRAIA</v>
      </c>
      <c r="B152" s="271" t="s">
        <v>13</v>
      </c>
      <c r="C152" s="271" t="s">
        <v>14</v>
      </c>
      <c r="D152" s="271" t="s">
        <v>15</v>
      </c>
      <c r="E152" s="271" t="s">
        <v>16</v>
      </c>
      <c r="F152" s="271" t="s">
        <v>17</v>
      </c>
      <c r="G152" s="271" t="s">
        <v>18</v>
      </c>
      <c r="H152" s="271" t="s">
        <v>19</v>
      </c>
      <c r="I152" s="267"/>
      <c r="J152" s="267"/>
      <c r="K152" s="267"/>
      <c r="L152" s="267"/>
      <c r="M152" s="267"/>
      <c r="N152" s="267"/>
      <c r="O152" s="267"/>
      <c r="P152" s="267"/>
      <c r="Q152" s="267"/>
    </row>
    <row r="153" spans="1:17" ht="23.25" x14ac:dyDescent="0.35">
      <c r="A153" s="273" t="s">
        <v>8</v>
      </c>
      <c r="B153" s="274" t="s">
        <v>0</v>
      </c>
      <c r="C153" s="274" t="s">
        <v>1</v>
      </c>
      <c r="D153" s="274" t="s">
        <v>2</v>
      </c>
      <c r="E153" s="274" t="s">
        <v>3</v>
      </c>
      <c r="F153" s="274" t="s">
        <v>4</v>
      </c>
      <c r="G153" s="274" t="s">
        <v>5</v>
      </c>
      <c r="H153" s="274" t="s">
        <v>6</v>
      </c>
      <c r="I153" s="270"/>
      <c r="J153" s="267"/>
      <c r="K153" s="267"/>
      <c r="L153" s="267"/>
      <c r="M153" s="267"/>
      <c r="N153" s="267"/>
      <c r="O153" s="267"/>
      <c r="P153" s="267"/>
      <c r="Q153" s="267"/>
    </row>
    <row r="154" spans="1:17" ht="23.25" x14ac:dyDescent="0.35">
      <c r="A154" s="275" t="s">
        <v>12</v>
      </c>
      <c r="B154" s="272">
        <f>'Programa de Invest'!B15</f>
        <v>20000</v>
      </c>
      <c r="C154" s="272"/>
      <c r="D154" s="269"/>
      <c r="E154" s="272"/>
      <c r="F154" s="272"/>
      <c r="G154" s="272"/>
      <c r="H154" s="272">
        <f t="shared" ref="H154:H155" si="31">+SUM(B154:G154)</f>
        <v>20000</v>
      </c>
      <c r="I154" s="267"/>
      <c r="J154" s="267"/>
      <c r="K154" s="267"/>
      <c r="L154" s="267"/>
      <c r="M154" s="267"/>
      <c r="N154" s="267"/>
      <c r="O154" s="267"/>
      <c r="P154" s="267"/>
      <c r="Q154" s="267"/>
    </row>
    <row r="155" spans="1:17" ht="23.25" x14ac:dyDescent="0.35">
      <c r="A155" s="275" t="s">
        <v>11</v>
      </c>
      <c r="B155" s="269">
        <f>+NPV(B157,C155:E155)</f>
        <v>40491.754737609328</v>
      </c>
      <c r="C155" s="272">
        <f>'Programa de Invest'!C15</f>
        <v>20000</v>
      </c>
      <c r="D155" s="272">
        <f>'Programa de Invest'!D15</f>
        <v>15000</v>
      </c>
      <c r="E155" s="272">
        <f>'Programa de Invest'!E15</f>
        <v>15000</v>
      </c>
      <c r="F155" s="272"/>
      <c r="G155" s="272"/>
      <c r="H155" s="272">
        <f t="shared" si="31"/>
        <v>90491.754737609328</v>
      </c>
      <c r="I155" s="267"/>
      <c r="J155" s="267"/>
      <c r="K155" s="267"/>
      <c r="L155" s="267"/>
      <c r="M155" s="267"/>
      <c r="N155" s="267"/>
      <c r="O155" s="267"/>
      <c r="P155" s="267"/>
      <c r="Q155" s="267"/>
    </row>
    <row r="156" spans="1:17" ht="23.25" x14ac:dyDescent="0.35">
      <c r="A156" s="275" t="s">
        <v>7</v>
      </c>
      <c r="B156" s="272">
        <f>-B154</f>
        <v>-20000</v>
      </c>
      <c r="C156" s="272">
        <f>'Programa de Invest'!C30</f>
        <v>20000</v>
      </c>
      <c r="D156" s="272">
        <f>'Programa de Invest'!D30</f>
        <v>26000</v>
      </c>
      <c r="E156" s="272">
        <f>'Programa de Invest'!E30</f>
        <v>33800</v>
      </c>
      <c r="F156" s="272">
        <f>'Programa de Invest'!F30</f>
        <v>43940</v>
      </c>
      <c r="G156" s="272">
        <f>'Programa de Invest'!G30</f>
        <v>57122</v>
      </c>
      <c r="H156" s="272">
        <f>+SUM(B156:G156)</f>
        <v>160862</v>
      </c>
      <c r="I156" s="267"/>
      <c r="J156" s="267"/>
      <c r="K156" s="267"/>
      <c r="L156" s="267"/>
      <c r="M156" s="267"/>
      <c r="N156" s="267"/>
      <c r="O156" s="267"/>
      <c r="P156" s="267"/>
      <c r="Q156" s="267"/>
    </row>
    <row r="157" spans="1:17" ht="23.25" x14ac:dyDescent="0.35">
      <c r="A157" s="276" t="s">
        <v>10</v>
      </c>
      <c r="B157" s="277">
        <f>'[2]Programa de Invest'!$B$37</f>
        <v>0.12</v>
      </c>
      <c r="C157" s="268"/>
      <c r="D157" s="268"/>
      <c r="E157" s="268"/>
      <c r="F157" s="268"/>
      <c r="G157" s="268"/>
      <c r="H157" s="269"/>
      <c r="I157" s="267"/>
      <c r="J157" s="267"/>
      <c r="K157" s="267"/>
      <c r="L157" s="267"/>
      <c r="M157" s="267"/>
      <c r="N157" s="267"/>
      <c r="O157" s="267"/>
      <c r="P157" s="267"/>
      <c r="Q157" s="267"/>
    </row>
    <row r="158" spans="1:17" ht="23.25" x14ac:dyDescent="0.35">
      <c r="A158" s="267"/>
      <c r="B158" s="278"/>
      <c r="C158" s="269"/>
      <c r="D158" s="269"/>
      <c r="E158" s="269"/>
      <c r="F158" s="269"/>
      <c r="G158" s="269"/>
      <c r="H158" s="268"/>
      <c r="I158" s="267"/>
      <c r="J158" s="267"/>
      <c r="K158" s="267"/>
      <c r="L158" s="267"/>
      <c r="M158" s="267"/>
      <c r="N158" s="267"/>
      <c r="O158" s="267"/>
      <c r="P158" s="267"/>
      <c r="Q158" s="267"/>
    </row>
    <row r="159" spans="1:17" ht="23.25" x14ac:dyDescent="0.35">
      <c r="A159" s="279" t="s">
        <v>138</v>
      </c>
      <c r="B159" s="280">
        <f>+NPV(B157,C156:G156)-(B154+NPV(B157,C155:G155))</f>
        <v>62487.822529419427</v>
      </c>
      <c r="C159" s="281"/>
      <c r="D159" s="267"/>
      <c r="E159" s="267"/>
      <c r="F159" s="267"/>
      <c r="G159" s="267"/>
      <c r="H159" s="267"/>
      <c r="I159" s="267"/>
      <c r="J159" s="267"/>
      <c r="K159" s="267"/>
      <c r="L159" s="267"/>
      <c r="M159" s="267"/>
      <c r="N159" s="267"/>
      <c r="O159" s="267"/>
      <c r="P159" s="267"/>
      <c r="Q159" s="267"/>
    </row>
    <row r="160" spans="1:17" ht="23.25" x14ac:dyDescent="0.35">
      <c r="A160" s="268"/>
      <c r="B160" s="268"/>
      <c r="C160" s="267"/>
      <c r="D160" s="267"/>
      <c r="E160" s="267"/>
      <c r="F160" s="267"/>
      <c r="G160" s="267"/>
      <c r="H160" s="267"/>
      <c r="I160" s="267"/>
      <c r="J160" s="267"/>
      <c r="K160" s="267"/>
      <c r="L160" s="267"/>
      <c r="M160" s="267"/>
      <c r="N160" s="267"/>
      <c r="O160" s="267"/>
      <c r="P160" s="267"/>
      <c r="Q160" s="267"/>
    </row>
    <row r="161" spans="1:17" ht="23.25" x14ac:dyDescent="0.35">
      <c r="A161" s="282" t="s">
        <v>24</v>
      </c>
      <c r="B161" s="283">
        <f>+(B159/(B154+B155))+1</f>
        <v>2.0329973531180952</v>
      </c>
      <c r="C161" s="284"/>
      <c r="D161" s="267"/>
      <c r="E161" s="270"/>
      <c r="F161" s="267"/>
      <c r="G161" s="267"/>
      <c r="H161" s="267"/>
      <c r="I161" s="267"/>
      <c r="J161" s="267"/>
      <c r="K161" s="267"/>
      <c r="L161" s="267"/>
      <c r="M161" s="267"/>
      <c r="N161" s="267"/>
      <c r="O161" s="267"/>
      <c r="P161" s="267"/>
      <c r="Q161" s="267"/>
    </row>
    <row r="162" spans="1:17" ht="23.25" x14ac:dyDescent="0.35">
      <c r="A162" s="285"/>
      <c r="B162" s="286"/>
      <c r="C162" s="286"/>
      <c r="D162" s="287"/>
      <c r="E162" s="267"/>
      <c r="F162" s="267"/>
      <c r="G162" s="267"/>
      <c r="H162" s="267"/>
      <c r="I162" s="267"/>
      <c r="J162" s="267"/>
      <c r="K162" s="267"/>
      <c r="L162" s="267"/>
      <c r="M162" s="267"/>
      <c r="N162" s="267"/>
      <c r="O162" s="267"/>
      <c r="P162" s="267"/>
      <c r="Q162" s="267"/>
    </row>
    <row r="163" spans="1:17" ht="23.25" x14ac:dyDescent="0.35">
      <c r="A163" s="285"/>
      <c r="B163" s="286"/>
      <c r="C163" s="286"/>
      <c r="D163" s="287"/>
      <c r="E163" s="267"/>
      <c r="F163" s="267"/>
      <c r="G163" s="267"/>
      <c r="H163" s="267"/>
      <c r="I163" s="267"/>
      <c r="J163" s="267"/>
      <c r="K163" s="267"/>
      <c r="L163" s="267"/>
      <c r="M163" s="267"/>
      <c r="N163" s="267"/>
      <c r="O163" s="267"/>
      <c r="P163" s="267"/>
      <c r="Q163" s="267"/>
    </row>
    <row r="164" spans="1:17" ht="23.25" x14ac:dyDescent="0.35">
      <c r="A164" s="271" t="str">
        <f>A152</f>
        <v>Projeto PRAIA</v>
      </c>
      <c r="B164" s="271" t="s">
        <v>13</v>
      </c>
      <c r="C164" s="271" t="s">
        <v>14</v>
      </c>
      <c r="D164" s="271" t="s">
        <v>15</v>
      </c>
      <c r="E164" s="271" t="s">
        <v>16</v>
      </c>
      <c r="F164" s="271" t="s">
        <v>17</v>
      </c>
      <c r="G164" s="271" t="s">
        <v>18</v>
      </c>
      <c r="H164" s="271" t="s">
        <v>19</v>
      </c>
      <c r="I164" s="267"/>
      <c r="J164" s="267"/>
      <c r="K164" s="267"/>
      <c r="L164" s="267"/>
      <c r="M164" s="267"/>
      <c r="N164" s="267"/>
      <c r="O164" s="267"/>
      <c r="P164" s="267"/>
      <c r="Q164" s="267"/>
    </row>
    <row r="165" spans="1:17" ht="23.25" x14ac:dyDescent="0.35">
      <c r="A165" s="273" t="s">
        <v>8</v>
      </c>
      <c r="B165" s="274" t="s">
        <v>0</v>
      </c>
      <c r="C165" s="274" t="s">
        <v>1</v>
      </c>
      <c r="D165" s="274" t="s">
        <v>2</v>
      </c>
      <c r="E165" s="274" t="s">
        <v>3</v>
      </c>
      <c r="F165" s="274" t="s">
        <v>4</v>
      </c>
      <c r="G165" s="274" t="s">
        <v>5</v>
      </c>
      <c r="H165" s="274" t="s">
        <v>6</v>
      </c>
      <c r="I165" s="270"/>
      <c r="J165" s="267"/>
      <c r="K165" s="267"/>
      <c r="L165" s="267"/>
      <c r="M165" s="267"/>
      <c r="N165" s="267"/>
      <c r="O165" s="267"/>
      <c r="P165" s="267"/>
      <c r="Q165" s="267"/>
    </row>
    <row r="166" spans="1:17" ht="23.25" x14ac:dyDescent="0.35">
      <c r="A166" s="275" t="s">
        <v>12</v>
      </c>
      <c r="B166" s="272">
        <f>-B154</f>
        <v>-20000</v>
      </c>
      <c r="C166" s="272"/>
      <c r="D166" s="269"/>
      <c r="E166" s="272"/>
      <c r="F166" s="272"/>
      <c r="G166" s="272"/>
      <c r="H166" s="272">
        <f t="shared" ref="H166:H167" si="32">+SUM(B166:G166)</f>
        <v>-20000</v>
      </c>
      <c r="I166" s="267"/>
      <c r="J166" s="267"/>
      <c r="K166" s="267"/>
      <c r="L166" s="267"/>
      <c r="M166" s="267"/>
      <c r="N166" s="267"/>
      <c r="O166" s="267"/>
      <c r="P166" s="267"/>
      <c r="Q166" s="267"/>
    </row>
    <row r="167" spans="1:17" ht="23.25" x14ac:dyDescent="0.35">
      <c r="A167" s="275" t="s">
        <v>11</v>
      </c>
      <c r="B167" s="272"/>
      <c r="C167" s="272">
        <f>-C155</f>
        <v>-20000</v>
      </c>
      <c r="D167" s="272">
        <f t="shared" ref="D167:E167" si="33">-D155</f>
        <v>-15000</v>
      </c>
      <c r="E167" s="272">
        <f t="shared" si="33"/>
        <v>-15000</v>
      </c>
      <c r="F167" s="272"/>
      <c r="G167" s="272"/>
      <c r="H167" s="272">
        <f t="shared" si="32"/>
        <v>-50000</v>
      </c>
      <c r="I167" s="267"/>
      <c r="J167" s="267"/>
      <c r="K167" s="267"/>
      <c r="L167" s="267"/>
      <c r="M167" s="267"/>
      <c r="N167" s="267"/>
      <c r="O167" s="267"/>
      <c r="P167" s="267"/>
      <c r="Q167" s="267"/>
    </row>
    <row r="168" spans="1:17" ht="23.25" x14ac:dyDescent="0.35">
      <c r="A168" s="275" t="s">
        <v>7</v>
      </c>
      <c r="B168" s="272">
        <f>+B166</f>
        <v>-20000</v>
      </c>
      <c r="C168" s="272">
        <f>C156</f>
        <v>20000</v>
      </c>
      <c r="D168" s="272">
        <f t="shared" ref="D168:G168" si="34">D156</f>
        <v>26000</v>
      </c>
      <c r="E168" s="272">
        <f t="shared" si="34"/>
        <v>33800</v>
      </c>
      <c r="F168" s="272">
        <f t="shared" si="34"/>
        <v>43940</v>
      </c>
      <c r="G168" s="272">
        <f t="shared" si="34"/>
        <v>57122</v>
      </c>
      <c r="H168" s="272">
        <f>+SUM(B168:G168)</f>
        <v>160862</v>
      </c>
      <c r="I168" s="267"/>
      <c r="J168" s="267"/>
      <c r="K168" s="267"/>
      <c r="L168" s="267"/>
      <c r="M168" s="267"/>
      <c r="N168" s="267"/>
      <c r="O168" s="267"/>
      <c r="P168" s="267"/>
      <c r="Q168" s="267"/>
    </row>
    <row r="169" spans="1:17" ht="23.25" x14ac:dyDescent="0.35">
      <c r="A169" s="276" t="s">
        <v>10</v>
      </c>
      <c r="B169" s="277">
        <f>B157</f>
        <v>0.12</v>
      </c>
      <c r="C169" s="268"/>
      <c r="D169" s="268"/>
      <c r="E169" s="268"/>
      <c r="F169" s="268"/>
      <c r="G169" s="268"/>
      <c r="H169" s="269"/>
      <c r="I169" s="267"/>
      <c r="J169" s="267"/>
      <c r="K169" s="267"/>
      <c r="L169" s="267"/>
      <c r="M169" s="267"/>
      <c r="N169" s="267"/>
      <c r="O169" s="267"/>
      <c r="P169" s="267"/>
      <c r="Q169" s="267"/>
    </row>
    <row r="170" spans="1:17" ht="23.25" x14ac:dyDescent="0.35">
      <c r="A170" s="288"/>
      <c r="B170" s="289"/>
      <c r="C170" s="268"/>
      <c r="D170" s="268"/>
      <c r="E170" s="268"/>
      <c r="F170" s="268"/>
      <c r="G170" s="268"/>
      <c r="H170" s="269"/>
      <c r="I170" s="267"/>
      <c r="J170" s="267"/>
      <c r="K170" s="267"/>
      <c r="L170" s="267"/>
      <c r="M170" s="267"/>
      <c r="N170" s="267"/>
      <c r="O170" s="267"/>
      <c r="P170" s="267"/>
      <c r="Q170" s="267"/>
    </row>
    <row r="171" spans="1:17" ht="23.25" x14ac:dyDescent="0.35">
      <c r="A171" s="279" t="s">
        <v>139</v>
      </c>
      <c r="B171" s="290">
        <f>+IRR(B167:G168,B169)</f>
        <v>0.21088976000434734</v>
      </c>
      <c r="C171" s="270"/>
      <c r="D171" s="267"/>
      <c r="E171" s="267"/>
      <c r="F171" s="267"/>
      <c r="G171" s="267"/>
      <c r="H171" s="267"/>
      <c r="I171" s="267"/>
      <c r="J171" s="267"/>
      <c r="K171" s="267"/>
      <c r="L171" s="267"/>
      <c r="M171" s="267"/>
      <c r="N171" s="267"/>
      <c r="O171" s="267"/>
      <c r="P171" s="267"/>
      <c r="Q171" s="267"/>
    </row>
    <row r="172" spans="1:17" ht="23.25" x14ac:dyDescent="0.35">
      <c r="A172" s="267"/>
      <c r="B172" s="267"/>
      <c r="C172" s="267"/>
      <c r="D172" s="267"/>
      <c r="E172" s="267"/>
      <c r="F172" s="267"/>
      <c r="G172" s="267"/>
      <c r="H172" s="267"/>
      <c r="I172" s="267"/>
      <c r="J172" s="267"/>
      <c r="K172" s="267"/>
      <c r="L172" s="267"/>
      <c r="M172" s="267"/>
      <c r="N172" s="267"/>
      <c r="O172" s="267"/>
      <c r="P172" s="267"/>
      <c r="Q172" s="267"/>
    </row>
    <row r="173" spans="1:17" ht="23.25" x14ac:dyDescent="0.35">
      <c r="A173" s="267"/>
      <c r="B173" s="267"/>
      <c r="C173" s="267"/>
      <c r="D173" s="267"/>
      <c r="E173" s="267"/>
      <c r="F173" s="267"/>
      <c r="G173" s="267"/>
      <c r="H173" s="267"/>
      <c r="I173" s="267"/>
      <c r="J173" s="267"/>
      <c r="K173" s="267"/>
      <c r="L173" s="267"/>
      <c r="M173" s="267"/>
      <c r="N173" s="267"/>
      <c r="O173" s="267"/>
      <c r="P173" s="267"/>
      <c r="Q173" s="267"/>
    </row>
    <row r="174" spans="1:17" ht="23.25" x14ac:dyDescent="0.35">
      <c r="A174" s="267"/>
      <c r="B174" s="267"/>
      <c r="C174" s="267"/>
      <c r="D174" s="267"/>
      <c r="E174" s="267"/>
      <c r="F174" s="267"/>
      <c r="G174" s="267"/>
      <c r="H174" s="267"/>
      <c r="I174" s="267"/>
      <c r="J174" s="267"/>
      <c r="K174" s="267"/>
      <c r="L174" s="267"/>
      <c r="M174" s="267"/>
      <c r="N174" s="267"/>
      <c r="O174" s="267"/>
      <c r="P174" s="267"/>
      <c r="Q174" s="267"/>
    </row>
    <row r="175" spans="1:17" ht="23.25" x14ac:dyDescent="0.35">
      <c r="A175" s="271" t="str">
        <f>A164</f>
        <v>Projeto PRAIA</v>
      </c>
      <c r="B175" s="271" t="s">
        <v>13</v>
      </c>
      <c r="C175" s="271" t="s">
        <v>14</v>
      </c>
      <c r="D175" s="271" t="s">
        <v>15</v>
      </c>
      <c r="E175" s="271" t="s">
        <v>16</v>
      </c>
      <c r="F175" s="271" t="s">
        <v>17</v>
      </c>
      <c r="G175" s="271" t="s">
        <v>18</v>
      </c>
      <c r="H175" s="271" t="s">
        <v>19</v>
      </c>
      <c r="I175" s="267"/>
      <c r="J175" s="267"/>
      <c r="K175" s="267"/>
      <c r="L175" s="267"/>
      <c r="M175" s="267"/>
      <c r="N175" s="267"/>
      <c r="O175" s="267"/>
      <c r="P175" s="267"/>
      <c r="Q175" s="267"/>
    </row>
    <row r="176" spans="1:17" ht="23.25" x14ac:dyDescent="0.35">
      <c r="A176" s="291" t="s">
        <v>8</v>
      </c>
      <c r="B176" s="274" t="s">
        <v>0</v>
      </c>
      <c r="C176" s="274" t="s">
        <v>1</v>
      </c>
      <c r="D176" s="274" t="s">
        <v>2</v>
      </c>
      <c r="E176" s="274" t="s">
        <v>3</v>
      </c>
      <c r="F176" s="274" t="s">
        <v>4</v>
      </c>
      <c r="G176" s="274" t="s">
        <v>5</v>
      </c>
      <c r="H176" s="274" t="s">
        <v>6</v>
      </c>
      <c r="I176" s="270"/>
      <c r="J176" s="267"/>
      <c r="K176" s="267"/>
      <c r="L176" s="267"/>
      <c r="M176" s="267"/>
      <c r="N176" s="267"/>
      <c r="O176" s="267"/>
      <c r="P176" s="267"/>
      <c r="Q176" s="267"/>
    </row>
    <row r="177" spans="1:17" ht="23.25" x14ac:dyDescent="0.35">
      <c r="A177" s="275" t="s">
        <v>12</v>
      </c>
      <c r="B177" s="272">
        <f>B166</f>
        <v>-20000</v>
      </c>
      <c r="C177" s="272"/>
      <c r="D177" s="272"/>
      <c r="E177" s="272"/>
      <c r="F177" s="272"/>
      <c r="G177" s="272"/>
      <c r="H177" s="272">
        <f t="shared" ref="H177:H178" si="35">+SUM(B177:G177)</f>
        <v>-20000</v>
      </c>
      <c r="I177" s="267"/>
      <c r="J177" s="267"/>
      <c r="K177" s="267"/>
      <c r="L177" s="267"/>
      <c r="M177" s="267"/>
      <c r="N177" s="267"/>
      <c r="O177" s="267"/>
      <c r="P177" s="267"/>
      <c r="Q177" s="267"/>
    </row>
    <row r="178" spans="1:17" ht="23.25" x14ac:dyDescent="0.35">
      <c r="A178" s="275" t="s">
        <v>11</v>
      </c>
      <c r="B178" s="272"/>
      <c r="C178" s="272">
        <f>C167</f>
        <v>-20000</v>
      </c>
      <c r="D178" s="272">
        <f t="shared" ref="D178:E178" si="36">D167</f>
        <v>-15000</v>
      </c>
      <c r="E178" s="272">
        <f t="shared" si="36"/>
        <v>-15000</v>
      </c>
      <c r="F178" s="272"/>
      <c r="G178" s="272"/>
      <c r="H178" s="272">
        <f t="shared" si="35"/>
        <v>-50000</v>
      </c>
      <c r="I178" s="267"/>
      <c r="J178" s="267"/>
      <c r="K178" s="267"/>
      <c r="L178" s="267"/>
      <c r="M178" s="267"/>
      <c r="N178" s="267"/>
      <c r="O178" s="267"/>
      <c r="P178" s="267"/>
      <c r="Q178" s="267"/>
    </row>
    <row r="179" spans="1:17" ht="23.25" x14ac:dyDescent="0.35">
      <c r="A179" s="275" t="s">
        <v>7</v>
      </c>
      <c r="B179" s="272">
        <f>+B177</f>
        <v>-20000</v>
      </c>
      <c r="C179" s="272">
        <f>C168</f>
        <v>20000</v>
      </c>
      <c r="D179" s="272">
        <f t="shared" ref="D179:G179" si="37">D168</f>
        <v>26000</v>
      </c>
      <c r="E179" s="272">
        <f t="shared" si="37"/>
        <v>33800</v>
      </c>
      <c r="F179" s="272">
        <f t="shared" si="37"/>
        <v>43940</v>
      </c>
      <c r="G179" s="272">
        <f t="shared" si="37"/>
        <v>57122</v>
      </c>
      <c r="H179" s="272">
        <f>+SUM(B179:G179)</f>
        <v>160862</v>
      </c>
      <c r="I179" s="267"/>
      <c r="J179" s="267"/>
      <c r="K179" s="267"/>
      <c r="L179" s="267"/>
      <c r="M179" s="267"/>
      <c r="N179" s="267"/>
      <c r="O179" s="267"/>
      <c r="P179" s="267"/>
      <c r="Q179" s="267"/>
    </row>
    <row r="180" spans="1:17" ht="23.25" x14ac:dyDescent="0.35">
      <c r="A180" s="276" t="s">
        <v>10</v>
      </c>
      <c r="B180" s="277">
        <f>B169</f>
        <v>0.12</v>
      </c>
      <c r="C180" s="268"/>
      <c r="D180" s="268"/>
      <c r="E180" s="268"/>
      <c r="F180" s="268"/>
      <c r="G180" s="268"/>
      <c r="H180" s="269"/>
      <c r="I180" s="267"/>
      <c r="J180" s="267"/>
      <c r="K180" s="267"/>
      <c r="L180" s="267"/>
      <c r="M180" s="267"/>
      <c r="N180" s="267"/>
      <c r="O180" s="267"/>
      <c r="P180" s="267"/>
      <c r="Q180" s="267"/>
    </row>
    <row r="181" spans="1:17" ht="23.25" x14ac:dyDescent="0.35">
      <c r="A181" s="288"/>
      <c r="B181" s="289"/>
      <c r="C181" s="268"/>
      <c r="D181" s="268"/>
      <c r="E181" s="268"/>
      <c r="F181" s="268"/>
      <c r="G181" s="268"/>
      <c r="H181" s="269"/>
      <c r="I181" s="267"/>
      <c r="J181" s="267"/>
      <c r="K181" s="267"/>
      <c r="L181" s="267"/>
      <c r="M181" s="267"/>
      <c r="N181" s="267"/>
      <c r="O181" s="267"/>
      <c r="P181" s="267"/>
      <c r="Q181" s="267"/>
    </row>
    <row r="182" spans="1:17" ht="23.25" x14ac:dyDescent="0.35">
      <c r="A182" s="276" t="s">
        <v>21</v>
      </c>
      <c r="B182" s="272">
        <f>B168</f>
        <v>-20000</v>
      </c>
      <c r="C182" s="272">
        <f t="shared" ref="C182:H182" si="38">+B182+C179+C178</f>
        <v>-20000</v>
      </c>
      <c r="D182" s="280">
        <f t="shared" si="38"/>
        <v>-9000</v>
      </c>
      <c r="E182" s="272">
        <f t="shared" si="38"/>
        <v>9800</v>
      </c>
      <c r="F182" s="272">
        <f t="shared" si="38"/>
        <v>53740</v>
      </c>
      <c r="G182" s="272">
        <f t="shared" si="38"/>
        <v>110862</v>
      </c>
      <c r="H182" s="272">
        <f t="shared" si="38"/>
        <v>221724</v>
      </c>
      <c r="I182" s="267"/>
      <c r="J182" s="267"/>
      <c r="K182" s="267"/>
      <c r="L182" s="267"/>
      <c r="M182" s="267"/>
      <c r="N182" s="267"/>
      <c r="O182" s="267"/>
      <c r="P182" s="267"/>
      <c r="Q182" s="267"/>
    </row>
    <row r="183" spans="1:17" ht="23.25" x14ac:dyDescent="0.35">
      <c r="A183" s="267"/>
      <c r="B183" s="267"/>
      <c r="C183" s="267"/>
      <c r="D183" s="267"/>
      <c r="E183" s="267"/>
      <c r="F183" s="267"/>
      <c r="G183" s="267"/>
      <c r="H183" s="267"/>
      <c r="I183" s="267"/>
      <c r="J183" s="267"/>
      <c r="K183" s="267"/>
      <c r="L183" s="267"/>
      <c r="M183" s="267"/>
      <c r="N183" s="267"/>
      <c r="O183" s="267"/>
      <c r="P183" s="267"/>
      <c r="Q183" s="267"/>
    </row>
    <row r="184" spans="1:17" ht="23.25" x14ac:dyDescent="0.35">
      <c r="A184" s="275" t="s">
        <v>20</v>
      </c>
      <c r="B184" s="292">
        <f>2+(-D182/(E179+E178))</f>
        <v>2.478723404255319</v>
      </c>
      <c r="C184" s="293"/>
      <c r="D184" s="267"/>
      <c r="E184" s="267"/>
      <c r="F184" s="267"/>
      <c r="G184" s="267"/>
      <c r="H184" s="267"/>
      <c r="I184" s="267"/>
      <c r="J184" s="267"/>
      <c r="K184" s="267"/>
      <c r="L184" s="267"/>
      <c r="M184" s="267"/>
      <c r="N184" s="267"/>
      <c r="O184" s="267"/>
      <c r="P184" s="267"/>
      <c r="Q184" s="267"/>
    </row>
    <row r="185" spans="1:17" ht="23.25" x14ac:dyDescent="0.35">
      <c r="A185" s="267"/>
      <c r="B185" s="267"/>
      <c r="C185" s="267"/>
      <c r="D185" s="267"/>
      <c r="E185" s="267"/>
      <c r="F185" s="267"/>
      <c r="G185" s="267"/>
      <c r="H185" s="267"/>
      <c r="I185" s="267"/>
      <c r="J185" s="267"/>
      <c r="K185" s="267"/>
      <c r="L185" s="267"/>
      <c r="M185" s="267"/>
      <c r="N185" s="267"/>
      <c r="O185" s="267"/>
      <c r="P185" s="267"/>
      <c r="Q185" s="267"/>
    </row>
    <row r="186" spans="1:17" ht="23.25" x14ac:dyDescent="0.35">
      <c r="A186" s="267"/>
      <c r="B186" s="267"/>
      <c r="C186" s="267"/>
      <c r="D186" s="267"/>
      <c r="E186" s="267"/>
      <c r="F186" s="267"/>
      <c r="G186" s="267"/>
      <c r="H186" s="267"/>
      <c r="I186" s="267"/>
      <c r="J186" s="267"/>
      <c r="K186" s="267"/>
      <c r="L186" s="267"/>
      <c r="M186" s="267"/>
      <c r="N186" s="267"/>
      <c r="O186" s="267"/>
      <c r="P186" s="267"/>
      <c r="Q186" s="267"/>
    </row>
    <row r="187" spans="1:17" s="212" customFormat="1" ht="23.25" x14ac:dyDescent="0.35">
      <c r="A187" s="294"/>
      <c r="B187" s="294"/>
      <c r="C187" s="294"/>
      <c r="D187" s="294"/>
      <c r="E187" s="294"/>
      <c r="F187" s="294"/>
      <c r="G187" s="294"/>
      <c r="H187" s="294"/>
      <c r="I187" s="294"/>
      <c r="J187" s="294"/>
      <c r="K187" s="294"/>
      <c r="L187" s="294"/>
      <c r="M187" s="294"/>
      <c r="N187" s="294"/>
      <c r="O187" s="294"/>
      <c r="P187" s="294"/>
      <c r="Q187" s="294"/>
    </row>
    <row r="188" spans="1:17" ht="23.25" x14ac:dyDescent="0.35">
      <c r="A188" s="296"/>
      <c r="B188" s="296"/>
      <c r="C188" s="296"/>
      <c r="D188" s="296"/>
      <c r="E188" s="296"/>
      <c r="F188" s="296"/>
      <c r="G188" s="296"/>
      <c r="H188" s="296"/>
      <c r="I188" s="267"/>
      <c r="J188" s="267"/>
      <c r="K188" s="267"/>
      <c r="L188" s="267"/>
      <c r="M188" s="267"/>
      <c r="N188" s="267"/>
      <c r="O188" s="267"/>
      <c r="P188" s="267"/>
      <c r="Q188" s="267"/>
    </row>
    <row r="189" spans="1:17" ht="23.25" x14ac:dyDescent="0.35">
      <c r="A189" s="296"/>
      <c r="B189" s="296"/>
      <c r="C189" s="296"/>
      <c r="D189" s="296"/>
      <c r="E189" s="296"/>
      <c r="F189" s="296"/>
      <c r="G189" s="296"/>
      <c r="H189" s="296"/>
      <c r="I189" s="267"/>
      <c r="J189" s="267"/>
      <c r="K189" s="267"/>
      <c r="L189" s="267"/>
      <c r="M189" s="267"/>
      <c r="N189" s="267"/>
      <c r="O189" s="267"/>
      <c r="P189" s="267"/>
      <c r="Q189" s="267"/>
    </row>
    <row r="190" spans="1:17" ht="23.25" x14ac:dyDescent="0.35">
      <c r="A190" s="271" t="str">
        <f>'Programa de Invest'!A17</f>
        <v>Projeto DAMA</v>
      </c>
      <c r="B190" s="271" t="s">
        <v>13</v>
      </c>
      <c r="C190" s="271" t="s">
        <v>14</v>
      </c>
      <c r="D190" s="271" t="s">
        <v>15</v>
      </c>
      <c r="E190" s="271" t="s">
        <v>16</v>
      </c>
      <c r="F190" s="271" t="s">
        <v>17</v>
      </c>
      <c r="G190" s="271" t="s">
        <v>18</v>
      </c>
      <c r="H190" s="271" t="s">
        <v>19</v>
      </c>
      <c r="I190" s="267"/>
      <c r="J190" s="267"/>
      <c r="K190" s="267"/>
      <c r="L190" s="267"/>
      <c r="M190" s="267"/>
      <c r="N190" s="267"/>
      <c r="O190" s="267"/>
      <c r="P190" s="267"/>
      <c r="Q190" s="267"/>
    </row>
    <row r="191" spans="1:17" ht="23.25" x14ac:dyDescent="0.35">
      <c r="A191" s="273" t="s">
        <v>8</v>
      </c>
      <c r="B191" s="274" t="s">
        <v>0</v>
      </c>
      <c r="C191" s="274" t="s">
        <v>1</v>
      </c>
      <c r="D191" s="274" t="s">
        <v>2</v>
      </c>
      <c r="E191" s="274" t="s">
        <v>3</v>
      </c>
      <c r="F191" s="274" t="s">
        <v>4</v>
      </c>
      <c r="G191" s="274" t="s">
        <v>5</v>
      </c>
      <c r="H191" s="274" t="s">
        <v>6</v>
      </c>
      <c r="I191" s="270"/>
      <c r="J191" s="267"/>
      <c r="K191" s="267"/>
      <c r="L191" s="267"/>
      <c r="M191" s="267"/>
      <c r="N191" s="267"/>
      <c r="O191" s="267"/>
      <c r="P191" s="267"/>
      <c r="Q191" s="267"/>
    </row>
    <row r="192" spans="1:17" ht="23.25" x14ac:dyDescent="0.35">
      <c r="A192" s="275" t="s">
        <v>12</v>
      </c>
      <c r="B192" s="272">
        <f>'Programa de Invest'!B17</f>
        <v>12500</v>
      </c>
      <c r="C192" s="272"/>
      <c r="D192" s="269"/>
      <c r="E192" s="272"/>
      <c r="F192" s="272"/>
      <c r="G192" s="272"/>
      <c r="H192" s="272">
        <f t="shared" ref="H192:H193" si="39">+SUM(B192:G192)</f>
        <v>12500</v>
      </c>
      <c r="I192" s="267"/>
      <c r="J192" s="267"/>
      <c r="K192" s="267"/>
      <c r="L192" s="267"/>
      <c r="M192" s="267"/>
      <c r="N192" s="267"/>
      <c r="O192" s="267"/>
      <c r="P192" s="267"/>
      <c r="Q192" s="267"/>
    </row>
    <row r="193" spans="1:17" ht="23.25" x14ac:dyDescent="0.35">
      <c r="A193" s="275" t="s">
        <v>11</v>
      </c>
      <c r="B193" s="269">
        <f>+NPV(B195,C193:E193)</f>
        <v>30022.890852769669</v>
      </c>
      <c r="C193" s="272">
        <f>'Programa de Invest'!C17</f>
        <v>12500</v>
      </c>
      <c r="D193" s="272">
        <f>'Programa de Invest'!D17</f>
        <v>12500</v>
      </c>
      <c r="E193" s="272">
        <f>'Programa de Invest'!E17</f>
        <v>12500</v>
      </c>
      <c r="F193" s="272">
        <f>'Programa de Invest'!F17</f>
        <v>12500</v>
      </c>
      <c r="G193" s="272">
        <f>'Programa de Invest'!G17</f>
        <v>12500</v>
      </c>
      <c r="H193" s="272">
        <f t="shared" si="39"/>
        <v>92522.890852769662</v>
      </c>
      <c r="I193" s="267"/>
      <c r="J193" s="267"/>
      <c r="K193" s="267"/>
      <c r="L193" s="267"/>
      <c r="M193" s="267"/>
      <c r="N193" s="267"/>
      <c r="O193" s="267"/>
      <c r="P193" s="267"/>
      <c r="Q193" s="267"/>
    </row>
    <row r="194" spans="1:17" ht="23.25" x14ac:dyDescent="0.35">
      <c r="A194" s="275" t="s">
        <v>7</v>
      </c>
      <c r="B194" s="272">
        <f>-B192</f>
        <v>-12500</v>
      </c>
      <c r="C194" s="272">
        <f>'Programa de Invest'!C32</f>
        <v>-10000</v>
      </c>
      <c r="D194" s="272">
        <f>'Programa de Invest'!D32</f>
        <v>30000</v>
      </c>
      <c r="E194" s="272">
        <f>'Programa de Invest'!E32</f>
        <v>40000</v>
      </c>
      <c r="F194" s="272">
        <f>'Programa de Invest'!F32</f>
        <v>50000</v>
      </c>
      <c r="G194" s="272">
        <f>'Programa de Invest'!G32</f>
        <v>60000</v>
      </c>
      <c r="H194" s="272">
        <f>+SUM(B194:G194)</f>
        <v>157500</v>
      </c>
      <c r="I194" s="267"/>
      <c r="J194" s="267"/>
      <c r="K194" s="267"/>
      <c r="L194" s="267"/>
      <c r="M194" s="267"/>
      <c r="N194" s="267"/>
      <c r="O194" s="267"/>
      <c r="P194" s="267"/>
      <c r="Q194" s="267"/>
    </row>
    <row r="195" spans="1:17" ht="23.25" x14ac:dyDescent="0.35">
      <c r="A195" s="276" t="s">
        <v>10</v>
      </c>
      <c r="B195" s="277">
        <f>'[2]Programa de Invest'!$B$37</f>
        <v>0.12</v>
      </c>
      <c r="C195" s="268"/>
      <c r="D195" s="268"/>
      <c r="E195" s="268"/>
      <c r="F195" s="268"/>
      <c r="G195" s="268"/>
      <c r="H195" s="269"/>
      <c r="I195" s="267"/>
      <c r="J195" s="267"/>
      <c r="K195" s="267"/>
      <c r="L195" s="267"/>
      <c r="M195" s="267"/>
      <c r="N195" s="267"/>
      <c r="O195" s="267"/>
      <c r="P195" s="267"/>
      <c r="Q195" s="267"/>
    </row>
    <row r="196" spans="1:17" ht="23.25" x14ac:dyDescent="0.35">
      <c r="A196" s="267"/>
      <c r="B196" s="278"/>
      <c r="C196" s="269"/>
      <c r="D196" s="269"/>
      <c r="E196" s="269"/>
      <c r="F196" s="269"/>
      <c r="G196" s="269"/>
      <c r="H196" s="268"/>
      <c r="I196" s="267"/>
      <c r="J196" s="267"/>
      <c r="K196" s="267"/>
      <c r="L196" s="267"/>
      <c r="M196" s="267"/>
      <c r="N196" s="267"/>
      <c r="O196" s="267"/>
      <c r="P196" s="267"/>
      <c r="Q196" s="267"/>
    </row>
    <row r="197" spans="1:17" ht="23.25" x14ac:dyDescent="0.35">
      <c r="A197" s="279" t="s">
        <v>138</v>
      </c>
      <c r="B197" s="280">
        <f>+NPV(B195,C194:G194)-(B192+NPV(B195,C193:G193))</f>
        <v>51720.267544540562</v>
      </c>
      <c r="C197" s="281"/>
      <c r="D197" s="267"/>
      <c r="E197" s="267"/>
      <c r="F197" s="267"/>
      <c r="G197" s="267"/>
      <c r="H197" s="267"/>
      <c r="I197" s="267"/>
      <c r="J197" s="267"/>
      <c r="K197" s="267"/>
      <c r="L197" s="267"/>
      <c r="M197" s="267"/>
      <c r="N197" s="267"/>
      <c r="O197" s="267"/>
      <c r="P197" s="267"/>
      <c r="Q197" s="267"/>
    </row>
    <row r="198" spans="1:17" ht="23.25" x14ac:dyDescent="0.35">
      <c r="A198" s="268"/>
      <c r="B198" s="268"/>
      <c r="C198" s="267"/>
      <c r="D198" s="267"/>
      <c r="E198" s="267"/>
      <c r="F198" s="267"/>
      <c r="G198" s="267"/>
      <c r="H198" s="267"/>
      <c r="I198" s="267"/>
      <c r="J198" s="267"/>
      <c r="K198" s="267"/>
      <c r="L198" s="267"/>
      <c r="M198" s="267"/>
      <c r="N198" s="267"/>
      <c r="O198" s="267"/>
      <c r="P198" s="267"/>
      <c r="Q198" s="267"/>
    </row>
    <row r="199" spans="1:17" ht="23.25" x14ac:dyDescent="0.35">
      <c r="A199" s="282" t="s">
        <v>24</v>
      </c>
      <c r="B199" s="283">
        <f>+(B197/(B192+B193))+1</f>
        <v>2.216292366471877</v>
      </c>
      <c r="C199" s="284"/>
      <c r="D199" s="267"/>
      <c r="E199" s="270"/>
      <c r="F199" s="267"/>
      <c r="G199" s="267"/>
      <c r="H199" s="267"/>
      <c r="I199" s="267"/>
      <c r="J199" s="267"/>
      <c r="K199" s="267"/>
      <c r="L199" s="267"/>
      <c r="M199" s="267"/>
      <c r="N199" s="267"/>
      <c r="O199" s="267"/>
      <c r="P199" s="267"/>
      <c r="Q199" s="267"/>
    </row>
    <row r="200" spans="1:17" ht="23.25" x14ac:dyDescent="0.35">
      <c r="A200" s="285"/>
      <c r="B200" s="286"/>
      <c r="C200" s="286"/>
      <c r="D200" s="287"/>
      <c r="E200" s="267"/>
      <c r="F200" s="267"/>
      <c r="G200" s="267"/>
      <c r="H200" s="267"/>
      <c r="I200" s="267"/>
      <c r="J200" s="267"/>
      <c r="K200" s="267"/>
      <c r="L200" s="267"/>
      <c r="M200" s="267"/>
      <c r="N200" s="267"/>
      <c r="O200" s="267"/>
      <c r="P200" s="267"/>
      <c r="Q200" s="267"/>
    </row>
    <row r="201" spans="1:17" ht="23.25" x14ac:dyDescent="0.35">
      <c r="A201" s="285"/>
      <c r="B201" s="286"/>
      <c r="C201" s="286"/>
      <c r="D201" s="287"/>
      <c r="E201" s="267"/>
      <c r="F201" s="267"/>
      <c r="G201" s="267"/>
      <c r="H201" s="267"/>
      <c r="I201" s="267"/>
      <c r="J201" s="267"/>
      <c r="K201" s="267"/>
      <c r="L201" s="267"/>
      <c r="M201" s="267"/>
      <c r="N201" s="267"/>
      <c r="O201" s="267"/>
      <c r="P201" s="267"/>
      <c r="Q201" s="267"/>
    </row>
    <row r="202" spans="1:17" ht="23.25" x14ac:dyDescent="0.35">
      <c r="A202" s="271" t="str">
        <f>A190</f>
        <v>Projeto DAMA</v>
      </c>
      <c r="B202" s="271" t="s">
        <v>13</v>
      </c>
      <c r="C202" s="271" t="s">
        <v>14</v>
      </c>
      <c r="D202" s="271" t="s">
        <v>15</v>
      </c>
      <c r="E202" s="271" t="s">
        <v>16</v>
      </c>
      <c r="F202" s="271" t="s">
        <v>17</v>
      </c>
      <c r="G202" s="271" t="s">
        <v>18</v>
      </c>
      <c r="H202" s="271" t="s">
        <v>19</v>
      </c>
      <c r="I202" s="267"/>
      <c r="J202" s="267"/>
      <c r="K202" s="267"/>
      <c r="L202" s="267"/>
      <c r="M202" s="267"/>
      <c r="N202" s="267"/>
      <c r="O202" s="267"/>
      <c r="P202" s="267"/>
      <c r="Q202" s="267"/>
    </row>
    <row r="203" spans="1:17" ht="23.25" x14ac:dyDescent="0.35">
      <c r="A203" s="273" t="s">
        <v>8</v>
      </c>
      <c r="B203" s="274" t="s">
        <v>0</v>
      </c>
      <c r="C203" s="274" t="s">
        <v>1</v>
      </c>
      <c r="D203" s="274" t="s">
        <v>2</v>
      </c>
      <c r="E203" s="274" t="s">
        <v>3</v>
      </c>
      <c r="F203" s="274" t="s">
        <v>4</v>
      </c>
      <c r="G203" s="274" t="s">
        <v>5</v>
      </c>
      <c r="H203" s="274" t="s">
        <v>6</v>
      </c>
      <c r="I203" s="270"/>
      <c r="J203" s="267"/>
      <c r="K203" s="267"/>
      <c r="L203" s="267"/>
      <c r="M203" s="267"/>
      <c r="N203" s="267"/>
      <c r="O203" s="267"/>
      <c r="P203" s="267"/>
      <c r="Q203" s="267"/>
    </row>
    <row r="204" spans="1:17" ht="23.25" x14ac:dyDescent="0.35">
      <c r="A204" s="275" t="s">
        <v>12</v>
      </c>
      <c r="B204" s="272">
        <f>-B192</f>
        <v>-12500</v>
      </c>
      <c r="C204" s="272"/>
      <c r="D204" s="269"/>
      <c r="E204" s="272"/>
      <c r="F204" s="272"/>
      <c r="G204" s="272"/>
      <c r="H204" s="272">
        <f t="shared" ref="H204:H205" si="40">+SUM(B204:G204)</f>
        <v>-12500</v>
      </c>
      <c r="I204" s="267"/>
      <c r="J204" s="267"/>
      <c r="K204" s="267"/>
      <c r="L204" s="267"/>
      <c r="M204" s="267"/>
      <c r="N204" s="267"/>
      <c r="O204" s="267"/>
      <c r="P204" s="267"/>
      <c r="Q204" s="267"/>
    </row>
    <row r="205" spans="1:17" ht="23.25" x14ac:dyDescent="0.35">
      <c r="A205" s="275" t="s">
        <v>11</v>
      </c>
      <c r="B205" s="272"/>
      <c r="C205" s="272">
        <f>-C193</f>
        <v>-12500</v>
      </c>
      <c r="D205" s="272">
        <f t="shared" ref="D205:G205" si="41">-D193</f>
        <v>-12500</v>
      </c>
      <c r="E205" s="272">
        <f t="shared" si="41"/>
        <v>-12500</v>
      </c>
      <c r="F205" s="272">
        <f t="shared" si="41"/>
        <v>-12500</v>
      </c>
      <c r="G205" s="272">
        <f t="shared" si="41"/>
        <v>-12500</v>
      </c>
      <c r="H205" s="272">
        <f t="shared" si="40"/>
        <v>-62500</v>
      </c>
      <c r="I205" s="267"/>
      <c r="J205" s="267"/>
      <c r="K205" s="267"/>
      <c r="L205" s="267"/>
      <c r="M205" s="267"/>
      <c r="N205" s="267"/>
      <c r="O205" s="267"/>
      <c r="P205" s="267"/>
      <c r="Q205" s="267"/>
    </row>
    <row r="206" spans="1:17" ht="23.25" x14ac:dyDescent="0.35">
      <c r="A206" s="275" t="s">
        <v>7</v>
      </c>
      <c r="B206" s="272">
        <f>+B204</f>
        <v>-12500</v>
      </c>
      <c r="C206" s="272">
        <f>C194</f>
        <v>-10000</v>
      </c>
      <c r="D206" s="272">
        <f t="shared" ref="D206:G206" si="42">D194</f>
        <v>30000</v>
      </c>
      <c r="E206" s="272">
        <f t="shared" si="42"/>
        <v>40000</v>
      </c>
      <c r="F206" s="272">
        <f t="shared" si="42"/>
        <v>50000</v>
      </c>
      <c r="G206" s="272">
        <f t="shared" si="42"/>
        <v>60000</v>
      </c>
      <c r="H206" s="272">
        <f>+SUM(B206:G206)</f>
        <v>157500</v>
      </c>
      <c r="I206" s="267"/>
      <c r="J206" s="267"/>
      <c r="K206" s="267"/>
      <c r="L206" s="267"/>
      <c r="M206" s="267"/>
      <c r="N206" s="267"/>
      <c r="O206" s="267"/>
      <c r="P206" s="267"/>
      <c r="Q206" s="267"/>
    </row>
    <row r="207" spans="1:17" ht="23.25" x14ac:dyDescent="0.35">
      <c r="A207" s="276" t="s">
        <v>10</v>
      </c>
      <c r="B207" s="277">
        <f>B195</f>
        <v>0.12</v>
      </c>
      <c r="C207" s="268"/>
      <c r="D207" s="268"/>
      <c r="E207" s="268"/>
      <c r="F207" s="268"/>
      <c r="G207" s="268"/>
      <c r="H207" s="269"/>
      <c r="I207" s="267"/>
      <c r="J207" s="267"/>
      <c r="K207" s="267"/>
      <c r="L207" s="267"/>
      <c r="M207" s="267"/>
      <c r="N207" s="267"/>
      <c r="O207" s="267"/>
      <c r="P207" s="267"/>
      <c r="Q207" s="267"/>
    </row>
    <row r="208" spans="1:17" ht="23.25" x14ac:dyDescent="0.35">
      <c r="A208" s="288"/>
      <c r="B208" s="289"/>
      <c r="C208" s="268"/>
      <c r="D208" s="268"/>
      <c r="E208" s="268"/>
      <c r="F208" s="268"/>
      <c r="G208" s="268"/>
      <c r="H208" s="269"/>
      <c r="I208" s="267"/>
      <c r="J208" s="267"/>
      <c r="K208" s="267"/>
      <c r="L208" s="267"/>
      <c r="M208" s="267"/>
      <c r="N208" s="267"/>
      <c r="O208" s="267"/>
      <c r="P208" s="267"/>
      <c r="Q208" s="267"/>
    </row>
    <row r="209" spans="1:17" ht="23.25" x14ac:dyDescent="0.35">
      <c r="A209" s="279" t="s">
        <v>139</v>
      </c>
      <c r="B209" s="290">
        <f>+IRR(B205:G206,B207)</f>
        <v>0.13251736255724733</v>
      </c>
      <c r="C209" s="270"/>
      <c r="D209" s="267"/>
      <c r="E209" s="267"/>
      <c r="F209" s="267"/>
      <c r="G209" s="267"/>
      <c r="H209" s="267"/>
      <c r="I209" s="267"/>
      <c r="J209" s="267"/>
      <c r="K209" s="267"/>
      <c r="L209" s="267"/>
      <c r="M209" s="267"/>
      <c r="N209" s="267"/>
      <c r="O209" s="267"/>
      <c r="P209" s="267"/>
      <c r="Q209" s="267"/>
    </row>
    <row r="210" spans="1:17" ht="23.25" x14ac:dyDescent="0.35">
      <c r="A210" s="267"/>
      <c r="B210" s="267"/>
      <c r="C210" s="267"/>
      <c r="D210" s="267"/>
      <c r="E210" s="267"/>
      <c r="F210" s="267"/>
      <c r="G210" s="267"/>
      <c r="H210" s="267"/>
      <c r="I210" s="267"/>
      <c r="J210" s="267"/>
      <c r="K210" s="267"/>
      <c r="L210" s="267"/>
      <c r="M210" s="267"/>
      <c r="N210" s="267"/>
      <c r="O210" s="267"/>
      <c r="P210" s="267"/>
      <c r="Q210" s="267"/>
    </row>
    <row r="211" spans="1:17" ht="23.25" x14ac:dyDescent="0.35">
      <c r="A211" s="267"/>
      <c r="B211" s="267"/>
      <c r="C211" s="267"/>
      <c r="D211" s="267"/>
      <c r="E211" s="267"/>
      <c r="F211" s="267"/>
      <c r="G211" s="267"/>
      <c r="H211" s="267"/>
      <c r="I211" s="267"/>
      <c r="J211" s="267"/>
      <c r="K211" s="267"/>
      <c r="L211" s="267"/>
      <c r="M211" s="267"/>
      <c r="N211" s="267"/>
      <c r="O211" s="267"/>
      <c r="P211" s="267"/>
      <c r="Q211" s="267"/>
    </row>
    <row r="212" spans="1:17" ht="23.25" x14ac:dyDescent="0.35">
      <c r="A212" s="267"/>
      <c r="B212" s="267"/>
      <c r="C212" s="267"/>
      <c r="D212" s="267"/>
      <c r="E212" s="267"/>
      <c r="F212" s="267"/>
      <c r="G212" s="267"/>
      <c r="H212" s="267"/>
      <c r="I212" s="267"/>
      <c r="J212" s="267"/>
      <c r="K212" s="267"/>
      <c r="L212" s="267"/>
      <c r="M212" s="267"/>
      <c r="N212" s="267"/>
      <c r="O212" s="267"/>
      <c r="P212" s="267"/>
      <c r="Q212" s="267"/>
    </row>
    <row r="213" spans="1:17" ht="23.25" x14ac:dyDescent="0.35">
      <c r="A213" s="271" t="str">
        <f>A202</f>
        <v>Projeto DAMA</v>
      </c>
      <c r="B213" s="271" t="s">
        <v>13</v>
      </c>
      <c r="C213" s="271" t="s">
        <v>14</v>
      </c>
      <c r="D213" s="271" t="s">
        <v>15</v>
      </c>
      <c r="E213" s="271" t="s">
        <v>16</v>
      </c>
      <c r="F213" s="271" t="s">
        <v>17</v>
      </c>
      <c r="G213" s="271" t="s">
        <v>18</v>
      </c>
      <c r="H213" s="271" t="s">
        <v>19</v>
      </c>
      <c r="I213" s="267"/>
      <c r="J213" s="267"/>
      <c r="K213" s="267"/>
      <c r="L213" s="267"/>
      <c r="M213" s="267"/>
      <c r="N213" s="267"/>
      <c r="O213" s="267"/>
      <c r="P213" s="267"/>
      <c r="Q213" s="267"/>
    </row>
    <row r="214" spans="1:17" ht="23.25" x14ac:dyDescent="0.35">
      <c r="A214" s="291" t="s">
        <v>8</v>
      </c>
      <c r="B214" s="274" t="s">
        <v>0</v>
      </c>
      <c r="C214" s="274" t="s">
        <v>1</v>
      </c>
      <c r="D214" s="274" t="s">
        <v>2</v>
      </c>
      <c r="E214" s="274" t="s">
        <v>3</v>
      </c>
      <c r="F214" s="274" t="s">
        <v>4</v>
      </c>
      <c r="G214" s="274" t="s">
        <v>5</v>
      </c>
      <c r="H214" s="274" t="s">
        <v>6</v>
      </c>
      <c r="I214" s="270"/>
      <c r="J214" s="267"/>
      <c r="K214" s="267"/>
      <c r="L214" s="267"/>
      <c r="M214" s="267"/>
      <c r="N214" s="267"/>
      <c r="O214" s="267"/>
      <c r="P214" s="267"/>
      <c r="Q214" s="267"/>
    </row>
    <row r="215" spans="1:17" ht="23.25" x14ac:dyDescent="0.35">
      <c r="A215" s="275" t="s">
        <v>12</v>
      </c>
      <c r="B215" s="272">
        <f>B204</f>
        <v>-12500</v>
      </c>
      <c r="C215" s="272"/>
      <c r="D215" s="272"/>
      <c r="E215" s="272"/>
      <c r="F215" s="272"/>
      <c r="G215" s="272"/>
      <c r="H215" s="272">
        <f t="shared" ref="H215:H216" si="43">+SUM(B215:G215)</f>
        <v>-12500</v>
      </c>
      <c r="I215" s="267"/>
      <c r="J215" s="267"/>
      <c r="K215" s="267"/>
      <c r="L215" s="267"/>
      <c r="M215" s="267"/>
      <c r="N215" s="267"/>
      <c r="O215" s="267"/>
      <c r="P215" s="267"/>
      <c r="Q215" s="267"/>
    </row>
    <row r="216" spans="1:17" ht="23.25" x14ac:dyDescent="0.35">
      <c r="A216" s="275" t="s">
        <v>11</v>
      </c>
      <c r="B216" s="272"/>
      <c r="C216" s="272">
        <f>C205</f>
        <v>-12500</v>
      </c>
      <c r="D216" s="272">
        <f t="shared" ref="D216:G216" si="44">D205</f>
        <v>-12500</v>
      </c>
      <c r="E216" s="272">
        <f t="shared" si="44"/>
        <v>-12500</v>
      </c>
      <c r="F216" s="272">
        <f t="shared" si="44"/>
        <v>-12500</v>
      </c>
      <c r="G216" s="272">
        <f t="shared" si="44"/>
        <v>-12500</v>
      </c>
      <c r="H216" s="272">
        <f t="shared" si="43"/>
        <v>-62500</v>
      </c>
      <c r="I216" s="267"/>
      <c r="J216" s="267"/>
      <c r="K216" s="267"/>
      <c r="L216" s="267"/>
      <c r="M216" s="267"/>
      <c r="N216" s="267"/>
      <c r="O216" s="267"/>
      <c r="P216" s="267"/>
      <c r="Q216" s="267"/>
    </row>
    <row r="217" spans="1:17" ht="23.25" x14ac:dyDescent="0.35">
      <c r="A217" s="275" t="s">
        <v>7</v>
      </c>
      <c r="B217" s="272">
        <f>+B215</f>
        <v>-12500</v>
      </c>
      <c r="C217" s="272">
        <f>C206</f>
        <v>-10000</v>
      </c>
      <c r="D217" s="272">
        <f t="shared" ref="D217:G217" si="45">D206</f>
        <v>30000</v>
      </c>
      <c r="E217" s="272">
        <f t="shared" si="45"/>
        <v>40000</v>
      </c>
      <c r="F217" s="272">
        <f t="shared" si="45"/>
        <v>50000</v>
      </c>
      <c r="G217" s="272">
        <f t="shared" si="45"/>
        <v>60000</v>
      </c>
      <c r="H217" s="272">
        <f>+SUM(B217:G217)</f>
        <v>157500</v>
      </c>
      <c r="I217" s="267"/>
      <c r="J217" s="267"/>
      <c r="K217" s="267"/>
      <c r="L217" s="267"/>
      <c r="M217" s="267"/>
      <c r="N217" s="267"/>
      <c r="O217" s="267"/>
      <c r="P217" s="267"/>
      <c r="Q217" s="267"/>
    </row>
    <row r="218" spans="1:17" ht="23.25" x14ac:dyDescent="0.35">
      <c r="A218" s="276" t="s">
        <v>10</v>
      </c>
      <c r="B218" s="277">
        <f>B207</f>
        <v>0.12</v>
      </c>
      <c r="C218" s="268"/>
      <c r="D218" s="268"/>
      <c r="E218" s="268"/>
      <c r="F218" s="268"/>
      <c r="G218" s="268"/>
      <c r="H218" s="269"/>
      <c r="I218" s="267"/>
      <c r="J218" s="267"/>
      <c r="K218" s="267"/>
      <c r="L218" s="267"/>
      <c r="M218" s="267"/>
      <c r="N218" s="267"/>
      <c r="O218" s="267"/>
      <c r="P218" s="267"/>
      <c r="Q218" s="267"/>
    </row>
    <row r="219" spans="1:17" ht="23.25" x14ac:dyDescent="0.35">
      <c r="A219" s="288"/>
      <c r="B219" s="289"/>
      <c r="C219" s="268"/>
      <c r="D219" s="268"/>
      <c r="E219" s="268"/>
      <c r="F219" s="268"/>
      <c r="G219" s="268"/>
      <c r="H219" s="269"/>
      <c r="I219" s="267"/>
      <c r="J219" s="267"/>
      <c r="K219" s="267"/>
      <c r="L219" s="267"/>
      <c r="M219" s="267"/>
      <c r="N219" s="267"/>
      <c r="O219" s="267"/>
      <c r="P219" s="267"/>
      <c r="Q219" s="267"/>
    </row>
    <row r="220" spans="1:17" ht="23.25" x14ac:dyDescent="0.35">
      <c r="A220" s="276" t="s">
        <v>21</v>
      </c>
      <c r="B220" s="272">
        <f>B206</f>
        <v>-12500</v>
      </c>
      <c r="C220" s="272">
        <f t="shared" ref="C220:H220" si="46">+B220+C217+C216</f>
        <v>-35000</v>
      </c>
      <c r="D220" s="280">
        <f t="shared" si="46"/>
        <v>-17500</v>
      </c>
      <c r="E220" s="272">
        <f t="shared" si="46"/>
        <v>10000</v>
      </c>
      <c r="F220" s="272">
        <f t="shared" si="46"/>
        <v>47500</v>
      </c>
      <c r="G220" s="272">
        <f t="shared" si="46"/>
        <v>95000</v>
      </c>
      <c r="H220" s="272">
        <f t="shared" si="46"/>
        <v>190000</v>
      </c>
      <c r="I220" s="267"/>
      <c r="J220" s="267"/>
      <c r="K220" s="267"/>
      <c r="L220" s="267"/>
      <c r="M220" s="267"/>
      <c r="N220" s="267"/>
      <c r="O220" s="267"/>
      <c r="P220" s="267"/>
      <c r="Q220" s="267"/>
    </row>
    <row r="221" spans="1:17" ht="23.25" x14ac:dyDescent="0.35">
      <c r="A221" s="267"/>
      <c r="B221" s="267"/>
      <c r="C221" s="267"/>
      <c r="D221" s="267"/>
      <c r="E221" s="267"/>
      <c r="F221" s="267"/>
      <c r="G221" s="267"/>
      <c r="H221" s="267"/>
      <c r="I221" s="267"/>
      <c r="J221" s="267"/>
      <c r="K221" s="267"/>
      <c r="L221" s="267"/>
      <c r="M221" s="267"/>
      <c r="N221" s="267"/>
      <c r="O221" s="267"/>
      <c r="P221" s="267"/>
      <c r="Q221" s="267"/>
    </row>
    <row r="222" spans="1:17" ht="23.25" x14ac:dyDescent="0.35">
      <c r="A222" s="275" t="s">
        <v>20</v>
      </c>
      <c r="B222" s="292">
        <f>2+(-D220/(E217+E216))</f>
        <v>2.6363636363636362</v>
      </c>
      <c r="C222" s="293"/>
      <c r="D222" s="267"/>
      <c r="E222" s="267"/>
      <c r="F222" s="267"/>
      <c r="G222" s="267"/>
      <c r="H222" s="267"/>
      <c r="I222" s="267"/>
      <c r="J222" s="267"/>
      <c r="K222" s="267"/>
      <c r="L222" s="267"/>
      <c r="M222" s="267"/>
      <c r="N222" s="267"/>
      <c r="O222" s="267"/>
      <c r="P222" s="267"/>
      <c r="Q222" s="267"/>
    </row>
    <row r="223" spans="1:17" ht="23.25" x14ac:dyDescent="0.35">
      <c r="A223" s="267"/>
      <c r="B223" s="267"/>
      <c r="C223" s="267"/>
      <c r="D223" s="267"/>
      <c r="E223" s="267"/>
      <c r="F223" s="267"/>
      <c r="G223" s="267"/>
      <c r="H223" s="267"/>
      <c r="I223" s="267"/>
      <c r="J223" s="267"/>
      <c r="K223" s="267"/>
      <c r="L223" s="267"/>
      <c r="M223" s="267"/>
      <c r="N223" s="267"/>
      <c r="O223" s="267"/>
      <c r="P223" s="267"/>
      <c r="Q223" s="267"/>
    </row>
    <row r="224" spans="1:17" ht="23.25" x14ac:dyDescent="0.35">
      <c r="A224" s="296"/>
      <c r="B224" s="296"/>
      <c r="C224" s="296"/>
      <c r="D224" s="296"/>
      <c r="E224" s="296"/>
      <c r="F224" s="296"/>
      <c r="G224" s="296"/>
      <c r="H224" s="296"/>
      <c r="I224" s="267"/>
      <c r="J224" s="267"/>
      <c r="K224" s="267"/>
      <c r="L224" s="267"/>
      <c r="M224" s="267"/>
      <c r="N224" s="267"/>
      <c r="O224" s="267"/>
      <c r="P224" s="267"/>
      <c r="Q224" s="267"/>
    </row>
    <row r="225" spans="1:17" ht="23.25" x14ac:dyDescent="0.35">
      <c r="A225" s="296"/>
      <c r="B225" s="296"/>
      <c r="C225" s="296"/>
      <c r="D225" s="296"/>
      <c r="E225" s="296"/>
      <c r="F225" s="296"/>
      <c r="G225" s="296"/>
      <c r="H225" s="296"/>
      <c r="I225" s="267"/>
      <c r="J225" s="267"/>
      <c r="K225" s="267"/>
      <c r="L225" s="267"/>
      <c r="M225" s="267"/>
      <c r="N225" s="267"/>
      <c r="O225" s="267"/>
      <c r="P225" s="267"/>
      <c r="Q225" s="267"/>
    </row>
  </sheetData>
  <pageMargins left="0.511811024" right="0.511811024" top="0.78740157499999996" bottom="0.78740157499999996" header="0.31496062000000002" footer="0.31496062000000002"/>
  <pageSetup paperSize="9" scale="1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1"/>
  <sheetViews>
    <sheetView showGridLines="0" view="pageBreakPreview" topLeftCell="A13" zoomScale="60" zoomScaleNormal="100" workbookViewId="0">
      <selection activeCell="I11" sqref="I11"/>
    </sheetView>
  </sheetViews>
  <sheetFormatPr defaultRowHeight="20.25" x14ac:dyDescent="0.3"/>
  <cols>
    <col min="1" max="1" width="9.140625" style="297"/>
    <col min="2" max="2" width="40.7109375" style="297" customWidth="1"/>
    <col min="3" max="3" width="21.5703125" style="297" customWidth="1"/>
    <col min="4" max="4" width="19.140625" style="297" customWidth="1"/>
    <col min="5" max="5" width="14.42578125" style="297" customWidth="1"/>
    <col min="6" max="6" width="13.7109375" style="297" customWidth="1"/>
    <col min="7" max="8" width="20.140625" style="297" bestFit="1" customWidth="1"/>
    <col min="9" max="9" width="17" style="297" customWidth="1"/>
    <col min="10" max="10" width="20.140625" style="297" bestFit="1" customWidth="1"/>
    <col min="11" max="14" width="11.140625" style="297" bestFit="1" customWidth="1"/>
    <col min="15" max="15" width="20.140625" style="297" bestFit="1" customWidth="1"/>
    <col min="16" max="257" width="9.140625" style="297"/>
    <col min="258" max="258" width="34.7109375" style="297" customWidth="1"/>
    <col min="259" max="264" width="9.140625" style="297"/>
    <col min="265" max="265" width="11" style="297" customWidth="1"/>
    <col min="266" max="266" width="13.28515625" style="297" customWidth="1"/>
    <col min="267" max="513" width="9.140625" style="297"/>
    <col min="514" max="514" width="34.7109375" style="297" customWidth="1"/>
    <col min="515" max="520" width="9.140625" style="297"/>
    <col min="521" max="521" width="11" style="297" customWidth="1"/>
    <col min="522" max="522" width="13.28515625" style="297" customWidth="1"/>
    <col min="523" max="769" width="9.140625" style="297"/>
    <col min="770" max="770" width="34.7109375" style="297" customWidth="1"/>
    <col min="771" max="776" width="9.140625" style="297"/>
    <col min="777" max="777" width="11" style="297" customWidth="1"/>
    <col min="778" max="778" width="13.28515625" style="297" customWidth="1"/>
    <col min="779" max="1025" width="9.140625" style="297"/>
    <col min="1026" max="1026" width="34.7109375" style="297" customWidth="1"/>
    <col min="1027" max="1032" width="9.140625" style="297"/>
    <col min="1033" max="1033" width="11" style="297" customWidth="1"/>
    <col min="1034" max="1034" width="13.28515625" style="297" customWidth="1"/>
    <col min="1035" max="1281" width="9.140625" style="297"/>
    <col min="1282" max="1282" width="34.7109375" style="297" customWidth="1"/>
    <col min="1283" max="1288" width="9.140625" style="297"/>
    <col min="1289" max="1289" width="11" style="297" customWidth="1"/>
    <col min="1290" max="1290" width="13.28515625" style="297" customWidth="1"/>
    <col min="1291" max="1537" width="9.140625" style="297"/>
    <col min="1538" max="1538" width="34.7109375" style="297" customWidth="1"/>
    <col min="1539" max="1544" width="9.140625" style="297"/>
    <col min="1545" max="1545" width="11" style="297" customWidth="1"/>
    <col min="1546" max="1546" width="13.28515625" style="297" customWidth="1"/>
    <col min="1547" max="1793" width="9.140625" style="297"/>
    <col min="1794" max="1794" width="34.7109375" style="297" customWidth="1"/>
    <col min="1795" max="1800" width="9.140625" style="297"/>
    <col min="1801" max="1801" width="11" style="297" customWidth="1"/>
    <col min="1802" max="1802" width="13.28515625" style="297" customWidth="1"/>
    <col min="1803" max="2049" width="9.140625" style="297"/>
    <col min="2050" max="2050" width="34.7109375" style="297" customWidth="1"/>
    <col min="2051" max="2056" width="9.140625" style="297"/>
    <col min="2057" max="2057" width="11" style="297" customWidth="1"/>
    <col min="2058" max="2058" width="13.28515625" style="297" customWidth="1"/>
    <col min="2059" max="2305" width="9.140625" style="297"/>
    <col min="2306" max="2306" width="34.7109375" style="297" customWidth="1"/>
    <col min="2307" max="2312" width="9.140625" style="297"/>
    <col min="2313" max="2313" width="11" style="297" customWidth="1"/>
    <col min="2314" max="2314" width="13.28515625" style="297" customWidth="1"/>
    <col min="2315" max="2561" width="9.140625" style="297"/>
    <col min="2562" max="2562" width="34.7109375" style="297" customWidth="1"/>
    <col min="2563" max="2568" width="9.140625" style="297"/>
    <col min="2569" max="2569" width="11" style="297" customWidth="1"/>
    <col min="2570" max="2570" width="13.28515625" style="297" customWidth="1"/>
    <col min="2571" max="2817" width="9.140625" style="297"/>
    <col min="2818" max="2818" width="34.7109375" style="297" customWidth="1"/>
    <col min="2819" max="2824" width="9.140625" style="297"/>
    <col min="2825" max="2825" width="11" style="297" customWidth="1"/>
    <col min="2826" max="2826" width="13.28515625" style="297" customWidth="1"/>
    <col min="2827" max="3073" width="9.140625" style="297"/>
    <col min="3074" max="3074" width="34.7109375" style="297" customWidth="1"/>
    <col min="3075" max="3080" width="9.140625" style="297"/>
    <col min="3081" max="3081" width="11" style="297" customWidth="1"/>
    <col min="3082" max="3082" width="13.28515625" style="297" customWidth="1"/>
    <col min="3083" max="3329" width="9.140625" style="297"/>
    <col min="3330" max="3330" width="34.7109375" style="297" customWidth="1"/>
    <col min="3331" max="3336" width="9.140625" style="297"/>
    <col min="3337" max="3337" width="11" style="297" customWidth="1"/>
    <col min="3338" max="3338" width="13.28515625" style="297" customWidth="1"/>
    <col min="3339" max="3585" width="9.140625" style="297"/>
    <col min="3586" max="3586" width="34.7109375" style="297" customWidth="1"/>
    <col min="3587" max="3592" width="9.140625" style="297"/>
    <col min="3593" max="3593" width="11" style="297" customWidth="1"/>
    <col min="3594" max="3594" width="13.28515625" style="297" customWidth="1"/>
    <col min="3595" max="3841" width="9.140625" style="297"/>
    <col min="3842" max="3842" width="34.7109375" style="297" customWidth="1"/>
    <col min="3843" max="3848" width="9.140625" style="297"/>
    <col min="3849" max="3849" width="11" style="297" customWidth="1"/>
    <col min="3850" max="3850" width="13.28515625" style="297" customWidth="1"/>
    <col min="3851" max="4097" width="9.140625" style="297"/>
    <col min="4098" max="4098" width="34.7109375" style="297" customWidth="1"/>
    <col min="4099" max="4104" width="9.140625" style="297"/>
    <col min="4105" max="4105" width="11" style="297" customWidth="1"/>
    <col min="4106" max="4106" width="13.28515625" style="297" customWidth="1"/>
    <col min="4107" max="4353" width="9.140625" style="297"/>
    <col min="4354" max="4354" width="34.7109375" style="297" customWidth="1"/>
    <col min="4355" max="4360" width="9.140625" style="297"/>
    <col min="4361" max="4361" width="11" style="297" customWidth="1"/>
    <col min="4362" max="4362" width="13.28515625" style="297" customWidth="1"/>
    <col min="4363" max="4609" width="9.140625" style="297"/>
    <col min="4610" max="4610" width="34.7109375" style="297" customWidth="1"/>
    <col min="4611" max="4616" width="9.140625" style="297"/>
    <col min="4617" max="4617" width="11" style="297" customWidth="1"/>
    <col min="4618" max="4618" width="13.28515625" style="297" customWidth="1"/>
    <col min="4619" max="4865" width="9.140625" style="297"/>
    <col min="4866" max="4866" width="34.7109375" style="297" customWidth="1"/>
    <col min="4867" max="4872" width="9.140625" style="297"/>
    <col min="4873" max="4873" width="11" style="297" customWidth="1"/>
    <col min="4874" max="4874" width="13.28515625" style="297" customWidth="1"/>
    <col min="4875" max="5121" width="9.140625" style="297"/>
    <col min="5122" max="5122" width="34.7109375" style="297" customWidth="1"/>
    <col min="5123" max="5128" width="9.140625" style="297"/>
    <col min="5129" max="5129" width="11" style="297" customWidth="1"/>
    <col min="5130" max="5130" width="13.28515625" style="297" customWidth="1"/>
    <col min="5131" max="5377" width="9.140625" style="297"/>
    <col min="5378" max="5378" width="34.7109375" style="297" customWidth="1"/>
    <col min="5379" max="5384" width="9.140625" style="297"/>
    <col min="5385" max="5385" width="11" style="297" customWidth="1"/>
    <col min="5386" max="5386" width="13.28515625" style="297" customWidth="1"/>
    <col min="5387" max="5633" width="9.140625" style="297"/>
    <col min="5634" max="5634" width="34.7109375" style="297" customWidth="1"/>
    <col min="5635" max="5640" width="9.140625" style="297"/>
    <col min="5641" max="5641" width="11" style="297" customWidth="1"/>
    <col min="5642" max="5642" width="13.28515625" style="297" customWidth="1"/>
    <col min="5643" max="5889" width="9.140625" style="297"/>
    <col min="5890" max="5890" width="34.7109375" style="297" customWidth="1"/>
    <col min="5891" max="5896" width="9.140625" style="297"/>
    <col min="5897" max="5897" width="11" style="297" customWidth="1"/>
    <col min="5898" max="5898" width="13.28515625" style="297" customWidth="1"/>
    <col min="5899" max="6145" width="9.140625" style="297"/>
    <col min="6146" max="6146" width="34.7109375" style="297" customWidth="1"/>
    <col min="6147" max="6152" width="9.140625" style="297"/>
    <col min="6153" max="6153" width="11" style="297" customWidth="1"/>
    <col min="6154" max="6154" width="13.28515625" style="297" customWidth="1"/>
    <col min="6155" max="6401" width="9.140625" style="297"/>
    <col min="6402" max="6402" width="34.7109375" style="297" customWidth="1"/>
    <col min="6403" max="6408" width="9.140625" style="297"/>
    <col min="6409" max="6409" width="11" style="297" customWidth="1"/>
    <col min="6410" max="6410" width="13.28515625" style="297" customWidth="1"/>
    <col min="6411" max="6657" width="9.140625" style="297"/>
    <col min="6658" max="6658" width="34.7109375" style="297" customWidth="1"/>
    <col min="6659" max="6664" width="9.140625" style="297"/>
    <col min="6665" max="6665" width="11" style="297" customWidth="1"/>
    <col min="6666" max="6666" width="13.28515625" style="297" customWidth="1"/>
    <col min="6667" max="6913" width="9.140625" style="297"/>
    <col min="6914" max="6914" width="34.7109375" style="297" customWidth="1"/>
    <col min="6915" max="6920" width="9.140625" style="297"/>
    <col min="6921" max="6921" width="11" style="297" customWidth="1"/>
    <col min="6922" max="6922" width="13.28515625" style="297" customWidth="1"/>
    <col min="6923" max="7169" width="9.140625" style="297"/>
    <col min="7170" max="7170" width="34.7109375" style="297" customWidth="1"/>
    <col min="7171" max="7176" width="9.140625" style="297"/>
    <col min="7177" max="7177" width="11" style="297" customWidth="1"/>
    <col min="7178" max="7178" width="13.28515625" style="297" customWidth="1"/>
    <col min="7179" max="7425" width="9.140625" style="297"/>
    <col min="7426" max="7426" width="34.7109375" style="297" customWidth="1"/>
    <col min="7427" max="7432" width="9.140625" style="297"/>
    <col min="7433" max="7433" width="11" style="297" customWidth="1"/>
    <col min="7434" max="7434" width="13.28515625" style="297" customWidth="1"/>
    <col min="7435" max="7681" width="9.140625" style="297"/>
    <col min="7682" max="7682" width="34.7109375" style="297" customWidth="1"/>
    <col min="7683" max="7688" width="9.140625" style="297"/>
    <col min="7689" max="7689" width="11" style="297" customWidth="1"/>
    <col min="7690" max="7690" width="13.28515625" style="297" customWidth="1"/>
    <col min="7691" max="7937" width="9.140625" style="297"/>
    <col min="7938" max="7938" width="34.7109375" style="297" customWidth="1"/>
    <col min="7939" max="7944" width="9.140625" style="297"/>
    <col min="7945" max="7945" width="11" style="297" customWidth="1"/>
    <col min="7946" max="7946" width="13.28515625" style="297" customWidth="1"/>
    <col min="7947" max="8193" width="9.140625" style="297"/>
    <col min="8194" max="8194" width="34.7109375" style="297" customWidth="1"/>
    <col min="8195" max="8200" width="9.140625" style="297"/>
    <col min="8201" max="8201" width="11" style="297" customWidth="1"/>
    <col min="8202" max="8202" width="13.28515625" style="297" customWidth="1"/>
    <col min="8203" max="8449" width="9.140625" style="297"/>
    <col min="8450" max="8450" width="34.7109375" style="297" customWidth="1"/>
    <col min="8451" max="8456" width="9.140625" style="297"/>
    <col min="8457" max="8457" width="11" style="297" customWidth="1"/>
    <col min="8458" max="8458" width="13.28515625" style="297" customWidth="1"/>
    <col min="8459" max="8705" width="9.140625" style="297"/>
    <col min="8706" max="8706" width="34.7109375" style="297" customWidth="1"/>
    <col min="8707" max="8712" width="9.140625" style="297"/>
    <col min="8713" max="8713" width="11" style="297" customWidth="1"/>
    <col min="8714" max="8714" width="13.28515625" style="297" customWidth="1"/>
    <col min="8715" max="8961" width="9.140625" style="297"/>
    <col min="8962" max="8962" width="34.7109375" style="297" customWidth="1"/>
    <col min="8963" max="8968" width="9.140625" style="297"/>
    <col min="8969" max="8969" width="11" style="297" customWidth="1"/>
    <col min="8970" max="8970" width="13.28515625" style="297" customWidth="1"/>
    <col min="8971" max="9217" width="9.140625" style="297"/>
    <col min="9218" max="9218" width="34.7109375" style="297" customWidth="1"/>
    <col min="9219" max="9224" width="9.140625" style="297"/>
    <col min="9225" max="9225" width="11" style="297" customWidth="1"/>
    <col min="9226" max="9226" width="13.28515625" style="297" customWidth="1"/>
    <col min="9227" max="9473" width="9.140625" style="297"/>
    <col min="9474" max="9474" width="34.7109375" style="297" customWidth="1"/>
    <col min="9475" max="9480" width="9.140625" style="297"/>
    <col min="9481" max="9481" width="11" style="297" customWidth="1"/>
    <col min="9482" max="9482" width="13.28515625" style="297" customWidth="1"/>
    <col min="9483" max="9729" width="9.140625" style="297"/>
    <col min="9730" max="9730" width="34.7109375" style="297" customWidth="1"/>
    <col min="9731" max="9736" width="9.140625" style="297"/>
    <col min="9737" max="9737" width="11" style="297" customWidth="1"/>
    <col min="9738" max="9738" width="13.28515625" style="297" customWidth="1"/>
    <col min="9739" max="9985" width="9.140625" style="297"/>
    <col min="9986" max="9986" width="34.7109375" style="297" customWidth="1"/>
    <col min="9987" max="9992" width="9.140625" style="297"/>
    <col min="9993" max="9993" width="11" style="297" customWidth="1"/>
    <col min="9994" max="9994" width="13.28515625" style="297" customWidth="1"/>
    <col min="9995" max="10241" width="9.140625" style="297"/>
    <col min="10242" max="10242" width="34.7109375" style="297" customWidth="1"/>
    <col min="10243" max="10248" width="9.140625" style="297"/>
    <col min="10249" max="10249" width="11" style="297" customWidth="1"/>
    <col min="10250" max="10250" width="13.28515625" style="297" customWidth="1"/>
    <col min="10251" max="10497" width="9.140625" style="297"/>
    <col min="10498" max="10498" width="34.7109375" style="297" customWidth="1"/>
    <col min="10499" max="10504" width="9.140625" style="297"/>
    <col min="10505" max="10505" width="11" style="297" customWidth="1"/>
    <col min="10506" max="10506" width="13.28515625" style="297" customWidth="1"/>
    <col min="10507" max="10753" width="9.140625" style="297"/>
    <col min="10754" max="10754" width="34.7109375" style="297" customWidth="1"/>
    <col min="10755" max="10760" width="9.140625" style="297"/>
    <col min="10761" max="10761" width="11" style="297" customWidth="1"/>
    <col min="10762" max="10762" width="13.28515625" style="297" customWidth="1"/>
    <col min="10763" max="11009" width="9.140625" style="297"/>
    <col min="11010" max="11010" width="34.7109375" style="297" customWidth="1"/>
    <col min="11011" max="11016" width="9.140625" style="297"/>
    <col min="11017" max="11017" width="11" style="297" customWidth="1"/>
    <col min="11018" max="11018" width="13.28515625" style="297" customWidth="1"/>
    <col min="11019" max="11265" width="9.140625" style="297"/>
    <col min="11266" max="11266" width="34.7109375" style="297" customWidth="1"/>
    <col min="11267" max="11272" width="9.140625" style="297"/>
    <col min="11273" max="11273" width="11" style="297" customWidth="1"/>
    <col min="11274" max="11274" width="13.28515625" style="297" customWidth="1"/>
    <col min="11275" max="11521" width="9.140625" style="297"/>
    <col min="11522" max="11522" width="34.7109375" style="297" customWidth="1"/>
    <col min="11523" max="11528" width="9.140625" style="297"/>
    <col min="11529" max="11529" width="11" style="297" customWidth="1"/>
    <col min="11530" max="11530" width="13.28515625" style="297" customWidth="1"/>
    <col min="11531" max="11777" width="9.140625" style="297"/>
    <col min="11778" max="11778" width="34.7109375" style="297" customWidth="1"/>
    <col min="11779" max="11784" width="9.140625" style="297"/>
    <col min="11785" max="11785" width="11" style="297" customWidth="1"/>
    <col min="11786" max="11786" width="13.28515625" style="297" customWidth="1"/>
    <col min="11787" max="12033" width="9.140625" style="297"/>
    <col min="12034" max="12034" width="34.7109375" style="297" customWidth="1"/>
    <col min="12035" max="12040" width="9.140625" style="297"/>
    <col min="12041" max="12041" width="11" style="297" customWidth="1"/>
    <col min="12042" max="12042" width="13.28515625" style="297" customWidth="1"/>
    <col min="12043" max="12289" width="9.140625" style="297"/>
    <col min="12290" max="12290" width="34.7109375" style="297" customWidth="1"/>
    <col min="12291" max="12296" width="9.140625" style="297"/>
    <col min="12297" max="12297" width="11" style="297" customWidth="1"/>
    <col min="12298" max="12298" width="13.28515625" style="297" customWidth="1"/>
    <col min="12299" max="12545" width="9.140625" style="297"/>
    <col min="12546" max="12546" width="34.7109375" style="297" customWidth="1"/>
    <col min="12547" max="12552" width="9.140625" style="297"/>
    <col min="12553" max="12553" width="11" style="297" customWidth="1"/>
    <col min="12554" max="12554" width="13.28515625" style="297" customWidth="1"/>
    <col min="12555" max="12801" width="9.140625" style="297"/>
    <col min="12802" max="12802" width="34.7109375" style="297" customWidth="1"/>
    <col min="12803" max="12808" width="9.140625" style="297"/>
    <col min="12809" max="12809" width="11" style="297" customWidth="1"/>
    <col min="12810" max="12810" width="13.28515625" style="297" customWidth="1"/>
    <col min="12811" max="13057" width="9.140625" style="297"/>
    <col min="13058" max="13058" width="34.7109375" style="297" customWidth="1"/>
    <col min="13059" max="13064" width="9.140625" style="297"/>
    <col min="13065" max="13065" width="11" style="297" customWidth="1"/>
    <col min="13066" max="13066" width="13.28515625" style="297" customWidth="1"/>
    <col min="13067" max="13313" width="9.140625" style="297"/>
    <col min="13314" max="13314" width="34.7109375" style="297" customWidth="1"/>
    <col min="13315" max="13320" width="9.140625" style="297"/>
    <col min="13321" max="13321" width="11" style="297" customWidth="1"/>
    <col min="13322" max="13322" width="13.28515625" style="297" customWidth="1"/>
    <col min="13323" max="13569" width="9.140625" style="297"/>
    <col min="13570" max="13570" width="34.7109375" style="297" customWidth="1"/>
    <col min="13571" max="13576" width="9.140625" style="297"/>
    <col min="13577" max="13577" width="11" style="297" customWidth="1"/>
    <col min="13578" max="13578" width="13.28515625" style="297" customWidth="1"/>
    <col min="13579" max="13825" width="9.140625" style="297"/>
    <col min="13826" max="13826" width="34.7109375" style="297" customWidth="1"/>
    <col min="13827" max="13832" width="9.140625" style="297"/>
    <col min="13833" max="13833" width="11" style="297" customWidth="1"/>
    <col min="13834" max="13834" width="13.28515625" style="297" customWidth="1"/>
    <col min="13835" max="14081" width="9.140625" style="297"/>
    <col min="14082" max="14082" width="34.7109375" style="297" customWidth="1"/>
    <col min="14083" max="14088" width="9.140625" style="297"/>
    <col min="14089" max="14089" width="11" style="297" customWidth="1"/>
    <col min="14090" max="14090" width="13.28515625" style="297" customWidth="1"/>
    <col min="14091" max="14337" width="9.140625" style="297"/>
    <col min="14338" max="14338" width="34.7109375" style="297" customWidth="1"/>
    <col min="14339" max="14344" width="9.140625" style="297"/>
    <col min="14345" max="14345" width="11" style="297" customWidth="1"/>
    <col min="14346" max="14346" width="13.28515625" style="297" customWidth="1"/>
    <col min="14347" max="14593" width="9.140625" style="297"/>
    <col min="14594" max="14594" width="34.7109375" style="297" customWidth="1"/>
    <col min="14595" max="14600" width="9.140625" style="297"/>
    <col min="14601" max="14601" width="11" style="297" customWidth="1"/>
    <col min="14602" max="14602" width="13.28515625" style="297" customWidth="1"/>
    <col min="14603" max="14849" width="9.140625" style="297"/>
    <col min="14850" max="14850" width="34.7109375" style="297" customWidth="1"/>
    <col min="14851" max="14856" width="9.140625" style="297"/>
    <col min="14857" max="14857" width="11" style="297" customWidth="1"/>
    <col min="14858" max="14858" width="13.28515625" style="297" customWidth="1"/>
    <col min="14859" max="15105" width="9.140625" style="297"/>
    <col min="15106" max="15106" width="34.7109375" style="297" customWidth="1"/>
    <col min="15107" max="15112" width="9.140625" style="297"/>
    <col min="15113" max="15113" width="11" style="297" customWidth="1"/>
    <col min="15114" max="15114" width="13.28515625" style="297" customWidth="1"/>
    <col min="15115" max="15361" width="9.140625" style="297"/>
    <col min="15362" max="15362" width="34.7109375" style="297" customWidth="1"/>
    <col min="15363" max="15368" width="9.140625" style="297"/>
    <col min="15369" max="15369" width="11" style="297" customWidth="1"/>
    <col min="15370" max="15370" width="13.28515625" style="297" customWidth="1"/>
    <col min="15371" max="15617" width="9.140625" style="297"/>
    <col min="15618" max="15618" width="34.7109375" style="297" customWidth="1"/>
    <col min="15619" max="15624" width="9.140625" style="297"/>
    <col min="15625" max="15625" width="11" style="297" customWidth="1"/>
    <col min="15626" max="15626" width="13.28515625" style="297" customWidth="1"/>
    <col min="15627" max="15873" width="9.140625" style="297"/>
    <col min="15874" max="15874" width="34.7109375" style="297" customWidth="1"/>
    <col min="15875" max="15880" width="9.140625" style="297"/>
    <col min="15881" max="15881" width="11" style="297" customWidth="1"/>
    <col min="15882" max="15882" width="13.28515625" style="297" customWidth="1"/>
    <col min="15883" max="16129" width="9.140625" style="297"/>
    <col min="16130" max="16130" width="34.7109375" style="297" customWidth="1"/>
    <col min="16131" max="16136" width="9.140625" style="297"/>
    <col min="16137" max="16137" width="11" style="297" customWidth="1"/>
    <col min="16138" max="16138" width="13.28515625" style="297" customWidth="1"/>
    <col min="16139" max="16384" width="9.140625" style="297"/>
  </cols>
  <sheetData>
    <row r="1" spans="2:14" ht="21" thickBot="1" x14ac:dyDescent="0.35"/>
    <row r="2" spans="2:14" ht="21" thickBot="1" x14ac:dyDescent="0.35">
      <c r="B2" s="298"/>
      <c r="C2" s="388" t="s">
        <v>83</v>
      </c>
      <c r="D2" s="389"/>
      <c r="E2" s="389"/>
      <c r="F2" s="389"/>
      <c r="G2" s="389"/>
      <c r="H2" s="389"/>
      <c r="I2" s="389"/>
      <c r="J2" s="390"/>
    </row>
    <row r="3" spans="2:14" x14ac:dyDescent="0.3">
      <c r="C3" s="299"/>
    </row>
    <row r="4" spans="2:14" x14ac:dyDescent="0.3">
      <c r="C4" s="299"/>
    </row>
    <row r="5" spans="2:14" x14ac:dyDescent="0.3">
      <c r="C5" s="299"/>
    </row>
    <row r="6" spans="2:14" x14ac:dyDescent="0.3">
      <c r="C6" s="299"/>
      <c r="I6" s="300"/>
      <c r="J6" s="300"/>
      <c r="K6" s="300"/>
      <c r="L6" s="300"/>
      <c r="M6" s="300"/>
      <c r="N6" s="301"/>
    </row>
    <row r="7" spans="2:14" ht="21" thickBot="1" x14ac:dyDescent="0.35">
      <c r="C7" s="299"/>
      <c r="I7" s="301"/>
      <c r="J7" s="301"/>
      <c r="K7" s="301"/>
      <c r="L7" s="301"/>
      <c r="M7" s="301"/>
      <c r="N7" s="301"/>
    </row>
    <row r="8" spans="2:14" ht="21" thickBot="1" x14ac:dyDescent="0.35">
      <c r="B8" s="302" t="s">
        <v>84</v>
      </c>
      <c r="C8" s="303" t="s">
        <v>85</v>
      </c>
      <c r="D8" s="304" t="s">
        <v>34</v>
      </c>
      <c r="E8" s="304" t="s">
        <v>35</v>
      </c>
      <c r="F8" s="305" t="s">
        <v>36</v>
      </c>
      <c r="G8" s="306" t="s">
        <v>37</v>
      </c>
      <c r="H8" s="303" t="s">
        <v>38</v>
      </c>
      <c r="I8" s="307"/>
      <c r="J8" s="307"/>
      <c r="K8" s="307"/>
      <c r="L8" s="307"/>
      <c r="M8" s="307"/>
      <c r="N8" s="301"/>
    </row>
    <row r="9" spans="2:14" x14ac:dyDescent="0.3">
      <c r="B9" s="308" t="str">
        <f>'Classificação VAL CIP 2 (2)'!B29</f>
        <v>Projeto MIM</v>
      </c>
      <c r="C9" s="309">
        <f>-'Programa de Invest'!B8</f>
        <v>-25000</v>
      </c>
      <c r="D9" s="309">
        <f>'Programa de Invest'!C8</f>
        <v>12000</v>
      </c>
      <c r="E9" s="309">
        <f>'Programa de Invest'!D8</f>
        <v>10000</v>
      </c>
      <c r="F9" s="309">
        <f>'Programa de Invest'!E8</f>
        <v>8000</v>
      </c>
      <c r="G9" s="310"/>
      <c r="H9" s="310"/>
      <c r="I9" s="311"/>
      <c r="J9" s="311"/>
      <c r="K9" s="311"/>
      <c r="L9" s="312"/>
      <c r="M9" s="311"/>
      <c r="N9" s="301"/>
    </row>
    <row r="10" spans="2:14" x14ac:dyDescent="0.3">
      <c r="B10" s="308" t="str">
        <f>'Classificação VAL CIP 2 (2)'!B30</f>
        <v>Projeto MAX</v>
      </c>
      <c r="C10" s="309">
        <f>-'Programa de Invest'!B9</f>
        <v>-85000</v>
      </c>
      <c r="D10" s="310"/>
      <c r="E10" s="310"/>
      <c r="F10" s="310"/>
      <c r="G10" s="310"/>
      <c r="H10" s="310"/>
      <c r="I10" s="311"/>
      <c r="J10" s="311"/>
      <c r="K10" s="311"/>
      <c r="L10" s="312"/>
      <c r="M10" s="311"/>
      <c r="N10" s="301"/>
    </row>
    <row r="11" spans="2:14" x14ac:dyDescent="0.3">
      <c r="B11" s="308" t="str">
        <f>'Classificação VAL CIP 2 (2)'!B31</f>
        <v>Projeto ZAPY's</v>
      </c>
      <c r="C11" s="309">
        <f>-'Programa de Invest'!B10</f>
        <v>-50000</v>
      </c>
      <c r="D11" s="309">
        <f>'Programa de Invest'!C10</f>
        <v>5000</v>
      </c>
      <c r="E11" s="309">
        <f>'Programa de Invest'!D10</f>
        <v>5000</v>
      </c>
      <c r="F11" s="309">
        <f>'Programa de Invest'!E10</f>
        <v>5000</v>
      </c>
      <c r="G11" s="309">
        <f>'Programa de Invest'!F10</f>
        <v>5000</v>
      </c>
      <c r="H11" s="310"/>
      <c r="I11" s="311"/>
      <c r="J11" s="311"/>
      <c r="K11" s="313"/>
      <c r="L11" s="311"/>
      <c r="M11" s="311"/>
      <c r="N11" s="301"/>
    </row>
    <row r="12" spans="2:14" x14ac:dyDescent="0.3">
      <c r="B12" s="308" t="str">
        <f>'Classificação VAL CIP 2 (2)'!B32</f>
        <v>Projeto ZANA's</v>
      </c>
      <c r="C12" s="309">
        <f>-'Programa de Invest'!B11</f>
        <v>-45000</v>
      </c>
      <c r="D12" s="309">
        <f>'Programa de Invest'!C11</f>
        <v>10000</v>
      </c>
      <c r="E12" s="309">
        <f>'Programa de Invest'!D11</f>
        <v>10000</v>
      </c>
      <c r="F12" s="309">
        <f>'Programa de Invest'!E11</f>
        <v>10000</v>
      </c>
      <c r="G12" s="310"/>
      <c r="H12" s="310"/>
      <c r="I12" s="311"/>
      <c r="J12" s="311"/>
      <c r="K12" s="311"/>
      <c r="L12" s="312"/>
      <c r="M12" s="311"/>
      <c r="N12" s="301"/>
    </row>
    <row r="13" spans="2:14" x14ac:dyDescent="0.3">
      <c r="B13" s="308" t="str">
        <f>'Classificação VAL CIP 2 (2)'!B33</f>
        <v>Projeto MAYO</v>
      </c>
      <c r="C13" s="309">
        <f>-'Programa de Invest'!B12</f>
        <v>-65000</v>
      </c>
      <c r="D13" s="310"/>
      <c r="E13" s="310"/>
      <c r="F13" s="310"/>
      <c r="G13" s="310"/>
      <c r="H13" s="310"/>
      <c r="I13" s="311"/>
      <c r="J13" s="311"/>
      <c r="K13" s="311"/>
      <c r="L13" s="312"/>
      <c r="M13" s="311"/>
      <c r="N13" s="301"/>
    </row>
    <row r="14" spans="2:14" x14ac:dyDescent="0.3">
      <c r="B14" s="308" t="str">
        <f>'Classificação VAL CIP 2 (2)'!B34</f>
        <v>Projeto BVIST</v>
      </c>
      <c r="C14" s="309">
        <f>-'Programa de Invest'!B13</f>
        <v>-68000</v>
      </c>
      <c r="D14" s="310"/>
      <c r="E14" s="310"/>
      <c r="F14" s="310"/>
      <c r="G14" s="310"/>
      <c r="H14" s="310"/>
      <c r="I14" s="311"/>
      <c r="J14" s="311"/>
      <c r="K14" s="313"/>
      <c r="L14" s="311"/>
      <c r="M14" s="311"/>
      <c r="N14" s="301"/>
    </row>
    <row r="15" spans="2:14" x14ac:dyDescent="0.3">
      <c r="B15" s="308" t="str">
        <f>'Classificação VAL CIP 2 (2)'!B35</f>
        <v>Projeto SAL</v>
      </c>
      <c r="C15" s="309">
        <f>-'Programa de Invest'!B14</f>
        <v>-25000</v>
      </c>
      <c r="D15" s="309"/>
      <c r="E15" s="309">
        <f>'Programa de Invest'!D14</f>
        <v>25000</v>
      </c>
      <c r="F15" s="309"/>
      <c r="G15" s="309">
        <f>'Programa de Invest'!F14</f>
        <v>15000</v>
      </c>
      <c r="H15" s="310"/>
      <c r="I15" s="311"/>
      <c r="J15" s="311"/>
      <c r="K15" s="311"/>
      <c r="L15" s="314"/>
      <c r="M15" s="312"/>
      <c r="N15" s="301"/>
    </row>
    <row r="16" spans="2:14" x14ac:dyDescent="0.3">
      <c r="B16" s="308" t="str">
        <f>'Classificação VAL CIP 2 (2)'!B36</f>
        <v>Projeto PRAIA</v>
      </c>
      <c r="C16" s="309">
        <f>-'Programa de Invest'!B15</f>
        <v>-20000</v>
      </c>
      <c r="D16" s="309">
        <f>'Programa de Invest'!C15</f>
        <v>20000</v>
      </c>
      <c r="E16" s="309">
        <f>'Programa de Invest'!D15</f>
        <v>15000</v>
      </c>
      <c r="F16" s="309">
        <f>'Programa de Invest'!E15</f>
        <v>15000</v>
      </c>
      <c r="G16" s="309"/>
      <c r="H16" s="310"/>
      <c r="I16" s="311"/>
      <c r="J16" s="311"/>
      <c r="K16" s="312"/>
      <c r="L16" s="311"/>
      <c r="M16" s="311"/>
      <c r="N16" s="301"/>
    </row>
    <row r="17" spans="1:15" x14ac:dyDescent="0.3">
      <c r="B17" s="308" t="str">
        <f>'Classificação VAL CIP 2 (2)'!B37</f>
        <v>Projeto DANA</v>
      </c>
      <c r="C17" s="309">
        <f>-'Programa de Invest'!B16</f>
        <v>-75000</v>
      </c>
      <c r="D17" s="310"/>
      <c r="E17" s="310"/>
      <c r="F17" s="310"/>
      <c r="G17" s="310"/>
      <c r="H17" s="310"/>
      <c r="I17" s="311"/>
      <c r="J17" s="311"/>
      <c r="K17" s="312"/>
      <c r="L17" s="311"/>
      <c r="M17" s="311"/>
      <c r="N17" s="301"/>
    </row>
    <row r="18" spans="1:15" x14ac:dyDescent="0.3">
      <c r="B18" s="308" t="str">
        <f>'Classificação VAL CIP 2 (2)'!B38</f>
        <v>Projeto DAMA</v>
      </c>
      <c r="C18" s="309">
        <f>-'Programa de Invest'!B17</f>
        <v>-12500</v>
      </c>
      <c r="D18" s="309">
        <f>'Programa de Invest'!C17</f>
        <v>12500</v>
      </c>
      <c r="E18" s="309">
        <f>'Programa de Invest'!D17</f>
        <v>12500</v>
      </c>
      <c r="F18" s="309">
        <f>'Programa de Invest'!E17</f>
        <v>12500</v>
      </c>
      <c r="G18" s="309">
        <f>'Programa de Invest'!F17</f>
        <v>12500</v>
      </c>
      <c r="H18" s="309">
        <f>'Programa de Invest'!G17</f>
        <v>12500</v>
      </c>
      <c r="I18" s="311"/>
      <c r="J18" s="311"/>
      <c r="K18" s="311"/>
      <c r="L18" s="312"/>
      <c r="M18" s="311"/>
      <c r="N18" s="301"/>
    </row>
    <row r="19" spans="1:15" x14ac:dyDescent="0.3">
      <c r="B19" s="315" t="s">
        <v>29</v>
      </c>
      <c r="C19" s="316"/>
      <c r="D19" s="316">
        <f>'Programa de Invest'!C58</f>
        <v>4.132400511093888E-2</v>
      </c>
      <c r="E19" s="316">
        <f>'Programa de Invest'!D58</f>
        <v>4.9588806133126655E-2</v>
      </c>
      <c r="F19" s="316">
        <f>'Programa de Invest'!E58</f>
        <v>5.9506567359751981E-2</v>
      </c>
      <c r="G19" s="316">
        <f>'Programa de Invest'!F58</f>
        <v>4.7320723824203104E-2</v>
      </c>
      <c r="H19" s="316">
        <f>'Programa de Invest'!G58</f>
        <v>3.7630315486170171E-2</v>
      </c>
      <c r="I19" s="301"/>
      <c r="J19" s="301"/>
      <c r="K19" s="301"/>
      <c r="L19" s="301"/>
      <c r="M19" s="301"/>
      <c r="N19" s="301"/>
    </row>
    <row r="20" spans="1:15" ht="26.25" thickBot="1" x14ac:dyDescent="0.4">
      <c r="B20" s="317" t="s">
        <v>86</v>
      </c>
      <c r="C20" s="318">
        <f>'Classificação VAL CIP 2 (2)'!$C$20</f>
        <v>0.12</v>
      </c>
      <c r="D20" s="319"/>
      <c r="E20" s="319"/>
      <c r="F20" s="319"/>
      <c r="G20" s="320"/>
      <c r="H20" s="320"/>
      <c r="I20" s="301"/>
      <c r="J20" s="391" t="s">
        <v>104</v>
      </c>
      <c r="K20" s="391"/>
      <c r="L20" s="391"/>
      <c r="M20" s="391"/>
      <c r="N20" s="391"/>
      <c r="O20" s="391"/>
    </row>
    <row r="21" spans="1:15" x14ac:dyDescent="0.3">
      <c r="B21" s="321"/>
      <c r="C21" s="299"/>
      <c r="J21" s="322"/>
      <c r="K21" s="322">
        <v>-1</v>
      </c>
      <c r="L21" s="322">
        <v>-2</v>
      </c>
      <c r="M21" s="322">
        <v>-3</v>
      </c>
      <c r="N21" s="322">
        <v>-4</v>
      </c>
      <c r="O21" s="322">
        <v>-5</v>
      </c>
    </row>
    <row r="22" spans="1:15" x14ac:dyDescent="0.3">
      <c r="B22" s="323" t="s">
        <v>87</v>
      </c>
      <c r="J22" s="324">
        <f>C20+1</f>
        <v>1.1200000000000001</v>
      </c>
      <c r="K22" s="325">
        <f>D19+1</f>
        <v>1.0413240051109389</v>
      </c>
      <c r="L22" s="325">
        <f>E19+1</f>
        <v>1.0495888061331267</v>
      </c>
      <c r="M22" s="325">
        <f>F19+1</f>
        <v>1.0595065673597519</v>
      </c>
      <c r="N22" s="325">
        <f>G19+1</f>
        <v>1.047320723824203</v>
      </c>
      <c r="O22" s="325">
        <f>H19+1</f>
        <v>1.0376303154861701</v>
      </c>
    </row>
    <row r="23" spans="1:15" ht="21" thickBot="1" x14ac:dyDescent="0.35">
      <c r="J23" s="326"/>
      <c r="K23" s="322"/>
      <c r="L23" s="322"/>
      <c r="M23" s="322"/>
      <c r="N23" s="322"/>
      <c r="O23" s="322"/>
    </row>
    <row r="24" spans="1:15" ht="21" thickBot="1" x14ac:dyDescent="0.35">
      <c r="B24" s="356" t="s">
        <v>88</v>
      </c>
      <c r="C24" s="357"/>
      <c r="D24" s="327">
        <f t="shared" ref="D24:H25" si="0">K24</f>
        <v>0.85742491143476607</v>
      </c>
      <c r="E24" s="327">
        <f t="shared" si="0"/>
        <v>0.72364501389478386</v>
      </c>
      <c r="F24" s="327">
        <f t="shared" si="0"/>
        <v>0.59845978592362548</v>
      </c>
      <c r="G24" s="327">
        <f t="shared" si="0"/>
        <v>0.5282130425030811</v>
      </c>
      <c r="H24" s="327">
        <f t="shared" si="0"/>
        <v>0.47173340204371245</v>
      </c>
      <c r="J24" s="322"/>
      <c r="K24" s="322">
        <f>(J22*K22)^K21</f>
        <v>0.85742491143476607</v>
      </c>
      <c r="L24" s="322">
        <f>(J22*L22)^L21</f>
        <v>0.72364501389478386</v>
      </c>
      <c r="M24" s="322">
        <f>(J22*M22)^M21</f>
        <v>0.59845978592362548</v>
      </c>
      <c r="N24" s="322">
        <f>(J22*N22)^N21</f>
        <v>0.5282130425030811</v>
      </c>
      <c r="O24" s="322">
        <f>(J22*O22)^O21</f>
        <v>0.47173340204371245</v>
      </c>
    </row>
    <row r="25" spans="1:15" ht="21" thickBot="1" x14ac:dyDescent="0.35">
      <c r="B25" s="358" t="s">
        <v>89</v>
      </c>
      <c r="C25" s="359"/>
      <c r="D25" s="328">
        <f t="shared" si="0"/>
        <v>0.16628288572425176</v>
      </c>
      <c r="E25" s="328">
        <f t="shared" si="0"/>
        <v>0.17553946286910205</v>
      </c>
      <c r="F25" s="328">
        <f t="shared" si="0"/>
        <v>0.18664735544292221</v>
      </c>
      <c r="G25" s="328">
        <f t="shared" si="0"/>
        <v>0.17299921068310753</v>
      </c>
      <c r="H25" s="328">
        <f t="shared" si="0"/>
        <v>0.16214595334451065</v>
      </c>
      <c r="J25" s="322"/>
      <c r="K25" s="329">
        <f>($J$22*K22)-1</f>
        <v>0.16628288572425176</v>
      </c>
      <c r="L25" s="329">
        <f>($J$22*L22)-1</f>
        <v>0.17553946286910205</v>
      </c>
      <c r="M25" s="329">
        <f>($J$22*M22)-1</f>
        <v>0.18664735544292221</v>
      </c>
      <c r="N25" s="329">
        <f>($J$22*N22)-1</f>
        <v>0.17299921068310753</v>
      </c>
      <c r="O25" s="329">
        <f>($J$22*O22)-1</f>
        <v>0.16214595334451065</v>
      </c>
    </row>
    <row r="26" spans="1:15" ht="21" thickBot="1" x14ac:dyDescent="0.35">
      <c r="D26" s="330"/>
      <c r="E26" s="330"/>
      <c r="F26" s="330"/>
      <c r="G26" s="330"/>
      <c r="H26" s="330"/>
    </row>
    <row r="27" spans="1:15" ht="21" thickBot="1" x14ac:dyDescent="0.35">
      <c r="A27" s="301"/>
      <c r="B27" s="388" t="s">
        <v>90</v>
      </c>
      <c r="C27" s="389"/>
      <c r="D27" s="389"/>
      <c r="E27" s="389"/>
      <c r="F27" s="389"/>
      <c r="G27" s="389"/>
      <c r="H27" s="389"/>
      <c r="I27" s="331"/>
    </row>
    <row r="28" spans="1:15" ht="21" thickBot="1" x14ac:dyDescent="0.35">
      <c r="A28" s="301"/>
      <c r="B28" s="360" t="s">
        <v>91</v>
      </c>
      <c r="C28" s="363" t="s">
        <v>28</v>
      </c>
      <c r="D28" s="364" t="s">
        <v>92</v>
      </c>
      <c r="E28" s="365"/>
      <c r="F28" s="365"/>
      <c r="G28" s="365"/>
      <c r="H28" s="365"/>
      <c r="I28" s="366" t="s">
        <v>93</v>
      </c>
      <c r="J28" s="367" t="s">
        <v>94</v>
      </c>
    </row>
    <row r="29" spans="1:15" ht="21" thickBot="1" x14ac:dyDescent="0.35">
      <c r="B29" s="361" t="str">
        <f t="shared" ref="B29:C38" si="1">+B9</f>
        <v>Projeto MIM</v>
      </c>
      <c r="C29" s="333">
        <f t="shared" si="1"/>
        <v>-25000</v>
      </c>
      <c r="D29" s="334">
        <f>+D9*D24</f>
        <v>10289.098937217193</v>
      </c>
      <c r="E29" s="334">
        <f t="shared" ref="E29:F29" si="2">+E9*E24</f>
        <v>7236.4501389478382</v>
      </c>
      <c r="F29" s="334">
        <f t="shared" si="2"/>
        <v>4787.6782873890043</v>
      </c>
      <c r="G29" s="334"/>
      <c r="H29" s="334"/>
      <c r="I29" s="335">
        <f>+SUM(D29:H29)+C29</f>
        <v>-2686.7726364459631</v>
      </c>
      <c r="J29" s="322" t="s">
        <v>99</v>
      </c>
    </row>
    <row r="30" spans="1:15" ht="21" thickBot="1" x14ac:dyDescent="0.35">
      <c r="B30" s="361" t="str">
        <f t="shared" si="1"/>
        <v>Projeto MAX</v>
      </c>
      <c r="C30" s="333">
        <f t="shared" si="1"/>
        <v>-85000</v>
      </c>
      <c r="D30" s="333"/>
      <c r="E30" s="333"/>
      <c r="F30" s="333"/>
      <c r="G30" s="333"/>
      <c r="H30" s="333"/>
      <c r="I30" s="335">
        <f t="shared" ref="I30:I37" si="3">+SUM(D30:H30)+C30</f>
        <v>-85000</v>
      </c>
      <c r="J30" s="322" t="s">
        <v>105</v>
      </c>
    </row>
    <row r="31" spans="1:15" ht="21" thickBot="1" x14ac:dyDescent="0.35">
      <c r="B31" s="361" t="str">
        <f t="shared" si="1"/>
        <v>Projeto ZAPY's</v>
      </c>
      <c r="C31" s="333">
        <f>+C11</f>
        <v>-50000</v>
      </c>
      <c r="D31" s="333">
        <f>D11*D24</f>
        <v>4287.12455717383</v>
      </c>
      <c r="E31" s="333">
        <f>E11*E24</f>
        <v>3618.2250694739191</v>
      </c>
      <c r="F31" s="333">
        <f>F11*F24</f>
        <v>2992.2989296181272</v>
      </c>
      <c r="G31" s="333">
        <f>G11*G24</f>
        <v>2641.0652125154056</v>
      </c>
      <c r="H31" s="333"/>
      <c r="I31" s="335">
        <f>+SUM(D31:H31)+C31</f>
        <v>-36461.286231218721</v>
      </c>
      <c r="J31" s="322" t="s">
        <v>96</v>
      </c>
    </row>
    <row r="32" spans="1:15" ht="21" thickBot="1" x14ac:dyDescent="0.35">
      <c r="B32" s="361" t="str">
        <f t="shared" si="1"/>
        <v>Projeto ZANA's</v>
      </c>
      <c r="C32" s="333">
        <f t="shared" si="1"/>
        <v>-45000</v>
      </c>
      <c r="D32" s="333">
        <f>D12*D24</f>
        <v>8574.24911434766</v>
      </c>
      <c r="E32" s="333">
        <f t="shared" ref="E32" si="4">E12*E24</f>
        <v>7236.4501389478382</v>
      </c>
      <c r="F32" s="333">
        <f>F12*F24</f>
        <v>5984.5978592362544</v>
      </c>
      <c r="G32" s="333"/>
      <c r="H32" s="333"/>
      <c r="I32" s="335">
        <f t="shared" si="3"/>
        <v>-23204.702887468247</v>
      </c>
      <c r="J32" s="322" t="s">
        <v>98</v>
      </c>
    </row>
    <row r="33" spans="2:10" ht="21" thickBot="1" x14ac:dyDescent="0.35">
      <c r="B33" s="361" t="str">
        <f t="shared" si="1"/>
        <v>Projeto MAYO</v>
      </c>
      <c r="C33" s="333">
        <f t="shared" si="1"/>
        <v>-65000</v>
      </c>
      <c r="D33" s="333"/>
      <c r="E33" s="333"/>
      <c r="F33" s="333"/>
      <c r="G33" s="333"/>
      <c r="H33" s="333"/>
      <c r="I33" s="335">
        <f t="shared" si="3"/>
        <v>-65000</v>
      </c>
      <c r="J33" s="322" t="s">
        <v>95</v>
      </c>
    </row>
    <row r="34" spans="2:10" ht="21" thickBot="1" x14ac:dyDescent="0.35">
      <c r="B34" s="361" t="str">
        <f t="shared" si="1"/>
        <v>Projeto BVIST</v>
      </c>
      <c r="C34" s="333">
        <f t="shared" si="1"/>
        <v>-68000</v>
      </c>
      <c r="D34" s="333"/>
      <c r="E34" s="333"/>
      <c r="F34" s="333"/>
      <c r="G34" s="333"/>
      <c r="H34" s="333"/>
      <c r="I34" s="335">
        <f t="shared" si="3"/>
        <v>-68000</v>
      </c>
      <c r="J34" s="322" t="s">
        <v>103</v>
      </c>
    </row>
    <row r="35" spans="2:10" ht="21" thickBot="1" x14ac:dyDescent="0.35">
      <c r="B35" s="361" t="str">
        <f t="shared" si="1"/>
        <v>Projeto SAL</v>
      </c>
      <c r="C35" s="333">
        <f t="shared" si="1"/>
        <v>-25000</v>
      </c>
      <c r="D35" s="333"/>
      <c r="E35" s="333">
        <f t="shared" ref="E35:G35" si="5">E15*E24</f>
        <v>18091.125347369598</v>
      </c>
      <c r="F35" s="333"/>
      <c r="G35" s="333">
        <f t="shared" si="5"/>
        <v>7923.1956375462169</v>
      </c>
      <c r="H35" s="333"/>
      <c r="I35" s="335">
        <f t="shared" si="3"/>
        <v>1014.3209849158156</v>
      </c>
      <c r="J35" s="336" t="s">
        <v>102</v>
      </c>
    </row>
    <row r="36" spans="2:10" ht="21" thickBot="1" x14ac:dyDescent="0.35">
      <c r="B36" s="361" t="str">
        <f t="shared" si="1"/>
        <v>Projeto PRAIA</v>
      </c>
      <c r="C36" s="333">
        <f t="shared" si="1"/>
        <v>-20000</v>
      </c>
      <c r="D36" s="333">
        <f>D16*D24</f>
        <v>17148.49822869532</v>
      </c>
      <c r="E36" s="333">
        <f t="shared" ref="E36:F36" si="6">E16*E24</f>
        <v>10854.675208421759</v>
      </c>
      <c r="F36" s="333">
        <f t="shared" si="6"/>
        <v>8976.896788854383</v>
      </c>
      <c r="G36" s="333"/>
      <c r="H36" s="333"/>
      <c r="I36" s="335">
        <f t="shared" si="3"/>
        <v>16980.07022597146</v>
      </c>
      <c r="J36" s="336" t="s">
        <v>100</v>
      </c>
    </row>
    <row r="37" spans="2:10" ht="21" thickBot="1" x14ac:dyDescent="0.35">
      <c r="B37" s="361" t="str">
        <f t="shared" si="1"/>
        <v>Projeto DANA</v>
      </c>
      <c r="C37" s="337">
        <f t="shared" si="1"/>
        <v>-75000</v>
      </c>
      <c r="D37" s="337"/>
      <c r="E37" s="337"/>
      <c r="F37" s="337"/>
      <c r="G37" s="337"/>
      <c r="H37" s="337"/>
      <c r="I37" s="335">
        <f t="shared" si="3"/>
        <v>-75000</v>
      </c>
      <c r="J37" s="322" t="s">
        <v>101</v>
      </c>
    </row>
    <row r="38" spans="2:10" ht="21" thickBot="1" x14ac:dyDescent="0.35">
      <c r="B38" s="362" t="str">
        <f t="shared" si="1"/>
        <v>Projeto DAMA</v>
      </c>
      <c r="C38" s="338">
        <f t="shared" si="1"/>
        <v>-12500</v>
      </c>
      <c r="D38" s="338">
        <f>D18*D24</f>
        <v>10717.811392934576</v>
      </c>
      <c r="E38" s="338">
        <f t="shared" ref="E38:F38" si="7">E18*E24</f>
        <v>9045.5626736847989</v>
      </c>
      <c r="F38" s="338">
        <f t="shared" si="7"/>
        <v>7480.7473240453182</v>
      </c>
      <c r="G38" s="338">
        <f>G18*G24</f>
        <v>6602.6630312885136</v>
      </c>
      <c r="H38" s="338">
        <f>H18*H24</f>
        <v>5896.6675255464052</v>
      </c>
      <c r="I38" s="335">
        <f>+SUM(D38:H38)+C38</f>
        <v>27243.45194749962</v>
      </c>
      <c r="J38" s="336" t="s">
        <v>97</v>
      </c>
    </row>
    <row r="39" spans="2:10" x14ac:dyDescent="0.3">
      <c r="B39" s="299"/>
    </row>
    <row r="41" spans="2:10" x14ac:dyDescent="0.3">
      <c r="C41" s="332" t="str">
        <f>I28</f>
        <v>VAL_CIP</v>
      </c>
    </row>
    <row r="42" spans="2:10" x14ac:dyDescent="0.3">
      <c r="B42" s="339" t="str">
        <f>B38</f>
        <v>Projeto DAMA</v>
      </c>
      <c r="C42" s="338">
        <f>I38</f>
        <v>27243.45194749962</v>
      </c>
      <c r="G42" s="340"/>
    </row>
    <row r="43" spans="2:10" x14ac:dyDescent="0.3">
      <c r="B43" s="339" t="str">
        <f>B36</f>
        <v>Projeto PRAIA</v>
      </c>
      <c r="C43" s="338">
        <f>I36</f>
        <v>16980.07022597146</v>
      </c>
      <c r="G43" s="340"/>
    </row>
    <row r="44" spans="2:10" x14ac:dyDescent="0.3">
      <c r="B44" s="339" t="str">
        <f>B35</f>
        <v>Projeto SAL</v>
      </c>
      <c r="C44" s="338">
        <f>I35</f>
        <v>1014.3209849158156</v>
      </c>
      <c r="G44" s="340"/>
    </row>
    <row r="45" spans="2:10" x14ac:dyDescent="0.3">
      <c r="G45" s="340"/>
    </row>
    <row r="46" spans="2:10" x14ac:dyDescent="0.3">
      <c r="G46" s="340"/>
    </row>
    <row r="47" spans="2:10" x14ac:dyDescent="0.3">
      <c r="G47" s="340"/>
    </row>
    <row r="48" spans="2:10" x14ac:dyDescent="0.3">
      <c r="G48" s="340"/>
    </row>
    <row r="49" spans="7:7" x14ac:dyDescent="0.3">
      <c r="G49" s="340"/>
    </row>
    <row r="50" spans="7:7" x14ac:dyDescent="0.3">
      <c r="G50" s="340"/>
    </row>
    <row r="51" spans="7:7" x14ac:dyDescent="0.3">
      <c r="G51" s="340"/>
    </row>
  </sheetData>
  <sortState ref="G42:G51">
    <sortCondition descending="1" ref="G42"/>
  </sortState>
  <mergeCells count="3">
    <mergeCell ref="C2:J2"/>
    <mergeCell ref="B27:H27"/>
    <mergeCell ref="J20:O20"/>
  </mergeCells>
  <pageMargins left="0.7" right="0.7" top="0.75" bottom="0.75" header="0.3" footer="0.3"/>
  <pageSetup paperSize="9" scale="3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98"/>
  <sheetViews>
    <sheetView view="pageBreakPreview" topLeftCell="B31" zoomScale="93" zoomScaleNormal="140" zoomScaleSheetLayoutView="93" workbookViewId="0">
      <selection activeCell="K33" sqref="K33"/>
    </sheetView>
  </sheetViews>
  <sheetFormatPr defaultRowHeight="16.5" x14ac:dyDescent="0.3"/>
  <cols>
    <col min="1" max="2" width="9.140625" style="2"/>
    <col min="3" max="3" width="13.5703125" style="2" bestFit="1" customWidth="1"/>
    <col min="4" max="4" width="11.85546875" style="2" customWidth="1"/>
    <col min="5" max="5" width="11.42578125" style="2" customWidth="1"/>
    <col min="6" max="6" width="12.5703125" style="2" customWidth="1"/>
    <col min="7" max="7" width="12.85546875" style="2" customWidth="1"/>
    <col min="8" max="8" width="14.28515625" style="2" customWidth="1"/>
    <col min="9" max="9" width="12.85546875" style="2" customWidth="1"/>
    <col min="10" max="249" width="9.140625" style="2"/>
    <col min="250" max="250" width="13.5703125" style="2" bestFit="1" customWidth="1"/>
    <col min="251" max="251" width="11.85546875" style="2" customWidth="1"/>
    <col min="252" max="252" width="11.42578125" style="2" customWidth="1"/>
    <col min="253" max="253" width="12.5703125" style="2" customWidth="1"/>
    <col min="254" max="254" width="12.85546875" style="2" customWidth="1"/>
    <col min="255" max="255" width="14.28515625" style="2" customWidth="1"/>
    <col min="256" max="256" width="12.85546875" style="2" customWidth="1"/>
    <col min="257" max="259" width="9.140625" style="2"/>
    <col min="260" max="260" width="12.42578125" style="2" customWidth="1"/>
    <col min="261" max="261" width="9.85546875" style="2" bestFit="1" customWidth="1"/>
    <col min="262" max="262" width="14.140625" style="2" customWidth="1"/>
    <col min="263" max="263" width="12.42578125" style="2" bestFit="1" customWidth="1"/>
    <col min="264" max="264" width="19.42578125" style="2" customWidth="1"/>
    <col min="265" max="265" width="17.5703125" style="2" bestFit="1" customWidth="1"/>
    <col min="266" max="266" width="11.85546875" style="2" bestFit="1" customWidth="1"/>
    <col min="267" max="505" width="9.140625" style="2"/>
    <col min="506" max="506" width="13.5703125" style="2" bestFit="1" customWidth="1"/>
    <col min="507" max="507" width="11.85546875" style="2" customWidth="1"/>
    <col min="508" max="508" width="11.42578125" style="2" customWidth="1"/>
    <col min="509" max="509" width="12.5703125" style="2" customWidth="1"/>
    <col min="510" max="510" width="12.85546875" style="2" customWidth="1"/>
    <col min="511" max="511" width="14.28515625" style="2" customWidth="1"/>
    <col min="512" max="512" width="12.85546875" style="2" customWidth="1"/>
    <col min="513" max="515" width="9.140625" style="2"/>
    <col min="516" max="516" width="12.42578125" style="2" customWidth="1"/>
    <col min="517" max="517" width="9.85546875" style="2" bestFit="1" customWidth="1"/>
    <col min="518" max="518" width="14.140625" style="2" customWidth="1"/>
    <col min="519" max="519" width="12.42578125" style="2" bestFit="1" customWidth="1"/>
    <col min="520" max="520" width="19.42578125" style="2" customWidth="1"/>
    <col min="521" max="521" width="17.5703125" style="2" bestFit="1" customWidth="1"/>
    <col min="522" max="522" width="11.85546875" style="2" bestFit="1" customWidth="1"/>
    <col min="523" max="761" width="9.140625" style="2"/>
    <col min="762" max="762" width="13.5703125" style="2" bestFit="1" customWidth="1"/>
    <col min="763" max="763" width="11.85546875" style="2" customWidth="1"/>
    <col min="764" max="764" width="11.42578125" style="2" customWidth="1"/>
    <col min="765" max="765" width="12.5703125" style="2" customWidth="1"/>
    <col min="766" max="766" width="12.85546875" style="2" customWidth="1"/>
    <col min="767" max="767" width="14.28515625" style="2" customWidth="1"/>
    <col min="768" max="768" width="12.85546875" style="2" customWidth="1"/>
    <col min="769" max="771" width="9.140625" style="2"/>
    <col min="772" max="772" width="12.42578125" style="2" customWidth="1"/>
    <col min="773" max="773" width="9.85546875" style="2" bestFit="1" customWidth="1"/>
    <col min="774" max="774" width="14.140625" style="2" customWidth="1"/>
    <col min="775" max="775" width="12.42578125" style="2" bestFit="1" customWidth="1"/>
    <col min="776" max="776" width="19.42578125" style="2" customWidth="1"/>
    <col min="777" max="777" width="17.5703125" style="2" bestFit="1" customWidth="1"/>
    <col min="778" max="778" width="11.85546875" style="2" bestFit="1" customWidth="1"/>
    <col min="779" max="1017" width="9.140625" style="2"/>
    <col min="1018" max="1018" width="13.5703125" style="2" bestFit="1" customWidth="1"/>
    <col min="1019" max="1019" width="11.85546875" style="2" customWidth="1"/>
    <col min="1020" max="1020" width="11.42578125" style="2" customWidth="1"/>
    <col min="1021" max="1021" width="12.5703125" style="2" customWidth="1"/>
    <col min="1022" max="1022" width="12.85546875" style="2" customWidth="1"/>
    <col min="1023" max="1023" width="14.28515625" style="2" customWidth="1"/>
    <col min="1024" max="1024" width="12.85546875" style="2" customWidth="1"/>
    <col min="1025" max="1027" width="9.140625" style="2"/>
    <col min="1028" max="1028" width="12.42578125" style="2" customWidth="1"/>
    <col min="1029" max="1029" width="9.85546875" style="2" bestFit="1" customWidth="1"/>
    <col min="1030" max="1030" width="14.140625" style="2" customWidth="1"/>
    <col min="1031" max="1031" width="12.42578125" style="2" bestFit="1" customWidth="1"/>
    <col min="1032" max="1032" width="19.42578125" style="2" customWidth="1"/>
    <col min="1033" max="1033" width="17.5703125" style="2" bestFit="1" customWidth="1"/>
    <col min="1034" max="1034" width="11.85546875" style="2" bestFit="1" customWidth="1"/>
    <col min="1035" max="1273" width="9.140625" style="2"/>
    <col min="1274" max="1274" width="13.5703125" style="2" bestFit="1" customWidth="1"/>
    <col min="1275" max="1275" width="11.85546875" style="2" customWidth="1"/>
    <col min="1276" max="1276" width="11.42578125" style="2" customWidth="1"/>
    <col min="1277" max="1277" width="12.5703125" style="2" customWidth="1"/>
    <col min="1278" max="1278" width="12.85546875" style="2" customWidth="1"/>
    <col min="1279" max="1279" width="14.28515625" style="2" customWidth="1"/>
    <col min="1280" max="1280" width="12.85546875" style="2" customWidth="1"/>
    <col min="1281" max="1283" width="9.140625" style="2"/>
    <col min="1284" max="1284" width="12.42578125" style="2" customWidth="1"/>
    <col min="1285" max="1285" width="9.85546875" style="2" bestFit="1" customWidth="1"/>
    <col min="1286" max="1286" width="14.140625" style="2" customWidth="1"/>
    <col min="1287" max="1287" width="12.42578125" style="2" bestFit="1" customWidth="1"/>
    <col min="1288" max="1288" width="19.42578125" style="2" customWidth="1"/>
    <col min="1289" max="1289" width="17.5703125" style="2" bestFit="1" customWidth="1"/>
    <col min="1290" max="1290" width="11.85546875" style="2" bestFit="1" customWidth="1"/>
    <col min="1291" max="1529" width="9.140625" style="2"/>
    <col min="1530" max="1530" width="13.5703125" style="2" bestFit="1" customWidth="1"/>
    <col min="1531" max="1531" width="11.85546875" style="2" customWidth="1"/>
    <col min="1532" max="1532" width="11.42578125" style="2" customWidth="1"/>
    <col min="1533" max="1533" width="12.5703125" style="2" customWidth="1"/>
    <col min="1534" max="1534" width="12.85546875" style="2" customWidth="1"/>
    <col min="1535" max="1535" width="14.28515625" style="2" customWidth="1"/>
    <col min="1536" max="1536" width="12.85546875" style="2" customWidth="1"/>
    <col min="1537" max="1539" width="9.140625" style="2"/>
    <col min="1540" max="1540" width="12.42578125" style="2" customWidth="1"/>
    <col min="1541" max="1541" width="9.85546875" style="2" bestFit="1" customWidth="1"/>
    <col min="1542" max="1542" width="14.140625" style="2" customWidth="1"/>
    <col min="1543" max="1543" width="12.42578125" style="2" bestFit="1" customWidth="1"/>
    <col min="1544" max="1544" width="19.42578125" style="2" customWidth="1"/>
    <col min="1545" max="1545" width="17.5703125" style="2" bestFit="1" customWidth="1"/>
    <col min="1546" max="1546" width="11.85546875" style="2" bestFit="1" customWidth="1"/>
    <col min="1547" max="1785" width="9.140625" style="2"/>
    <col min="1786" max="1786" width="13.5703125" style="2" bestFit="1" customWidth="1"/>
    <col min="1787" max="1787" width="11.85546875" style="2" customWidth="1"/>
    <col min="1788" max="1788" width="11.42578125" style="2" customWidth="1"/>
    <col min="1789" max="1789" width="12.5703125" style="2" customWidth="1"/>
    <col min="1790" max="1790" width="12.85546875" style="2" customWidth="1"/>
    <col min="1791" max="1791" width="14.28515625" style="2" customWidth="1"/>
    <col min="1792" max="1792" width="12.85546875" style="2" customWidth="1"/>
    <col min="1793" max="1795" width="9.140625" style="2"/>
    <col min="1796" max="1796" width="12.42578125" style="2" customWidth="1"/>
    <col min="1797" max="1797" width="9.85546875" style="2" bestFit="1" customWidth="1"/>
    <col min="1798" max="1798" width="14.140625" style="2" customWidth="1"/>
    <col min="1799" max="1799" width="12.42578125" style="2" bestFit="1" customWidth="1"/>
    <col min="1800" max="1800" width="19.42578125" style="2" customWidth="1"/>
    <col min="1801" max="1801" width="17.5703125" style="2" bestFit="1" customWidth="1"/>
    <col min="1802" max="1802" width="11.85546875" style="2" bestFit="1" customWidth="1"/>
    <col min="1803" max="2041" width="9.140625" style="2"/>
    <col min="2042" max="2042" width="13.5703125" style="2" bestFit="1" customWidth="1"/>
    <col min="2043" max="2043" width="11.85546875" style="2" customWidth="1"/>
    <col min="2044" max="2044" width="11.42578125" style="2" customWidth="1"/>
    <col min="2045" max="2045" width="12.5703125" style="2" customWidth="1"/>
    <col min="2046" max="2046" width="12.85546875" style="2" customWidth="1"/>
    <col min="2047" max="2047" width="14.28515625" style="2" customWidth="1"/>
    <col min="2048" max="2048" width="12.85546875" style="2" customWidth="1"/>
    <col min="2049" max="2051" width="9.140625" style="2"/>
    <col min="2052" max="2052" width="12.42578125" style="2" customWidth="1"/>
    <col min="2053" max="2053" width="9.85546875" style="2" bestFit="1" customWidth="1"/>
    <col min="2054" max="2054" width="14.140625" style="2" customWidth="1"/>
    <col min="2055" max="2055" width="12.42578125" style="2" bestFit="1" customWidth="1"/>
    <col min="2056" max="2056" width="19.42578125" style="2" customWidth="1"/>
    <col min="2057" max="2057" width="17.5703125" style="2" bestFit="1" customWidth="1"/>
    <col min="2058" max="2058" width="11.85546875" style="2" bestFit="1" customWidth="1"/>
    <col min="2059" max="2297" width="9.140625" style="2"/>
    <col min="2298" max="2298" width="13.5703125" style="2" bestFit="1" customWidth="1"/>
    <col min="2299" max="2299" width="11.85546875" style="2" customWidth="1"/>
    <col min="2300" max="2300" width="11.42578125" style="2" customWidth="1"/>
    <col min="2301" max="2301" width="12.5703125" style="2" customWidth="1"/>
    <col min="2302" max="2302" width="12.85546875" style="2" customWidth="1"/>
    <col min="2303" max="2303" width="14.28515625" style="2" customWidth="1"/>
    <col min="2304" max="2304" width="12.85546875" style="2" customWidth="1"/>
    <col min="2305" max="2307" width="9.140625" style="2"/>
    <col min="2308" max="2308" width="12.42578125" style="2" customWidth="1"/>
    <col min="2309" max="2309" width="9.85546875" style="2" bestFit="1" customWidth="1"/>
    <col min="2310" max="2310" width="14.140625" style="2" customWidth="1"/>
    <col min="2311" max="2311" width="12.42578125" style="2" bestFit="1" customWidth="1"/>
    <col min="2312" max="2312" width="19.42578125" style="2" customWidth="1"/>
    <col min="2313" max="2313" width="17.5703125" style="2" bestFit="1" customWidth="1"/>
    <col min="2314" max="2314" width="11.85546875" style="2" bestFit="1" customWidth="1"/>
    <col min="2315" max="2553" width="9.140625" style="2"/>
    <col min="2554" max="2554" width="13.5703125" style="2" bestFit="1" customWidth="1"/>
    <col min="2555" max="2555" width="11.85546875" style="2" customWidth="1"/>
    <col min="2556" max="2556" width="11.42578125" style="2" customWidth="1"/>
    <col min="2557" max="2557" width="12.5703125" style="2" customWidth="1"/>
    <col min="2558" max="2558" width="12.85546875" style="2" customWidth="1"/>
    <col min="2559" max="2559" width="14.28515625" style="2" customWidth="1"/>
    <col min="2560" max="2560" width="12.85546875" style="2" customWidth="1"/>
    <col min="2561" max="2563" width="9.140625" style="2"/>
    <col min="2564" max="2564" width="12.42578125" style="2" customWidth="1"/>
    <col min="2565" max="2565" width="9.85546875" style="2" bestFit="1" customWidth="1"/>
    <col min="2566" max="2566" width="14.140625" style="2" customWidth="1"/>
    <col min="2567" max="2567" width="12.42578125" style="2" bestFit="1" customWidth="1"/>
    <col min="2568" max="2568" width="19.42578125" style="2" customWidth="1"/>
    <col min="2569" max="2569" width="17.5703125" style="2" bestFit="1" customWidth="1"/>
    <col min="2570" max="2570" width="11.85546875" style="2" bestFit="1" customWidth="1"/>
    <col min="2571" max="2809" width="9.140625" style="2"/>
    <col min="2810" max="2810" width="13.5703125" style="2" bestFit="1" customWidth="1"/>
    <col min="2811" max="2811" width="11.85546875" style="2" customWidth="1"/>
    <col min="2812" max="2812" width="11.42578125" style="2" customWidth="1"/>
    <col min="2813" max="2813" width="12.5703125" style="2" customWidth="1"/>
    <col min="2814" max="2814" width="12.85546875" style="2" customWidth="1"/>
    <col min="2815" max="2815" width="14.28515625" style="2" customWidth="1"/>
    <col min="2816" max="2816" width="12.85546875" style="2" customWidth="1"/>
    <col min="2817" max="2819" width="9.140625" style="2"/>
    <col min="2820" max="2820" width="12.42578125" style="2" customWidth="1"/>
    <col min="2821" max="2821" width="9.85546875" style="2" bestFit="1" customWidth="1"/>
    <col min="2822" max="2822" width="14.140625" style="2" customWidth="1"/>
    <col min="2823" max="2823" width="12.42578125" style="2" bestFit="1" customWidth="1"/>
    <col min="2824" max="2824" width="19.42578125" style="2" customWidth="1"/>
    <col min="2825" max="2825" width="17.5703125" style="2" bestFit="1" customWidth="1"/>
    <col min="2826" max="2826" width="11.85546875" style="2" bestFit="1" customWidth="1"/>
    <col min="2827" max="3065" width="9.140625" style="2"/>
    <col min="3066" max="3066" width="13.5703125" style="2" bestFit="1" customWidth="1"/>
    <col min="3067" max="3067" width="11.85546875" style="2" customWidth="1"/>
    <col min="3068" max="3068" width="11.42578125" style="2" customWidth="1"/>
    <col min="3069" max="3069" width="12.5703125" style="2" customWidth="1"/>
    <col min="3070" max="3070" width="12.85546875" style="2" customWidth="1"/>
    <col min="3071" max="3071" width="14.28515625" style="2" customWidth="1"/>
    <col min="3072" max="3072" width="12.85546875" style="2" customWidth="1"/>
    <col min="3073" max="3075" width="9.140625" style="2"/>
    <col min="3076" max="3076" width="12.42578125" style="2" customWidth="1"/>
    <col min="3077" max="3077" width="9.85546875" style="2" bestFit="1" customWidth="1"/>
    <col min="3078" max="3078" width="14.140625" style="2" customWidth="1"/>
    <col min="3079" max="3079" width="12.42578125" style="2" bestFit="1" customWidth="1"/>
    <col min="3080" max="3080" width="19.42578125" style="2" customWidth="1"/>
    <col min="3081" max="3081" width="17.5703125" style="2" bestFit="1" customWidth="1"/>
    <col min="3082" max="3082" width="11.85546875" style="2" bestFit="1" customWidth="1"/>
    <col min="3083" max="3321" width="9.140625" style="2"/>
    <col min="3322" max="3322" width="13.5703125" style="2" bestFit="1" customWidth="1"/>
    <col min="3323" max="3323" width="11.85546875" style="2" customWidth="1"/>
    <col min="3324" max="3324" width="11.42578125" style="2" customWidth="1"/>
    <col min="3325" max="3325" width="12.5703125" style="2" customWidth="1"/>
    <col min="3326" max="3326" width="12.85546875" style="2" customWidth="1"/>
    <col min="3327" max="3327" width="14.28515625" style="2" customWidth="1"/>
    <col min="3328" max="3328" width="12.85546875" style="2" customWidth="1"/>
    <col min="3329" max="3331" width="9.140625" style="2"/>
    <col min="3332" max="3332" width="12.42578125" style="2" customWidth="1"/>
    <col min="3333" max="3333" width="9.85546875" style="2" bestFit="1" customWidth="1"/>
    <col min="3334" max="3334" width="14.140625" style="2" customWidth="1"/>
    <col min="3335" max="3335" width="12.42578125" style="2" bestFit="1" customWidth="1"/>
    <col min="3336" max="3336" width="19.42578125" style="2" customWidth="1"/>
    <col min="3337" max="3337" width="17.5703125" style="2" bestFit="1" customWidth="1"/>
    <col min="3338" max="3338" width="11.85546875" style="2" bestFit="1" customWidth="1"/>
    <col min="3339" max="3577" width="9.140625" style="2"/>
    <col min="3578" max="3578" width="13.5703125" style="2" bestFit="1" customWidth="1"/>
    <col min="3579" max="3579" width="11.85546875" style="2" customWidth="1"/>
    <col min="3580" max="3580" width="11.42578125" style="2" customWidth="1"/>
    <col min="3581" max="3581" width="12.5703125" style="2" customWidth="1"/>
    <col min="3582" max="3582" width="12.85546875" style="2" customWidth="1"/>
    <col min="3583" max="3583" width="14.28515625" style="2" customWidth="1"/>
    <col min="3584" max="3584" width="12.85546875" style="2" customWidth="1"/>
    <col min="3585" max="3587" width="9.140625" style="2"/>
    <col min="3588" max="3588" width="12.42578125" style="2" customWidth="1"/>
    <col min="3589" max="3589" width="9.85546875" style="2" bestFit="1" customWidth="1"/>
    <col min="3590" max="3590" width="14.140625" style="2" customWidth="1"/>
    <col min="3591" max="3591" width="12.42578125" style="2" bestFit="1" customWidth="1"/>
    <col min="3592" max="3592" width="19.42578125" style="2" customWidth="1"/>
    <col min="3593" max="3593" width="17.5703125" style="2" bestFit="1" customWidth="1"/>
    <col min="3594" max="3594" width="11.85546875" style="2" bestFit="1" customWidth="1"/>
    <col min="3595" max="3833" width="9.140625" style="2"/>
    <col min="3834" max="3834" width="13.5703125" style="2" bestFit="1" customWidth="1"/>
    <col min="3835" max="3835" width="11.85546875" style="2" customWidth="1"/>
    <col min="3836" max="3836" width="11.42578125" style="2" customWidth="1"/>
    <col min="3837" max="3837" width="12.5703125" style="2" customWidth="1"/>
    <col min="3838" max="3838" width="12.85546875" style="2" customWidth="1"/>
    <col min="3839" max="3839" width="14.28515625" style="2" customWidth="1"/>
    <col min="3840" max="3840" width="12.85546875" style="2" customWidth="1"/>
    <col min="3841" max="3843" width="9.140625" style="2"/>
    <col min="3844" max="3844" width="12.42578125" style="2" customWidth="1"/>
    <col min="3845" max="3845" width="9.85546875" style="2" bestFit="1" customWidth="1"/>
    <col min="3846" max="3846" width="14.140625" style="2" customWidth="1"/>
    <col min="3847" max="3847" width="12.42578125" style="2" bestFit="1" customWidth="1"/>
    <col min="3848" max="3848" width="19.42578125" style="2" customWidth="1"/>
    <col min="3849" max="3849" width="17.5703125" style="2" bestFit="1" customWidth="1"/>
    <col min="3850" max="3850" width="11.85546875" style="2" bestFit="1" customWidth="1"/>
    <col min="3851" max="4089" width="9.140625" style="2"/>
    <col min="4090" max="4090" width="13.5703125" style="2" bestFit="1" customWidth="1"/>
    <col min="4091" max="4091" width="11.85546875" style="2" customWidth="1"/>
    <col min="4092" max="4092" width="11.42578125" style="2" customWidth="1"/>
    <col min="4093" max="4093" width="12.5703125" style="2" customWidth="1"/>
    <col min="4094" max="4094" width="12.85546875" style="2" customWidth="1"/>
    <col min="4095" max="4095" width="14.28515625" style="2" customWidth="1"/>
    <col min="4096" max="4096" width="12.85546875" style="2" customWidth="1"/>
    <col min="4097" max="4099" width="9.140625" style="2"/>
    <col min="4100" max="4100" width="12.42578125" style="2" customWidth="1"/>
    <col min="4101" max="4101" width="9.85546875" style="2" bestFit="1" customWidth="1"/>
    <col min="4102" max="4102" width="14.140625" style="2" customWidth="1"/>
    <col min="4103" max="4103" width="12.42578125" style="2" bestFit="1" customWidth="1"/>
    <col min="4104" max="4104" width="19.42578125" style="2" customWidth="1"/>
    <col min="4105" max="4105" width="17.5703125" style="2" bestFit="1" customWidth="1"/>
    <col min="4106" max="4106" width="11.85546875" style="2" bestFit="1" customWidth="1"/>
    <col min="4107" max="4345" width="9.140625" style="2"/>
    <col min="4346" max="4346" width="13.5703125" style="2" bestFit="1" customWidth="1"/>
    <col min="4347" max="4347" width="11.85546875" style="2" customWidth="1"/>
    <col min="4348" max="4348" width="11.42578125" style="2" customWidth="1"/>
    <col min="4349" max="4349" width="12.5703125" style="2" customWidth="1"/>
    <col min="4350" max="4350" width="12.85546875" style="2" customWidth="1"/>
    <col min="4351" max="4351" width="14.28515625" style="2" customWidth="1"/>
    <col min="4352" max="4352" width="12.85546875" style="2" customWidth="1"/>
    <col min="4353" max="4355" width="9.140625" style="2"/>
    <col min="4356" max="4356" width="12.42578125" style="2" customWidth="1"/>
    <col min="4357" max="4357" width="9.85546875" style="2" bestFit="1" customWidth="1"/>
    <col min="4358" max="4358" width="14.140625" style="2" customWidth="1"/>
    <col min="4359" max="4359" width="12.42578125" style="2" bestFit="1" customWidth="1"/>
    <col min="4360" max="4360" width="19.42578125" style="2" customWidth="1"/>
    <col min="4361" max="4361" width="17.5703125" style="2" bestFit="1" customWidth="1"/>
    <col min="4362" max="4362" width="11.85546875" style="2" bestFit="1" customWidth="1"/>
    <col min="4363" max="4601" width="9.140625" style="2"/>
    <col min="4602" max="4602" width="13.5703125" style="2" bestFit="1" customWidth="1"/>
    <col min="4603" max="4603" width="11.85546875" style="2" customWidth="1"/>
    <col min="4604" max="4604" width="11.42578125" style="2" customWidth="1"/>
    <col min="4605" max="4605" width="12.5703125" style="2" customWidth="1"/>
    <col min="4606" max="4606" width="12.85546875" style="2" customWidth="1"/>
    <col min="4607" max="4607" width="14.28515625" style="2" customWidth="1"/>
    <col min="4608" max="4608" width="12.85546875" style="2" customWidth="1"/>
    <col min="4609" max="4611" width="9.140625" style="2"/>
    <col min="4612" max="4612" width="12.42578125" style="2" customWidth="1"/>
    <col min="4613" max="4613" width="9.85546875" style="2" bestFit="1" customWidth="1"/>
    <col min="4614" max="4614" width="14.140625" style="2" customWidth="1"/>
    <col min="4615" max="4615" width="12.42578125" style="2" bestFit="1" customWidth="1"/>
    <col min="4616" max="4616" width="19.42578125" style="2" customWidth="1"/>
    <col min="4617" max="4617" width="17.5703125" style="2" bestFit="1" customWidth="1"/>
    <col min="4618" max="4618" width="11.85546875" style="2" bestFit="1" customWidth="1"/>
    <col min="4619" max="4857" width="9.140625" style="2"/>
    <col min="4858" max="4858" width="13.5703125" style="2" bestFit="1" customWidth="1"/>
    <col min="4859" max="4859" width="11.85546875" style="2" customWidth="1"/>
    <col min="4860" max="4860" width="11.42578125" style="2" customWidth="1"/>
    <col min="4861" max="4861" width="12.5703125" style="2" customWidth="1"/>
    <col min="4862" max="4862" width="12.85546875" style="2" customWidth="1"/>
    <col min="4863" max="4863" width="14.28515625" style="2" customWidth="1"/>
    <col min="4864" max="4864" width="12.85546875" style="2" customWidth="1"/>
    <col min="4865" max="4867" width="9.140625" style="2"/>
    <col min="4868" max="4868" width="12.42578125" style="2" customWidth="1"/>
    <col min="4869" max="4869" width="9.85546875" style="2" bestFit="1" customWidth="1"/>
    <col min="4870" max="4870" width="14.140625" style="2" customWidth="1"/>
    <col min="4871" max="4871" width="12.42578125" style="2" bestFit="1" customWidth="1"/>
    <col min="4872" max="4872" width="19.42578125" style="2" customWidth="1"/>
    <col min="4873" max="4873" width="17.5703125" style="2" bestFit="1" customWidth="1"/>
    <col min="4874" max="4874" width="11.85546875" style="2" bestFit="1" customWidth="1"/>
    <col min="4875" max="5113" width="9.140625" style="2"/>
    <col min="5114" max="5114" width="13.5703125" style="2" bestFit="1" customWidth="1"/>
    <col min="5115" max="5115" width="11.85546875" style="2" customWidth="1"/>
    <col min="5116" max="5116" width="11.42578125" style="2" customWidth="1"/>
    <col min="5117" max="5117" width="12.5703125" style="2" customWidth="1"/>
    <col min="5118" max="5118" width="12.85546875" style="2" customWidth="1"/>
    <col min="5119" max="5119" width="14.28515625" style="2" customWidth="1"/>
    <col min="5120" max="5120" width="12.85546875" style="2" customWidth="1"/>
    <col min="5121" max="5123" width="9.140625" style="2"/>
    <col min="5124" max="5124" width="12.42578125" style="2" customWidth="1"/>
    <col min="5125" max="5125" width="9.85546875" style="2" bestFit="1" customWidth="1"/>
    <col min="5126" max="5126" width="14.140625" style="2" customWidth="1"/>
    <col min="5127" max="5127" width="12.42578125" style="2" bestFit="1" customWidth="1"/>
    <col min="5128" max="5128" width="19.42578125" style="2" customWidth="1"/>
    <col min="5129" max="5129" width="17.5703125" style="2" bestFit="1" customWidth="1"/>
    <col min="5130" max="5130" width="11.85546875" style="2" bestFit="1" customWidth="1"/>
    <col min="5131" max="5369" width="9.140625" style="2"/>
    <col min="5370" max="5370" width="13.5703125" style="2" bestFit="1" customWidth="1"/>
    <col min="5371" max="5371" width="11.85546875" style="2" customWidth="1"/>
    <col min="5372" max="5372" width="11.42578125" style="2" customWidth="1"/>
    <col min="5373" max="5373" width="12.5703125" style="2" customWidth="1"/>
    <col min="5374" max="5374" width="12.85546875" style="2" customWidth="1"/>
    <col min="5375" max="5375" width="14.28515625" style="2" customWidth="1"/>
    <col min="5376" max="5376" width="12.85546875" style="2" customWidth="1"/>
    <col min="5377" max="5379" width="9.140625" style="2"/>
    <col min="5380" max="5380" width="12.42578125" style="2" customWidth="1"/>
    <col min="5381" max="5381" width="9.85546875" style="2" bestFit="1" customWidth="1"/>
    <col min="5382" max="5382" width="14.140625" style="2" customWidth="1"/>
    <col min="5383" max="5383" width="12.42578125" style="2" bestFit="1" customWidth="1"/>
    <col min="5384" max="5384" width="19.42578125" style="2" customWidth="1"/>
    <col min="5385" max="5385" width="17.5703125" style="2" bestFit="1" customWidth="1"/>
    <col min="5386" max="5386" width="11.85546875" style="2" bestFit="1" customWidth="1"/>
    <col min="5387" max="5625" width="9.140625" style="2"/>
    <col min="5626" max="5626" width="13.5703125" style="2" bestFit="1" customWidth="1"/>
    <col min="5627" max="5627" width="11.85546875" style="2" customWidth="1"/>
    <col min="5628" max="5628" width="11.42578125" style="2" customWidth="1"/>
    <col min="5629" max="5629" width="12.5703125" style="2" customWidth="1"/>
    <col min="5630" max="5630" width="12.85546875" style="2" customWidth="1"/>
    <col min="5631" max="5631" width="14.28515625" style="2" customWidth="1"/>
    <col min="5632" max="5632" width="12.85546875" style="2" customWidth="1"/>
    <col min="5633" max="5635" width="9.140625" style="2"/>
    <col min="5636" max="5636" width="12.42578125" style="2" customWidth="1"/>
    <col min="5637" max="5637" width="9.85546875" style="2" bestFit="1" customWidth="1"/>
    <col min="5638" max="5638" width="14.140625" style="2" customWidth="1"/>
    <col min="5639" max="5639" width="12.42578125" style="2" bestFit="1" customWidth="1"/>
    <col min="5640" max="5640" width="19.42578125" style="2" customWidth="1"/>
    <col min="5641" max="5641" width="17.5703125" style="2" bestFit="1" customWidth="1"/>
    <col min="5642" max="5642" width="11.85546875" style="2" bestFit="1" customWidth="1"/>
    <col min="5643" max="5881" width="9.140625" style="2"/>
    <col min="5882" max="5882" width="13.5703125" style="2" bestFit="1" customWidth="1"/>
    <col min="5883" max="5883" width="11.85546875" style="2" customWidth="1"/>
    <col min="5884" max="5884" width="11.42578125" style="2" customWidth="1"/>
    <col min="5885" max="5885" width="12.5703125" style="2" customWidth="1"/>
    <col min="5886" max="5886" width="12.85546875" style="2" customWidth="1"/>
    <col min="5887" max="5887" width="14.28515625" style="2" customWidth="1"/>
    <col min="5888" max="5888" width="12.85546875" style="2" customWidth="1"/>
    <col min="5889" max="5891" width="9.140625" style="2"/>
    <col min="5892" max="5892" width="12.42578125" style="2" customWidth="1"/>
    <col min="5893" max="5893" width="9.85546875" style="2" bestFit="1" customWidth="1"/>
    <col min="5894" max="5894" width="14.140625" style="2" customWidth="1"/>
    <col min="5895" max="5895" width="12.42578125" style="2" bestFit="1" customWidth="1"/>
    <col min="5896" max="5896" width="19.42578125" style="2" customWidth="1"/>
    <col min="5897" max="5897" width="17.5703125" style="2" bestFit="1" customWidth="1"/>
    <col min="5898" max="5898" width="11.85546875" style="2" bestFit="1" customWidth="1"/>
    <col min="5899" max="6137" width="9.140625" style="2"/>
    <col min="6138" max="6138" width="13.5703125" style="2" bestFit="1" customWidth="1"/>
    <col min="6139" max="6139" width="11.85546875" style="2" customWidth="1"/>
    <col min="6140" max="6140" width="11.42578125" style="2" customWidth="1"/>
    <col min="6141" max="6141" width="12.5703125" style="2" customWidth="1"/>
    <col min="6142" max="6142" width="12.85546875" style="2" customWidth="1"/>
    <col min="6143" max="6143" width="14.28515625" style="2" customWidth="1"/>
    <col min="6144" max="6144" width="12.85546875" style="2" customWidth="1"/>
    <col min="6145" max="6147" width="9.140625" style="2"/>
    <col min="6148" max="6148" width="12.42578125" style="2" customWidth="1"/>
    <col min="6149" max="6149" width="9.85546875" style="2" bestFit="1" customWidth="1"/>
    <col min="6150" max="6150" width="14.140625" style="2" customWidth="1"/>
    <col min="6151" max="6151" width="12.42578125" style="2" bestFit="1" customWidth="1"/>
    <col min="6152" max="6152" width="19.42578125" style="2" customWidth="1"/>
    <col min="6153" max="6153" width="17.5703125" style="2" bestFit="1" customWidth="1"/>
    <col min="6154" max="6154" width="11.85546875" style="2" bestFit="1" customWidth="1"/>
    <col min="6155" max="6393" width="9.140625" style="2"/>
    <col min="6394" max="6394" width="13.5703125" style="2" bestFit="1" customWidth="1"/>
    <col min="6395" max="6395" width="11.85546875" style="2" customWidth="1"/>
    <col min="6396" max="6396" width="11.42578125" style="2" customWidth="1"/>
    <col min="6397" max="6397" width="12.5703125" style="2" customWidth="1"/>
    <col min="6398" max="6398" width="12.85546875" style="2" customWidth="1"/>
    <col min="6399" max="6399" width="14.28515625" style="2" customWidth="1"/>
    <col min="6400" max="6400" width="12.85546875" style="2" customWidth="1"/>
    <col min="6401" max="6403" width="9.140625" style="2"/>
    <col min="6404" max="6404" width="12.42578125" style="2" customWidth="1"/>
    <col min="6405" max="6405" width="9.85546875" style="2" bestFit="1" customWidth="1"/>
    <col min="6406" max="6406" width="14.140625" style="2" customWidth="1"/>
    <col min="6407" max="6407" width="12.42578125" style="2" bestFit="1" customWidth="1"/>
    <col min="6408" max="6408" width="19.42578125" style="2" customWidth="1"/>
    <col min="6409" max="6409" width="17.5703125" style="2" bestFit="1" customWidth="1"/>
    <col min="6410" max="6410" width="11.85546875" style="2" bestFit="1" customWidth="1"/>
    <col min="6411" max="6649" width="9.140625" style="2"/>
    <col min="6650" max="6650" width="13.5703125" style="2" bestFit="1" customWidth="1"/>
    <col min="6651" max="6651" width="11.85546875" style="2" customWidth="1"/>
    <col min="6652" max="6652" width="11.42578125" style="2" customWidth="1"/>
    <col min="6653" max="6653" width="12.5703125" style="2" customWidth="1"/>
    <col min="6654" max="6654" width="12.85546875" style="2" customWidth="1"/>
    <col min="6655" max="6655" width="14.28515625" style="2" customWidth="1"/>
    <col min="6656" max="6656" width="12.85546875" style="2" customWidth="1"/>
    <col min="6657" max="6659" width="9.140625" style="2"/>
    <col min="6660" max="6660" width="12.42578125" style="2" customWidth="1"/>
    <col min="6661" max="6661" width="9.85546875" style="2" bestFit="1" customWidth="1"/>
    <col min="6662" max="6662" width="14.140625" style="2" customWidth="1"/>
    <col min="6663" max="6663" width="12.42578125" style="2" bestFit="1" customWidth="1"/>
    <col min="6664" max="6664" width="19.42578125" style="2" customWidth="1"/>
    <col min="6665" max="6665" width="17.5703125" style="2" bestFit="1" customWidth="1"/>
    <col min="6666" max="6666" width="11.85546875" style="2" bestFit="1" customWidth="1"/>
    <col min="6667" max="6905" width="9.140625" style="2"/>
    <col min="6906" max="6906" width="13.5703125" style="2" bestFit="1" customWidth="1"/>
    <col min="6907" max="6907" width="11.85546875" style="2" customWidth="1"/>
    <col min="6908" max="6908" width="11.42578125" style="2" customWidth="1"/>
    <col min="6909" max="6909" width="12.5703125" style="2" customWidth="1"/>
    <col min="6910" max="6910" width="12.85546875" style="2" customWidth="1"/>
    <col min="6911" max="6911" width="14.28515625" style="2" customWidth="1"/>
    <col min="6912" max="6912" width="12.85546875" style="2" customWidth="1"/>
    <col min="6913" max="6915" width="9.140625" style="2"/>
    <col min="6916" max="6916" width="12.42578125" style="2" customWidth="1"/>
    <col min="6917" max="6917" width="9.85546875" style="2" bestFit="1" customWidth="1"/>
    <col min="6918" max="6918" width="14.140625" style="2" customWidth="1"/>
    <col min="6919" max="6919" width="12.42578125" style="2" bestFit="1" customWidth="1"/>
    <col min="6920" max="6920" width="19.42578125" style="2" customWidth="1"/>
    <col min="6921" max="6921" width="17.5703125" style="2" bestFit="1" customWidth="1"/>
    <col min="6922" max="6922" width="11.85546875" style="2" bestFit="1" customWidth="1"/>
    <col min="6923" max="7161" width="9.140625" style="2"/>
    <col min="7162" max="7162" width="13.5703125" style="2" bestFit="1" customWidth="1"/>
    <col min="7163" max="7163" width="11.85546875" style="2" customWidth="1"/>
    <col min="7164" max="7164" width="11.42578125" style="2" customWidth="1"/>
    <col min="7165" max="7165" width="12.5703125" style="2" customWidth="1"/>
    <col min="7166" max="7166" width="12.85546875" style="2" customWidth="1"/>
    <col min="7167" max="7167" width="14.28515625" style="2" customWidth="1"/>
    <col min="7168" max="7168" width="12.85546875" style="2" customWidth="1"/>
    <col min="7169" max="7171" width="9.140625" style="2"/>
    <col min="7172" max="7172" width="12.42578125" style="2" customWidth="1"/>
    <col min="7173" max="7173" width="9.85546875" style="2" bestFit="1" customWidth="1"/>
    <col min="7174" max="7174" width="14.140625" style="2" customWidth="1"/>
    <col min="7175" max="7175" width="12.42578125" style="2" bestFit="1" customWidth="1"/>
    <col min="7176" max="7176" width="19.42578125" style="2" customWidth="1"/>
    <col min="7177" max="7177" width="17.5703125" style="2" bestFit="1" customWidth="1"/>
    <col min="7178" max="7178" width="11.85546875" style="2" bestFit="1" customWidth="1"/>
    <col min="7179" max="7417" width="9.140625" style="2"/>
    <col min="7418" max="7418" width="13.5703125" style="2" bestFit="1" customWidth="1"/>
    <col min="7419" max="7419" width="11.85546875" style="2" customWidth="1"/>
    <col min="7420" max="7420" width="11.42578125" style="2" customWidth="1"/>
    <col min="7421" max="7421" width="12.5703125" style="2" customWidth="1"/>
    <col min="7422" max="7422" width="12.85546875" style="2" customWidth="1"/>
    <col min="7423" max="7423" width="14.28515625" style="2" customWidth="1"/>
    <col min="7424" max="7424" width="12.85546875" style="2" customWidth="1"/>
    <col min="7425" max="7427" width="9.140625" style="2"/>
    <col min="7428" max="7428" width="12.42578125" style="2" customWidth="1"/>
    <col min="7429" max="7429" width="9.85546875" style="2" bestFit="1" customWidth="1"/>
    <col min="7430" max="7430" width="14.140625" style="2" customWidth="1"/>
    <col min="7431" max="7431" width="12.42578125" style="2" bestFit="1" customWidth="1"/>
    <col min="7432" max="7432" width="19.42578125" style="2" customWidth="1"/>
    <col min="7433" max="7433" width="17.5703125" style="2" bestFit="1" customWidth="1"/>
    <col min="7434" max="7434" width="11.85546875" style="2" bestFit="1" customWidth="1"/>
    <col min="7435" max="7673" width="9.140625" style="2"/>
    <col min="7674" max="7674" width="13.5703125" style="2" bestFit="1" customWidth="1"/>
    <col min="7675" max="7675" width="11.85546875" style="2" customWidth="1"/>
    <col min="7676" max="7676" width="11.42578125" style="2" customWidth="1"/>
    <col min="7677" max="7677" width="12.5703125" style="2" customWidth="1"/>
    <col min="7678" max="7678" width="12.85546875" style="2" customWidth="1"/>
    <col min="7679" max="7679" width="14.28515625" style="2" customWidth="1"/>
    <col min="7680" max="7680" width="12.85546875" style="2" customWidth="1"/>
    <col min="7681" max="7683" width="9.140625" style="2"/>
    <col min="7684" max="7684" width="12.42578125" style="2" customWidth="1"/>
    <col min="7685" max="7685" width="9.85546875" style="2" bestFit="1" customWidth="1"/>
    <col min="7686" max="7686" width="14.140625" style="2" customWidth="1"/>
    <col min="7687" max="7687" width="12.42578125" style="2" bestFit="1" customWidth="1"/>
    <col min="7688" max="7688" width="19.42578125" style="2" customWidth="1"/>
    <col min="7689" max="7689" width="17.5703125" style="2" bestFit="1" customWidth="1"/>
    <col min="7690" max="7690" width="11.85546875" style="2" bestFit="1" customWidth="1"/>
    <col min="7691" max="7929" width="9.140625" style="2"/>
    <col min="7930" max="7930" width="13.5703125" style="2" bestFit="1" customWidth="1"/>
    <col min="7931" max="7931" width="11.85546875" style="2" customWidth="1"/>
    <col min="7932" max="7932" width="11.42578125" style="2" customWidth="1"/>
    <col min="7933" max="7933" width="12.5703125" style="2" customWidth="1"/>
    <col min="7934" max="7934" width="12.85546875" style="2" customWidth="1"/>
    <col min="7935" max="7935" width="14.28515625" style="2" customWidth="1"/>
    <col min="7936" max="7936" width="12.85546875" style="2" customWidth="1"/>
    <col min="7937" max="7939" width="9.140625" style="2"/>
    <col min="7940" max="7940" width="12.42578125" style="2" customWidth="1"/>
    <col min="7941" max="7941" width="9.85546875" style="2" bestFit="1" customWidth="1"/>
    <col min="7942" max="7942" width="14.140625" style="2" customWidth="1"/>
    <col min="7943" max="7943" width="12.42578125" style="2" bestFit="1" customWidth="1"/>
    <col min="7944" max="7944" width="19.42578125" style="2" customWidth="1"/>
    <col min="7945" max="7945" width="17.5703125" style="2" bestFit="1" customWidth="1"/>
    <col min="7946" max="7946" width="11.85546875" style="2" bestFit="1" customWidth="1"/>
    <col min="7947" max="8185" width="9.140625" style="2"/>
    <col min="8186" max="8186" width="13.5703125" style="2" bestFit="1" customWidth="1"/>
    <col min="8187" max="8187" width="11.85546875" style="2" customWidth="1"/>
    <col min="8188" max="8188" width="11.42578125" style="2" customWidth="1"/>
    <col min="8189" max="8189" width="12.5703125" style="2" customWidth="1"/>
    <col min="8190" max="8190" width="12.85546875" style="2" customWidth="1"/>
    <col min="8191" max="8191" width="14.28515625" style="2" customWidth="1"/>
    <col min="8192" max="8192" width="12.85546875" style="2" customWidth="1"/>
    <col min="8193" max="8195" width="9.140625" style="2"/>
    <col min="8196" max="8196" width="12.42578125" style="2" customWidth="1"/>
    <col min="8197" max="8197" width="9.85546875" style="2" bestFit="1" customWidth="1"/>
    <col min="8198" max="8198" width="14.140625" style="2" customWidth="1"/>
    <col min="8199" max="8199" width="12.42578125" style="2" bestFit="1" customWidth="1"/>
    <col min="8200" max="8200" width="19.42578125" style="2" customWidth="1"/>
    <col min="8201" max="8201" width="17.5703125" style="2" bestFit="1" customWidth="1"/>
    <col min="8202" max="8202" width="11.85546875" style="2" bestFit="1" customWidth="1"/>
    <col min="8203" max="8441" width="9.140625" style="2"/>
    <col min="8442" max="8442" width="13.5703125" style="2" bestFit="1" customWidth="1"/>
    <col min="8443" max="8443" width="11.85546875" style="2" customWidth="1"/>
    <col min="8444" max="8444" width="11.42578125" style="2" customWidth="1"/>
    <col min="8445" max="8445" width="12.5703125" style="2" customWidth="1"/>
    <col min="8446" max="8446" width="12.85546875" style="2" customWidth="1"/>
    <col min="8447" max="8447" width="14.28515625" style="2" customWidth="1"/>
    <col min="8448" max="8448" width="12.85546875" style="2" customWidth="1"/>
    <col min="8449" max="8451" width="9.140625" style="2"/>
    <col min="8452" max="8452" width="12.42578125" style="2" customWidth="1"/>
    <col min="8453" max="8453" width="9.85546875" style="2" bestFit="1" customWidth="1"/>
    <col min="8454" max="8454" width="14.140625" style="2" customWidth="1"/>
    <col min="8455" max="8455" width="12.42578125" style="2" bestFit="1" customWidth="1"/>
    <col min="8456" max="8456" width="19.42578125" style="2" customWidth="1"/>
    <col min="8457" max="8457" width="17.5703125" style="2" bestFit="1" customWidth="1"/>
    <col min="8458" max="8458" width="11.85546875" style="2" bestFit="1" customWidth="1"/>
    <col min="8459" max="8697" width="9.140625" style="2"/>
    <col min="8698" max="8698" width="13.5703125" style="2" bestFit="1" customWidth="1"/>
    <col min="8699" max="8699" width="11.85546875" style="2" customWidth="1"/>
    <col min="8700" max="8700" width="11.42578125" style="2" customWidth="1"/>
    <col min="8701" max="8701" width="12.5703125" style="2" customWidth="1"/>
    <col min="8702" max="8702" width="12.85546875" style="2" customWidth="1"/>
    <col min="8703" max="8703" width="14.28515625" style="2" customWidth="1"/>
    <col min="8704" max="8704" width="12.85546875" style="2" customWidth="1"/>
    <col min="8705" max="8707" width="9.140625" style="2"/>
    <col min="8708" max="8708" width="12.42578125" style="2" customWidth="1"/>
    <col min="8709" max="8709" width="9.85546875" style="2" bestFit="1" customWidth="1"/>
    <col min="8710" max="8710" width="14.140625" style="2" customWidth="1"/>
    <col min="8711" max="8711" width="12.42578125" style="2" bestFit="1" customWidth="1"/>
    <col min="8712" max="8712" width="19.42578125" style="2" customWidth="1"/>
    <col min="8713" max="8713" width="17.5703125" style="2" bestFit="1" customWidth="1"/>
    <col min="8714" max="8714" width="11.85546875" style="2" bestFit="1" customWidth="1"/>
    <col min="8715" max="8953" width="9.140625" style="2"/>
    <col min="8954" max="8954" width="13.5703125" style="2" bestFit="1" customWidth="1"/>
    <col min="8955" max="8955" width="11.85546875" style="2" customWidth="1"/>
    <col min="8956" max="8956" width="11.42578125" style="2" customWidth="1"/>
    <col min="8957" max="8957" width="12.5703125" style="2" customWidth="1"/>
    <col min="8958" max="8958" width="12.85546875" style="2" customWidth="1"/>
    <col min="8959" max="8959" width="14.28515625" style="2" customWidth="1"/>
    <col min="8960" max="8960" width="12.85546875" style="2" customWidth="1"/>
    <col min="8961" max="8963" width="9.140625" style="2"/>
    <col min="8964" max="8964" width="12.42578125" style="2" customWidth="1"/>
    <col min="8965" max="8965" width="9.85546875" style="2" bestFit="1" customWidth="1"/>
    <col min="8966" max="8966" width="14.140625" style="2" customWidth="1"/>
    <col min="8967" max="8967" width="12.42578125" style="2" bestFit="1" customWidth="1"/>
    <col min="8968" max="8968" width="19.42578125" style="2" customWidth="1"/>
    <col min="8969" max="8969" width="17.5703125" style="2" bestFit="1" customWidth="1"/>
    <col min="8970" max="8970" width="11.85546875" style="2" bestFit="1" customWidth="1"/>
    <col min="8971" max="9209" width="9.140625" style="2"/>
    <col min="9210" max="9210" width="13.5703125" style="2" bestFit="1" customWidth="1"/>
    <col min="9211" max="9211" width="11.85546875" style="2" customWidth="1"/>
    <col min="9212" max="9212" width="11.42578125" style="2" customWidth="1"/>
    <col min="9213" max="9213" width="12.5703125" style="2" customWidth="1"/>
    <col min="9214" max="9214" width="12.85546875" style="2" customWidth="1"/>
    <col min="9215" max="9215" width="14.28515625" style="2" customWidth="1"/>
    <col min="9216" max="9216" width="12.85546875" style="2" customWidth="1"/>
    <col min="9217" max="9219" width="9.140625" style="2"/>
    <col min="9220" max="9220" width="12.42578125" style="2" customWidth="1"/>
    <col min="9221" max="9221" width="9.85546875" style="2" bestFit="1" customWidth="1"/>
    <col min="9222" max="9222" width="14.140625" style="2" customWidth="1"/>
    <col min="9223" max="9223" width="12.42578125" style="2" bestFit="1" customWidth="1"/>
    <col min="9224" max="9224" width="19.42578125" style="2" customWidth="1"/>
    <col min="9225" max="9225" width="17.5703125" style="2" bestFit="1" customWidth="1"/>
    <col min="9226" max="9226" width="11.85546875" style="2" bestFit="1" customWidth="1"/>
    <col min="9227" max="9465" width="9.140625" style="2"/>
    <col min="9466" max="9466" width="13.5703125" style="2" bestFit="1" customWidth="1"/>
    <col min="9467" max="9467" width="11.85546875" style="2" customWidth="1"/>
    <col min="9468" max="9468" width="11.42578125" style="2" customWidth="1"/>
    <col min="9469" max="9469" width="12.5703125" style="2" customWidth="1"/>
    <col min="9470" max="9470" width="12.85546875" style="2" customWidth="1"/>
    <col min="9471" max="9471" width="14.28515625" style="2" customWidth="1"/>
    <col min="9472" max="9472" width="12.85546875" style="2" customWidth="1"/>
    <col min="9473" max="9475" width="9.140625" style="2"/>
    <col min="9476" max="9476" width="12.42578125" style="2" customWidth="1"/>
    <col min="9477" max="9477" width="9.85546875" style="2" bestFit="1" customWidth="1"/>
    <col min="9478" max="9478" width="14.140625" style="2" customWidth="1"/>
    <col min="9479" max="9479" width="12.42578125" style="2" bestFit="1" customWidth="1"/>
    <col min="9480" max="9480" width="19.42578125" style="2" customWidth="1"/>
    <col min="9481" max="9481" width="17.5703125" style="2" bestFit="1" customWidth="1"/>
    <col min="9482" max="9482" width="11.85546875" style="2" bestFit="1" customWidth="1"/>
    <col min="9483" max="9721" width="9.140625" style="2"/>
    <col min="9722" max="9722" width="13.5703125" style="2" bestFit="1" customWidth="1"/>
    <col min="9723" max="9723" width="11.85546875" style="2" customWidth="1"/>
    <col min="9724" max="9724" width="11.42578125" style="2" customWidth="1"/>
    <col min="9725" max="9725" width="12.5703125" style="2" customWidth="1"/>
    <col min="9726" max="9726" width="12.85546875" style="2" customWidth="1"/>
    <col min="9727" max="9727" width="14.28515625" style="2" customWidth="1"/>
    <col min="9728" max="9728" width="12.85546875" style="2" customWidth="1"/>
    <col min="9729" max="9731" width="9.140625" style="2"/>
    <col min="9732" max="9732" width="12.42578125" style="2" customWidth="1"/>
    <col min="9733" max="9733" width="9.85546875" style="2" bestFit="1" customWidth="1"/>
    <col min="9734" max="9734" width="14.140625" style="2" customWidth="1"/>
    <col min="9735" max="9735" width="12.42578125" style="2" bestFit="1" customWidth="1"/>
    <col min="9736" max="9736" width="19.42578125" style="2" customWidth="1"/>
    <col min="9737" max="9737" width="17.5703125" style="2" bestFit="1" customWidth="1"/>
    <col min="9738" max="9738" width="11.85546875" style="2" bestFit="1" customWidth="1"/>
    <col min="9739" max="9977" width="9.140625" style="2"/>
    <col min="9978" max="9978" width="13.5703125" style="2" bestFit="1" customWidth="1"/>
    <col min="9979" max="9979" width="11.85546875" style="2" customWidth="1"/>
    <col min="9980" max="9980" width="11.42578125" style="2" customWidth="1"/>
    <col min="9981" max="9981" width="12.5703125" style="2" customWidth="1"/>
    <col min="9982" max="9982" width="12.85546875" style="2" customWidth="1"/>
    <col min="9983" max="9983" width="14.28515625" style="2" customWidth="1"/>
    <col min="9984" max="9984" width="12.85546875" style="2" customWidth="1"/>
    <col min="9985" max="9987" width="9.140625" style="2"/>
    <col min="9988" max="9988" width="12.42578125" style="2" customWidth="1"/>
    <col min="9989" max="9989" width="9.85546875" style="2" bestFit="1" customWidth="1"/>
    <col min="9990" max="9990" width="14.140625" style="2" customWidth="1"/>
    <col min="9991" max="9991" width="12.42578125" style="2" bestFit="1" customWidth="1"/>
    <col min="9992" max="9992" width="19.42578125" style="2" customWidth="1"/>
    <col min="9993" max="9993" width="17.5703125" style="2" bestFit="1" customWidth="1"/>
    <col min="9994" max="9994" width="11.85546875" style="2" bestFit="1" customWidth="1"/>
    <col min="9995" max="10233" width="9.140625" style="2"/>
    <col min="10234" max="10234" width="13.5703125" style="2" bestFit="1" customWidth="1"/>
    <col min="10235" max="10235" width="11.85546875" style="2" customWidth="1"/>
    <col min="10236" max="10236" width="11.42578125" style="2" customWidth="1"/>
    <col min="10237" max="10237" width="12.5703125" style="2" customWidth="1"/>
    <col min="10238" max="10238" width="12.85546875" style="2" customWidth="1"/>
    <col min="10239" max="10239" width="14.28515625" style="2" customWidth="1"/>
    <col min="10240" max="10240" width="12.85546875" style="2" customWidth="1"/>
    <col min="10241" max="10243" width="9.140625" style="2"/>
    <col min="10244" max="10244" width="12.42578125" style="2" customWidth="1"/>
    <col min="10245" max="10245" width="9.85546875" style="2" bestFit="1" customWidth="1"/>
    <col min="10246" max="10246" width="14.140625" style="2" customWidth="1"/>
    <col min="10247" max="10247" width="12.42578125" style="2" bestFit="1" customWidth="1"/>
    <col min="10248" max="10248" width="19.42578125" style="2" customWidth="1"/>
    <col min="10249" max="10249" width="17.5703125" style="2" bestFit="1" customWidth="1"/>
    <col min="10250" max="10250" width="11.85546875" style="2" bestFit="1" customWidth="1"/>
    <col min="10251" max="10489" width="9.140625" style="2"/>
    <col min="10490" max="10490" width="13.5703125" style="2" bestFit="1" customWidth="1"/>
    <col min="10491" max="10491" width="11.85546875" style="2" customWidth="1"/>
    <col min="10492" max="10492" width="11.42578125" style="2" customWidth="1"/>
    <col min="10493" max="10493" width="12.5703125" style="2" customWidth="1"/>
    <col min="10494" max="10494" width="12.85546875" style="2" customWidth="1"/>
    <col min="10495" max="10495" width="14.28515625" style="2" customWidth="1"/>
    <col min="10496" max="10496" width="12.85546875" style="2" customWidth="1"/>
    <col min="10497" max="10499" width="9.140625" style="2"/>
    <col min="10500" max="10500" width="12.42578125" style="2" customWidth="1"/>
    <col min="10501" max="10501" width="9.85546875" style="2" bestFit="1" customWidth="1"/>
    <col min="10502" max="10502" width="14.140625" style="2" customWidth="1"/>
    <col min="10503" max="10503" width="12.42578125" style="2" bestFit="1" customWidth="1"/>
    <col min="10504" max="10504" width="19.42578125" style="2" customWidth="1"/>
    <col min="10505" max="10505" width="17.5703125" style="2" bestFit="1" customWidth="1"/>
    <col min="10506" max="10506" width="11.85546875" style="2" bestFit="1" customWidth="1"/>
    <col min="10507" max="10745" width="9.140625" style="2"/>
    <col min="10746" max="10746" width="13.5703125" style="2" bestFit="1" customWidth="1"/>
    <col min="10747" max="10747" width="11.85546875" style="2" customWidth="1"/>
    <col min="10748" max="10748" width="11.42578125" style="2" customWidth="1"/>
    <col min="10749" max="10749" width="12.5703125" style="2" customWidth="1"/>
    <col min="10750" max="10750" width="12.85546875" style="2" customWidth="1"/>
    <col min="10751" max="10751" width="14.28515625" style="2" customWidth="1"/>
    <col min="10752" max="10752" width="12.85546875" style="2" customWidth="1"/>
    <col min="10753" max="10755" width="9.140625" style="2"/>
    <col min="10756" max="10756" width="12.42578125" style="2" customWidth="1"/>
    <col min="10757" max="10757" width="9.85546875" style="2" bestFit="1" customWidth="1"/>
    <col min="10758" max="10758" width="14.140625" style="2" customWidth="1"/>
    <col min="10759" max="10759" width="12.42578125" style="2" bestFit="1" customWidth="1"/>
    <col min="10760" max="10760" width="19.42578125" style="2" customWidth="1"/>
    <col min="10761" max="10761" width="17.5703125" style="2" bestFit="1" customWidth="1"/>
    <col min="10762" max="10762" width="11.85546875" style="2" bestFit="1" customWidth="1"/>
    <col min="10763" max="11001" width="9.140625" style="2"/>
    <col min="11002" max="11002" width="13.5703125" style="2" bestFit="1" customWidth="1"/>
    <col min="11003" max="11003" width="11.85546875" style="2" customWidth="1"/>
    <col min="11004" max="11004" width="11.42578125" style="2" customWidth="1"/>
    <col min="11005" max="11005" width="12.5703125" style="2" customWidth="1"/>
    <col min="11006" max="11006" width="12.85546875" style="2" customWidth="1"/>
    <col min="11007" max="11007" width="14.28515625" style="2" customWidth="1"/>
    <col min="11008" max="11008" width="12.85546875" style="2" customWidth="1"/>
    <col min="11009" max="11011" width="9.140625" style="2"/>
    <col min="11012" max="11012" width="12.42578125" style="2" customWidth="1"/>
    <col min="11013" max="11013" width="9.85546875" style="2" bestFit="1" customWidth="1"/>
    <col min="11014" max="11014" width="14.140625" style="2" customWidth="1"/>
    <col min="11015" max="11015" width="12.42578125" style="2" bestFit="1" customWidth="1"/>
    <col min="11016" max="11016" width="19.42578125" style="2" customWidth="1"/>
    <col min="11017" max="11017" width="17.5703125" style="2" bestFit="1" customWidth="1"/>
    <col min="11018" max="11018" width="11.85546875" style="2" bestFit="1" customWidth="1"/>
    <col min="11019" max="11257" width="9.140625" style="2"/>
    <col min="11258" max="11258" width="13.5703125" style="2" bestFit="1" customWidth="1"/>
    <col min="11259" max="11259" width="11.85546875" style="2" customWidth="1"/>
    <col min="11260" max="11260" width="11.42578125" style="2" customWidth="1"/>
    <col min="11261" max="11261" width="12.5703125" style="2" customWidth="1"/>
    <col min="11262" max="11262" width="12.85546875" style="2" customWidth="1"/>
    <col min="11263" max="11263" width="14.28515625" style="2" customWidth="1"/>
    <col min="11264" max="11264" width="12.85546875" style="2" customWidth="1"/>
    <col min="11265" max="11267" width="9.140625" style="2"/>
    <col min="11268" max="11268" width="12.42578125" style="2" customWidth="1"/>
    <col min="11269" max="11269" width="9.85546875" style="2" bestFit="1" customWidth="1"/>
    <col min="11270" max="11270" width="14.140625" style="2" customWidth="1"/>
    <col min="11271" max="11271" width="12.42578125" style="2" bestFit="1" customWidth="1"/>
    <col min="11272" max="11272" width="19.42578125" style="2" customWidth="1"/>
    <col min="11273" max="11273" width="17.5703125" style="2" bestFit="1" customWidth="1"/>
    <col min="11274" max="11274" width="11.85546875" style="2" bestFit="1" customWidth="1"/>
    <col min="11275" max="11513" width="9.140625" style="2"/>
    <col min="11514" max="11514" width="13.5703125" style="2" bestFit="1" customWidth="1"/>
    <col min="11515" max="11515" width="11.85546875" style="2" customWidth="1"/>
    <col min="11516" max="11516" width="11.42578125" style="2" customWidth="1"/>
    <col min="11517" max="11517" width="12.5703125" style="2" customWidth="1"/>
    <col min="11518" max="11518" width="12.85546875" style="2" customWidth="1"/>
    <col min="11519" max="11519" width="14.28515625" style="2" customWidth="1"/>
    <col min="11520" max="11520" width="12.85546875" style="2" customWidth="1"/>
    <col min="11521" max="11523" width="9.140625" style="2"/>
    <col min="11524" max="11524" width="12.42578125" style="2" customWidth="1"/>
    <col min="11525" max="11525" width="9.85546875" style="2" bestFit="1" customWidth="1"/>
    <col min="11526" max="11526" width="14.140625" style="2" customWidth="1"/>
    <col min="11527" max="11527" width="12.42578125" style="2" bestFit="1" customWidth="1"/>
    <col min="11528" max="11528" width="19.42578125" style="2" customWidth="1"/>
    <col min="11529" max="11529" width="17.5703125" style="2" bestFit="1" customWidth="1"/>
    <col min="11530" max="11530" width="11.85546875" style="2" bestFit="1" customWidth="1"/>
    <col min="11531" max="11769" width="9.140625" style="2"/>
    <col min="11770" max="11770" width="13.5703125" style="2" bestFit="1" customWidth="1"/>
    <col min="11771" max="11771" width="11.85546875" style="2" customWidth="1"/>
    <col min="11772" max="11772" width="11.42578125" style="2" customWidth="1"/>
    <col min="11773" max="11773" width="12.5703125" style="2" customWidth="1"/>
    <col min="11774" max="11774" width="12.85546875" style="2" customWidth="1"/>
    <col min="11775" max="11775" width="14.28515625" style="2" customWidth="1"/>
    <col min="11776" max="11776" width="12.85546875" style="2" customWidth="1"/>
    <col min="11777" max="11779" width="9.140625" style="2"/>
    <col min="11780" max="11780" width="12.42578125" style="2" customWidth="1"/>
    <col min="11781" max="11781" width="9.85546875" style="2" bestFit="1" customWidth="1"/>
    <col min="11782" max="11782" width="14.140625" style="2" customWidth="1"/>
    <col min="11783" max="11783" width="12.42578125" style="2" bestFit="1" customWidth="1"/>
    <col min="11784" max="11784" width="19.42578125" style="2" customWidth="1"/>
    <col min="11785" max="11785" width="17.5703125" style="2" bestFit="1" customWidth="1"/>
    <col min="11786" max="11786" width="11.85546875" style="2" bestFit="1" customWidth="1"/>
    <col min="11787" max="12025" width="9.140625" style="2"/>
    <col min="12026" max="12026" width="13.5703125" style="2" bestFit="1" customWidth="1"/>
    <col min="12027" max="12027" width="11.85546875" style="2" customWidth="1"/>
    <col min="12028" max="12028" width="11.42578125" style="2" customWidth="1"/>
    <col min="12029" max="12029" width="12.5703125" style="2" customWidth="1"/>
    <col min="12030" max="12030" width="12.85546875" style="2" customWidth="1"/>
    <col min="12031" max="12031" width="14.28515625" style="2" customWidth="1"/>
    <col min="12032" max="12032" width="12.85546875" style="2" customWidth="1"/>
    <col min="12033" max="12035" width="9.140625" style="2"/>
    <col min="12036" max="12036" width="12.42578125" style="2" customWidth="1"/>
    <col min="12037" max="12037" width="9.85546875" style="2" bestFit="1" customWidth="1"/>
    <col min="12038" max="12038" width="14.140625" style="2" customWidth="1"/>
    <col min="12039" max="12039" width="12.42578125" style="2" bestFit="1" customWidth="1"/>
    <col min="12040" max="12040" width="19.42578125" style="2" customWidth="1"/>
    <col min="12041" max="12041" width="17.5703125" style="2" bestFit="1" customWidth="1"/>
    <col min="12042" max="12042" width="11.85546875" style="2" bestFit="1" customWidth="1"/>
    <col min="12043" max="12281" width="9.140625" style="2"/>
    <col min="12282" max="12282" width="13.5703125" style="2" bestFit="1" customWidth="1"/>
    <col min="12283" max="12283" width="11.85546875" style="2" customWidth="1"/>
    <col min="12284" max="12284" width="11.42578125" style="2" customWidth="1"/>
    <col min="12285" max="12285" width="12.5703125" style="2" customWidth="1"/>
    <col min="12286" max="12286" width="12.85546875" style="2" customWidth="1"/>
    <col min="12287" max="12287" width="14.28515625" style="2" customWidth="1"/>
    <col min="12288" max="12288" width="12.85546875" style="2" customWidth="1"/>
    <col min="12289" max="12291" width="9.140625" style="2"/>
    <col min="12292" max="12292" width="12.42578125" style="2" customWidth="1"/>
    <col min="12293" max="12293" width="9.85546875" style="2" bestFit="1" customWidth="1"/>
    <col min="12294" max="12294" width="14.140625" style="2" customWidth="1"/>
    <col min="12295" max="12295" width="12.42578125" style="2" bestFit="1" customWidth="1"/>
    <col min="12296" max="12296" width="19.42578125" style="2" customWidth="1"/>
    <col min="12297" max="12297" width="17.5703125" style="2" bestFit="1" customWidth="1"/>
    <col min="12298" max="12298" width="11.85546875" style="2" bestFit="1" customWidth="1"/>
    <col min="12299" max="12537" width="9.140625" style="2"/>
    <col min="12538" max="12538" width="13.5703125" style="2" bestFit="1" customWidth="1"/>
    <col min="12539" max="12539" width="11.85546875" style="2" customWidth="1"/>
    <col min="12540" max="12540" width="11.42578125" style="2" customWidth="1"/>
    <col min="12541" max="12541" width="12.5703125" style="2" customWidth="1"/>
    <col min="12542" max="12542" width="12.85546875" style="2" customWidth="1"/>
    <col min="12543" max="12543" width="14.28515625" style="2" customWidth="1"/>
    <col min="12544" max="12544" width="12.85546875" style="2" customWidth="1"/>
    <col min="12545" max="12547" width="9.140625" style="2"/>
    <col min="12548" max="12548" width="12.42578125" style="2" customWidth="1"/>
    <col min="12549" max="12549" width="9.85546875" style="2" bestFit="1" customWidth="1"/>
    <col min="12550" max="12550" width="14.140625" style="2" customWidth="1"/>
    <col min="12551" max="12551" width="12.42578125" style="2" bestFit="1" customWidth="1"/>
    <col min="12552" max="12552" width="19.42578125" style="2" customWidth="1"/>
    <col min="12553" max="12553" width="17.5703125" style="2" bestFit="1" customWidth="1"/>
    <col min="12554" max="12554" width="11.85546875" style="2" bestFit="1" customWidth="1"/>
    <col min="12555" max="12793" width="9.140625" style="2"/>
    <col min="12794" max="12794" width="13.5703125" style="2" bestFit="1" customWidth="1"/>
    <col min="12795" max="12795" width="11.85546875" style="2" customWidth="1"/>
    <col min="12796" max="12796" width="11.42578125" style="2" customWidth="1"/>
    <col min="12797" max="12797" width="12.5703125" style="2" customWidth="1"/>
    <col min="12798" max="12798" width="12.85546875" style="2" customWidth="1"/>
    <col min="12799" max="12799" width="14.28515625" style="2" customWidth="1"/>
    <col min="12800" max="12800" width="12.85546875" style="2" customWidth="1"/>
    <col min="12801" max="12803" width="9.140625" style="2"/>
    <col min="12804" max="12804" width="12.42578125" style="2" customWidth="1"/>
    <col min="12805" max="12805" width="9.85546875" style="2" bestFit="1" customWidth="1"/>
    <col min="12806" max="12806" width="14.140625" style="2" customWidth="1"/>
    <col min="12807" max="12807" width="12.42578125" style="2" bestFit="1" customWidth="1"/>
    <col min="12808" max="12808" width="19.42578125" style="2" customWidth="1"/>
    <col min="12809" max="12809" width="17.5703125" style="2" bestFit="1" customWidth="1"/>
    <col min="12810" max="12810" width="11.85546875" style="2" bestFit="1" customWidth="1"/>
    <col min="12811" max="13049" width="9.140625" style="2"/>
    <col min="13050" max="13050" width="13.5703125" style="2" bestFit="1" customWidth="1"/>
    <col min="13051" max="13051" width="11.85546875" style="2" customWidth="1"/>
    <col min="13052" max="13052" width="11.42578125" style="2" customWidth="1"/>
    <col min="13053" max="13053" width="12.5703125" style="2" customWidth="1"/>
    <col min="13054" max="13054" width="12.85546875" style="2" customWidth="1"/>
    <col min="13055" max="13055" width="14.28515625" style="2" customWidth="1"/>
    <col min="13056" max="13056" width="12.85546875" style="2" customWidth="1"/>
    <col min="13057" max="13059" width="9.140625" style="2"/>
    <col min="13060" max="13060" width="12.42578125" style="2" customWidth="1"/>
    <col min="13061" max="13061" width="9.85546875" style="2" bestFit="1" customWidth="1"/>
    <col min="13062" max="13062" width="14.140625" style="2" customWidth="1"/>
    <col min="13063" max="13063" width="12.42578125" style="2" bestFit="1" customWidth="1"/>
    <col min="13064" max="13064" width="19.42578125" style="2" customWidth="1"/>
    <col min="13065" max="13065" width="17.5703125" style="2" bestFit="1" customWidth="1"/>
    <col min="13066" max="13066" width="11.85546875" style="2" bestFit="1" customWidth="1"/>
    <col min="13067" max="13305" width="9.140625" style="2"/>
    <col min="13306" max="13306" width="13.5703125" style="2" bestFit="1" customWidth="1"/>
    <col min="13307" max="13307" width="11.85546875" style="2" customWidth="1"/>
    <col min="13308" max="13308" width="11.42578125" style="2" customWidth="1"/>
    <col min="13309" max="13309" width="12.5703125" style="2" customWidth="1"/>
    <col min="13310" max="13310" width="12.85546875" style="2" customWidth="1"/>
    <col min="13311" max="13311" width="14.28515625" style="2" customWidth="1"/>
    <col min="13312" max="13312" width="12.85546875" style="2" customWidth="1"/>
    <col min="13313" max="13315" width="9.140625" style="2"/>
    <col min="13316" max="13316" width="12.42578125" style="2" customWidth="1"/>
    <col min="13317" max="13317" width="9.85546875" style="2" bestFit="1" customWidth="1"/>
    <col min="13318" max="13318" width="14.140625" style="2" customWidth="1"/>
    <col min="13319" max="13319" width="12.42578125" style="2" bestFit="1" customWidth="1"/>
    <col min="13320" max="13320" width="19.42578125" style="2" customWidth="1"/>
    <col min="13321" max="13321" width="17.5703125" style="2" bestFit="1" customWidth="1"/>
    <col min="13322" max="13322" width="11.85546875" style="2" bestFit="1" customWidth="1"/>
    <col min="13323" max="13561" width="9.140625" style="2"/>
    <col min="13562" max="13562" width="13.5703125" style="2" bestFit="1" customWidth="1"/>
    <col min="13563" max="13563" width="11.85546875" style="2" customWidth="1"/>
    <col min="13564" max="13564" width="11.42578125" style="2" customWidth="1"/>
    <col min="13565" max="13565" width="12.5703125" style="2" customWidth="1"/>
    <col min="13566" max="13566" width="12.85546875" style="2" customWidth="1"/>
    <col min="13567" max="13567" width="14.28515625" style="2" customWidth="1"/>
    <col min="13568" max="13568" width="12.85546875" style="2" customWidth="1"/>
    <col min="13569" max="13571" width="9.140625" style="2"/>
    <col min="13572" max="13572" width="12.42578125" style="2" customWidth="1"/>
    <col min="13573" max="13573" width="9.85546875" style="2" bestFit="1" customWidth="1"/>
    <col min="13574" max="13574" width="14.140625" style="2" customWidth="1"/>
    <col min="13575" max="13575" width="12.42578125" style="2" bestFit="1" customWidth="1"/>
    <col min="13576" max="13576" width="19.42578125" style="2" customWidth="1"/>
    <col min="13577" max="13577" width="17.5703125" style="2" bestFit="1" customWidth="1"/>
    <col min="13578" max="13578" width="11.85546875" style="2" bestFit="1" customWidth="1"/>
    <col min="13579" max="13817" width="9.140625" style="2"/>
    <col min="13818" max="13818" width="13.5703125" style="2" bestFit="1" customWidth="1"/>
    <col min="13819" max="13819" width="11.85546875" style="2" customWidth="1"/>
    <col min="13820" max="13820" width="11.42578125" style="2" customWidth="1"/>
    <col min="13821" max="13821" width="12.5703125" style="2" customWidth="1"/>
    <col min="13822" max="13822" width="12.85546875" style="2" customWidth="1"/>
    <col min="13823" max="13823" width="14.28515625" style="2" customWidth="1"/>
    <col min="13824" max="13824" width="12.85546875" style="2" customWidth="1"/>
    <col min="13825" max="13827" width="9.140625" style="2"/>
    <col min="13828" max="13828" width="12.42578125" style="2" customWidth="1"/>
    <col min="13829" max="13829" width="9.85546875" style="2" bestFit="1" customWidth="1"/>
    <col min="13830" max="13830" width="14.140625" style="2" customWidth="1"/>
    <col min="13831" max="13831" width="12.42578125" style="2" bestFit="1" customWidth="1"/>
    <col min="13832" max="13832" width="19.42578125" style="2" customWidth="1"/>
    <col min="13833" max="13833" width="17.5703125" style="2" bestFit="1" customWidth="1"/>
    <col min="13834" max="13834" width="11.85546875" style="2" bestFit="1" customWidth="1"/>
    <col min="13835" max="14073" width="9.140625" style="2"/>
    <col min="14074" max="14074" width="13.5703125" style="2" bestFit="1" customWidth="1"/>
    <col min="14075" max="14075" width="11.85546875" style="2" customWidth="1"/>
    <col min="14076" max="14076" width="11.42578125" style="2" customWidth="1"/>
    <col min="14077" max="14077" width="12.5703125" style="2" customWidth="1"/>
    <col min="14078" max="14078" width="12.85546875" style="2" customWidth="1"/>
    <col min="14079" max="14079" width="14.28515625" style="2" customWidth="1"/>
    <col min="14080" max="14080" width="12.85546875" style="2" customWidth="1"/>
    <col min="14081" max="14083" width="9.140625" style="2"/>
    <col min="14084" max="14084" width="12.42578125" style="2" customWidth="1"/>
    <col min="14085" max="14085" width="9.85546875" style="2" bestFit="1" customWidth="1"/>
    <col min="14086" max="14086" width="14.140625" style="2" customWidth="1"/>
    <col min="14087" max="14087" width="12.42578125" style="2" bestFit="1" customWidth="1"/>
    <col min="14088" max="14088" width="19.42578125" style="2" customWidth="1"/>
    <col min="14089" max="14089" width="17.5703125" style="2" bestFit="1" customWidth="1"/>
    <col min="14090" max="14090" width="11.85546875" style="2" bestFit="1" customWidth="1"/>
    <col min="14091" max="14329" width="9.140625" style="2"/>
    <col min="14330" max="14330" width="13.5703125" style="2" bestFit="1" customWidth="1"/>
    <col min="14331" max="14331" width="11.85546875" style="2" customWidth="1"/>
    <col min="14332" max="14332" width="11.42578125" style="2" customWidth="1"/>
    <col min="14333" max="14333" width="12.5703125" style="2" customWidth="1"/>
    <col min="14334" max="14334" width="12.85546875" style="2" customWidth="1"/>
    <col min="14335" max="14335" width="14.28515625" style="2" customWidth="1"/>
    <col min="14336" max="14336" width="12.85546875" style="2" customWidth="1"/>
    <col min="14337" max="14339" width="9.140625" style="2"/>
    <col min="14340" max="14340" width="12.42578125" style="2" customWidth="1"/>
    <col min="14341" max="14341" width="9.85546875" style="2" bestFit="1" customWidth="1"/>
    <col min="14342" max="14342" width="14.140625" style="2" customWidth="1"/>
    <col min="14343" max="14343" width="12.42578125" style="2" bestFit="1" customWidth="1"/>
    <col min="14344" max="14344" width="19.42578125" style="2" customWidth="1"/>
    <col min="14345" max="14345" width="17.5703125" style="2" bestFit="1" customWidth="1"/>
    <col min="14346" max="14346" width="11.85546875" style="2" bestFit="1" customWidth="1"/>
    <col min="14347" max="14585" width="9.140625" style="2"/>
    <col min="14586" max="14586" width="13.5703125" style="2" bestFit="1" customWidth="1"/>
    <col min="14587" max="14587" width="11.85546875" style="2" customWidth="1"/>
    <col min="14588" max="14588" width="11.42578125" style="2" customWidth="1"/>
    <col min="14589" max="14589" width="12.5703125" style="2" customWidth="1"/>
    <col min="14590" max="14590" width="12.85546875" style="2" customWidth="1"/>
    <col min="14591" max="14591" width="14.28515625" style="2" customWidth="1"/>
    <col min="14592" max="14592" width="12.85546875" style="2" customWidth="1"/>
    <col min="14593" max="14595" width="9.140625" style="2"/>
    <col min="14596" max="14596" width="12.42578125" style="2" customWidth="1"/>
    <col min="14597" max="14597" width="9.85546875" style="2" bestFit="1" customWidth="1"/>
    <col min="14598" max="14598" width="14.140625" style="2" customWidth="1"/>
    <col min="14599" max="14599" width="12.42578125" style="2" bestFit="1" customWidth="1"/>
    <col min="14600" max="14600" width="19.42578125" style="2" customWidth="1"/>
    <col min="14601" max="14601" width="17.5703125" style="2" bestFit="1" customWidth="1"/>
    <col min="14602" max="14602" width="11.85546875" style="2" bestFit="1" customWidth="1"/>
    <col min="14603" max="14841" width="9.140625" style="2"/>
    <col min="14842" max="14842" width="13.5703125" style="2" bestFit="1" customWidth="1"/>
    <col min="14843" max="14843" width="11.85546875" style="2" customWidth="1"/>
    <col min="14844" max="14844" width="11.42578125" style="2" customWidth="1"/>
    <col min="14845" max="14845" width="12.5703125" style="2" customWidth="1"/>
    <col min="14846" max="14846" width="12.85546875" style="2" customWidth="1"/>
    <col min="14847" max="14847" width="14.28515625" style="2" customWidth="1"/>
    <col min="14848" max="14848" width="12.85546875" style="2" customWidth="1"/>
    <col min="14849" max="14851" width="9.140625" style="2"/>
    <col min="14852" max="14852" width="12.42578125" style="2" customWidth="1"/>
    <col min="14853" max="14853" width="9.85546875" style="2" bestFit="1" customWidth="1"/>
    <col min="14854" max="14854" width="14.140625" style="2" customWidth="1"/>
    <col min="14855" max="14855" width="12.42578125" style="2" bestFit="1" customWidth="1"/>
    <col min="14856" max="14856" width="19.42578125" style="2" customWidth="1"/>
    <col min="14857" max="14857" width="17.5703125" style="2" bestFit="1" customWidth="1"/>
    <col min="14858" max="14858" width="11.85546875" style="2" bestFit="1" customWidth="1"/>
    <col min="14859" max="15097" width="9.140625" style="2"/>
    <col min="15098" max="15098" width="13.5703125" style="2" bestFit="1" customWidth="1"/>
    <col min="15099" max="15099" width="11.85546875" style="2" customWidth="1"/>
    <col min="15100" max="15100" width="11.42578125" style="2" customWidth="1"/>
    <col min="15101" max="15101" width="12.5703125" style="2" customWidth="1"/>
    <col min="15102" max="15102" width="12.85546875" style="2" customWidth="1"/>
    <col min="15103" max="15103" width="14.28515625" style="2" customWidth="1"/>
    <col min="15104" max="15104" width="12.85546875" style="2" customWidth="1"/>
    <col min="15105" max="15107" width="9.140625" style="2"/>
    <col min="15108" max="15108" width="12.42578125" style="2" customWidth="1"/>
    <col min="15109" max="15109" width="9.85546875" style="2" bestFit="1" customWidth="1"/>
    <col min="15110" max="15110" width="14.140625" style="2" customWidth="1"/>
    <col min="15111" max="15111" width="12.42578125" style="2" bestFit="1" customWidth="1"/>
    <col min="15112" max="15112" width="19.42578125" style="2" customWidth="1"/>
    <col min="15113" max="15113" width="17.5703125" style="2" bestFit="1" customWidth="1"/>
    <col min="15114" max="15114" width="11.85546875" style="2" bestFit="1" customWidth="1"/>
    <col min="15115" max="15353" width="9.140625" style="2"/>
    <col min="15354" max="15354" width="13.5703125" style="2" bestFit="1" customWidth="1"/>
    <col min="15355" max="15355" width="11.85546875" style="2" customWidth="1"/>
    <col min="15356" max="15356" width="11.42578125" style="2" customWidth="1"/>
    <col min="15357" max="15357" width="12.5703125" style="2" customWidth="1"/>
    <col min="15358" max="15358" width="12.85546875" style="2" customWidth="1"/>
    <col min="15359" max="15359" width="14.28515625" style="2" customWidth="1"/>
    <col min="15360" max="15360" width="12.85546875" style="2" customWidth="1"/>
    <col min="15361" max="15363" width="9.140625" style="2"/>
    <col min="15364" max="15364" width="12.42578125" style="2" customWidth="1"/>
    <col min="15365" max="15365" width="9.85546875" style="2" bestFit="1" customWidth="1"/>
    <col min="15366" max="15366" width="14.140625" style="2" customWidth="1"/>
    <col min="15367" max="15367" width="12.42578125" style="2" bestFit="1" customWidth="1"/>
    <col min="15368" max="15368" width="19.42578125" style="2" customWidth="1"/>
    <col min="15369" max="15369" width="17.5703125" style="2" bestFit="1" customWidth="1"/>
    <col min="15370" max="15370" width="11.85546875" style="2" bestFit="1" customWidth="1"/>
    <col min="15371" max="15609" width="9.140625" style="2"/>
    <col min="15610" max="15610" width="13.5703125" style="2" bestFit="1" customWidth="1"/>
    <col min="15611" max="15611" width="11.85546875" style="2" customWidth="1"/>
    <col min="15612" max="15612" width="11.42578125" style="2" customWidth="1"/>
    <col min="15613" max="15613" width="12.5703125" style="2" customWidth="1"/>
    <col min="15614" max="15614" width="12.85546875" style="2" customWidth="1"/>
    <col min="15615" max="15615" width="14.28515625" style="2" customWidth="1"/>
    <col min="15616" max="15616" width="12.85546875" style="2" customWidth="1"/>
    <col min="15617" max="15619" width="9.140625" style="2"/>
    <col min="15620" max="15620" width="12.42578125" style="2" customWidth="1"/>
    <col min="15621" max="15621" width="9.85546875" style="2" bestFit="1" customWidth="1"/>
    <col min="15622" max="15622" width="14.140625" style="2" customWidth="1"/>
    <col min="15623" max="15623" width="12.42578125" style="2" bestFit="1" customWidth="1"/>
    <col min="15624" max="15624" width="19.42578125" style="2" customWidth="1"/>
    <col min="15625" max="15625" width="17.5703125" style="2" bestFit="1" customWidth="1"/>
    <col min="15626" max="15626" width="11.85546875" style="2" bestFit="1" customWidth="1"/>
    <col min="15627" max="15865" width="9.140625" style="2"/>
    <col min="15866" max="15866" width="13.5703125" style="2" bestFit="1" customWidth="1"/>
    <col min="15867" max="15867" width="11.85546875" style="2" customWidth="1"/>
    <col min="15868" max="15868" width="11.42578125" style="2" customWidth="1"/>
    <col min="15869" max="15869" width="12.5703125" style="2" customWidth="1"/>
    <col min="15870" max="15870" width="12.85546875" style="2" customWidth="1"/>
    <col min="15871" max="15871" width="14.28515625" style="2" customWidth="1"/>
    <col min="15872" max="15872" width="12.85546875" style="2" customWidth="1"/>
    <col min="15873" max="15875" width="9.140625" style="2"/>
    <col min="15876" max="15876" width="12.42578125" style="2" customWidth="1"/>
    <col min="15877" max="15877" width="9.85546875" style="2" bestFit="1" customWidth="1"/>
    <col min="15878" max="15878" width="14.140625" style="2" customWidth="1"/>
    <col min="15879" max="15879" width="12.42578125" style="2" bestFit="1" customWidth="1"/>
    <col min="15880" max="15880" width="19.42578125" style="2" customWidth="1"/>
    <col min="15881" max="15881" width="17.5703125" style="2" bestFit="1" customWidth="1"/>
    <col min="15882" max="15882" width="11.85546875" style="2" bestFit="1" customWidth="1"/>
    <col min="15883" max="16121" width="9.140625" style="2"/>
    <col min="16122" max="16122" width="13.5703125" style="2" bestFit="1" customWidth="1"/>
    <col min="16123" max="16123" width="11.85546875" style="2" customWidth="1"/>
    <col min="16124" max="16124" width="11.42578125" style="2" customWidth="1"/>
    <col min="16125" max="16125" width="12.5703125" style="2" customWidth="1"/>
    <col min="16126" max="16126" width="12.85546875" style="2" customWidth="1"/>
    <col min="16127" max="16127" width="14.28515625" style="2" customWidth="1"/>
    <col min="16128" max="16128" width="12.85546875" style="2" customWidth="1"/>
    <col min="16129" max="16131" width="9.140625" style="2"/>
    <col min="16132" max="16132" width="12.42578125" style="2" customWidth="1"/>
    <col min="16133" max="16133" width="9.85546875" style="2" bestFit="1" customWidth="1"/>
    <col min="16134" max="16134" width="14.140625" style="2" customWidth="1"/>
    <col min="16135" max="16135" width="12.42578125" style="2" bestFit="1" customWidth="1"/>
    <col min="16136" max="16136" width="19.42578125" style="2" customWidth="1"/>
    <col min="16137" max="16137" width="17.5703125" style="2" bestFit="1" customWidth="1"/>
    <col min="16138" max="16138" width="11.85546875" style="2" bestFit="1" customWidth="1"/>
    <col min="16139" max="16384" width="9.140625" style="2"/>
  </cols>
  <sheetData>
    <row r="2" spans="2:11" x14ac:dyDescent="0.3">
      <c r="B2" s="3"/>
      <c r="C2" s="392" t="s">
        <v>125</v>
      </c>
      <c r="D2" s="392"/>
      <c r="E2" s="392"/>
      <c r="F2" s="392"/>
      <c r="G2" s="392"/>
      <c r="H2" s="392"/>
      <c r="I2" s="392"/>
      <c r="J2" s="66"/>
      <c r="K2" s="66"/>
    </row>
    <row r="3" spans="2:11" ht="17.25" thickBot="1" x14ac:dyDescent="0.35"/>
    <row r="4" spans="2:11" ht="17.25" thickBot="1" x14ac:dyDescent="0.35">
      <c r="C4" s="88" t="s">
        <v>84</v>
      </c>
      <c r="D4" s="92" t="s">
        <v>85</v>
      </c>
      <c r="E4" s="93" t="s">
        <v>34</v>
      </c>
      <c r="F4" s="93" t="s">
        <v>35</v>
      </c>
      <c r="G4" s="94" t="s">
        <v>36</v>
      </c>
      <c r="H4" s="88" t="s">
        <v>37</v>
      </c>
      <c r="I4" s="92" t="s">
        <v>38</v>
      </c>
    </row>
    <row r="5" spans="2:11" x14ac:dyDescent="0.3">
      <c r="C5" s="89" t="str">
        <f>'Programa de Invest'!A8</f>
        <v>Projeto MIM</v>
      </c>
      <c r="D5" s="81">
        <f>'Programa de Invest'!B8</f>
        <v>25000</v>
      </c>
      <c r="E5" s="81">
        <f>'Programa de Invest'!C8</f>
        <v>12000</v>
      </c>
      <c r="F5" s="81">
        <f>'Programa de Invest'!D8</f>
        <v>10000</v>
      </c>
      <c r="G5" s="81">
        <f>'Programa de Invest'!E8</f>
        <v>8000</v>
      </c>
      <c r="H5" s="81"/>
      <c r="I5" s="55"/>
    </row>
    <row r="6" spans="2:11" x14ac:dyDescent="0.3">
      <c r="C6" s="90" t="str">
        <f>'Programa de Invest'!A9</f>
        <v>Projeto MAX</v>
      </c>
      <c r="D6" s="80">
        <f>'Programa de Invest'!B9</f>
        <v>85000</v>
      </c>
      <c r="E6" s="80"/>
      <c r="F6" s="80"/>
      <c r="G6" s="80"/>
      <c r="H6" s="80"/>
      <c r="I6" s="25"/>
    </row>
    <row r="7" spans="2:11" x14ac:dyDescent="0.3">
      <c r="C7" s="90" t="str">
        <f>'Programa de Invest'!A10</f>
        <v>Projeto ZAPY's</v>
      </c>
      <c r="D7" s="80">
        <f>'Programa de Invest'!B10</f>
        <v>50000</v>
      </c>
      <c r="E7" s="80">
        <f>'Programa de Invest'!C10</f>
        <v>5000</v>
      </c>
      <c r="F7" s="80">
        <f>'Programa de Invest'!D10</f>
        <v>5000</v>
      </c>
      <c r="G7" s="80">
        <f>'Programa de Invest'!E10</f>
        <v>5000</v>
      </c>
      <c r="H7" s="80">
        <f>'Programa de Invest'!F10</f>
        <v>5000</v>
      </c>
      <c r="I7" s="25"/>
    </row>
    <row r="8" spans="2:11" x14ac:dyDescent="0.3">
      <c r="C8" s="90" t="str">
        <f>'Programa de Invest'!A11</f>
        <v>Projeto ZANA's</v>
      </c>
      <c r="D8" s="80">
        <f>'Programa de Invest'!B11</f>
        <v>45000</v>
      </c>
      <c r="E8" s="80">
        <f>'Programa de Invest'!C11</f>
        <v>10000</v>
      </c>
      <c r="F8" s="80">
        <f>'Programa de Invest'!D11</f>
        <v>10000</v>
      </c>
      <c r="G8" s="80">
        <f>'Programa de Invest'!E11</f>
        <v>10000</v>
      </c>
      <c r="H8" s="80"/>
      <c r="I8" s="25"/>
    </row>
    <row r="9" spans="2:11" x14ac:dyDescent="0.3">
      <c r="C9" s="90" t="str">
        <f>'Programa de Invest'!A12</f>
        <v>Projeto MAYO</v>
      </c>
      <c r="D9" s="80">
        <f>'Programa de Invest'!B12</f>
        <v>65000</v>
      </c>
      <c r="E9" s="80"/>
      <c r="F9" s="80"/>
      <c r="G9" s="80"/>
      <c r="H9" s="80"/>
      <c r="I9" s="25"/>
    </row>
    <row r="10" spans="2:11" x14ac:dyDescent="0.3">
      <c r="C10" s="90" t="str">
        <f>'Programa de Invest'!A13</f>
        <v>Projeto BVIST</v>
      </c>
      <c r="D10" s="80">
        <f>'Programa de Invest'!B13</f>
        <v>68000</v>
      </c>
      <c r="E10" s="80"/>
      <c r="F10" s="80"/>
      <c r="G10" s="80"/>
      <c r="H10" s="80"/>
      <c r="I10" s="25"/>
    </row>
    <row r="11" spans="2:11" x14ac:dyDescent="0.3">
      <c r="C11" s="90" t="str">
        <f>'Programa de Invest'!A14</f>
        <v>Projeto SAL</v>
      </c>
      <c r="D11" s="80">
        <f>'Programa de Invest'!B14</f>
        <v>25000</v>
      </c>
      <c r="E11" s="80"/>
      <c r="F11" s="80">
        <f>'Programa de Invest'!D14</f>
        <v>25000</v>
      </c>
      <c r="G11" s="80"/>
      <c r="H11" s="80">
        <f>'Programa de Invest'!F14</f>
        <v>15000</v>
      </c>
      <c r="I11" s="25"/>
    </row>
    <row r="12" spans="2:11" x14ac:dyDescent="0.3">
      <c r="C12" s="90" t="str">
        <f>'Programa de Invest'!A15</f>
        <v>Projeto PRAIA</v>
      </c>
      <c r="D12" s="80">
        <f>'Programa de Invest'!B15</f>
        <v>20000</v>
      </c>
      <c r="E12" s="80">
        <f>'Programa de Invest'!C15</f>
        <v>20000</v>
      </c>
      <c r="F12" s="80">
        <f>'Programa de Invest'!D15</f>
        <v>15000</v>
      </c>
      <c r="G12" s="80">
        <f>'Programa de Invest'!E15</f>
        <v>15000</v>
      </c>
      <c r="H12" s="80"/>
      <c r="I12" s="25"/>
    </row>
    <row r="13" spans="2:11" x14ac:dyDescent="0.3">
      <c r="C13" s="90" t="str">
        <f>'Programa de Invest'!A16</f>
        <v>Projeto DANA</v>
      </c>
      <c r="D13" s="80">
        <f>'Programa de Invest'!B16</f>
        <v>75000</v>
      </c>
      <c r="E13" s="80"/>
      <c r="F13" s="80"/>
      <c r="G13" s="80"/>
      <c r="H13" s="80"/>
      <c r="I13" s="25"/>
    </row>
    <row r="14" spans="2:11" ht="17.25" thickBot="1" x14ac:dyDescent="0.35">
      <c r="C14" s="91" t="str">
        <f>'Programa de Invest'!A17</f>
        <v>Projeto DAMA</v>
      </c>
      <c r="D14" s="82">
        <f>'Programa de Invest'!B17</f>
        <v>12500</v>
      </c>
      <c r="E14" s="82">
        <f>'Programa de Invest'!C17</f>
        <v>12500</v>
      </c>
      <c r="F14" s="82">
        <f>'Programa de Invest'!D17</f>
        <v>12500</v>
      </c>
      <c r="G14" s="82">
        <f>'Programa de Invest'!E17</f>
        <v>12500</v>
      </c>
      <c r="H14" s="82">
        <f>'Programa de Invest'!F17</f>
        <v>12500</v>
      </c>
      <c r="I14" s="83">
        <f>'Programa de Invest'!G17</f>
        <v>12500</v>
      </c>
    </row>
    <row r="16" spans="2:11" x14ac:dyDescent="0.3">
      <c r="C16" s="6" t="s">
        <v>126</v>
      </c>
      <c r="D16" s="6" t="s">
        <v>135</v>
      </c>
      <c r="E16" s="6"/>
      <c r="F16" s="6"/>
      <c r="G16" s="6"/>
      <c r="H16" s="6"/>
    </row>
    <row r="17" spans="2:9" ht="17.25" thickBot="1" x14ac:dyDescent="0.35"/>
    <row r="18" spans="2:9" ht="17.25" thickBot="1" x14ac:dyDescent="0.35">
      <c r="C18" s="368" t="str">
        <f>'Programa de Invest'!A23</f>
        <v>Projeto MIM</v>
      </c>
      <c r="D18" s="369" t="s">
        <v>127</v>
      </c>
      <c r="E18" s="370" t="s">
        <v>128</v>
      </c>
      <c r="F18" s="370" t="s">
        <v>129</v>
      </c>
      <c r="G18" s="371" t="s">
        <v>130</v>
      </c>
      <c r="H18" s="372" t="s">
        <v>131</v>
      </c>
      <c r="I18" s="370" t="s">
        <v>132</v>
      </c>
    </row>
    <row r="19" spans="2:9" x14ac:dyDescent="0.3">
      <c r="B19" s="3"/>
      <c r="C19" s="373" t="str">
        <f>E4</f>
        <v>Período 1</v>
      </c>
      <c r="D19" s="71">
        <f>'Programa de Invest'!C23</f>
        <v>15000</v>
      </c>
      <c r="E19" s="9">
        <f>'Programa de Invest'!C63</f>
        <v>0.8</v>
      </c>
      <c r="F19" s="70">
        <f>+D19-$D$24</f>
        <v>0</v>
      </c>
      <c r="G19" s="7">
        <f>+F19^2</f>
        <v>0</v>
      </c>
      <c r="H19" s="7">
        <f>+G19*E19</f>
        <v>0</v>
      </c>
    </row>
    <row r="20" spans="2:9" x14ac:dyDescent="0.3">
      <c r="C20" s="374" t="s">
        <v>35</v>
      </c>
      <c r="D20" s="71">
        <f>'Programa de Invest'!D23</f>
        <v>15000</v>
      </c>
      <c r="E20" s="9">
        <f>'Programa de Invest'!D63</f>
        <v>0.75</v>
      </c>
      <c r="F20" s="70">
        <f>+D20-$D$24</f>
        <v>0</v>
      </c>
      <c r="G20" s="7">
        <f>+F20^2</f>
        <v>0</v>
      </c>
      <c r="H20" s="7">
        <f>+G20*E20</f>
        <v>0</v>
      </c>
    </row>
    <row r="21" spans="2:9" x14ac:dyDescent="0.3">
      <c r="C21" s="374" t="s">
        <v>36</v>
      </c>
      <c r="D21" s="71">
        <f>'Programa de Invest'!E23</f>
        <v>15000</v>
      </c>
      <c r="E21" s="9">
        <f>'Programa de Invest'!E63</f>
        <v>0.6</v>
      </c>
      <c r="F21" s="70">
        <f>+D21-$D$24</f>
        <v>0</v>
      </c>
      <c r="G21" s="7">
        <f>+F21^2</f>
        <v>0</v>
      </c>
      <c r="H21" s="7">
        <f>+G21*E21</f>
        <v>0</v>
      </c>
    </row>
    <row r="22" spans="2:9" x14ac:dyDescent="0.3">
      <c r="C22" s="374" t="s">
        <v>37</v>
      </c>
      <c r="D22" s="71">
        <f>'Programa de Invest'!F23</f>
        <v>15000</v>
      </c>
      <c r="E22" s="9">
        <f>'Programa de Invest'!F63</f>
        <v>0.69</v>
      </c>
      <c r="F22" s="70">
        <f>+D22-$D$24</f>
        <v>0</v>
      </c>
      <c r="G22" s="7">
        <f>+F22^2</f>
        <v>0</v>
      </c>
      <c r="H22" s="7">
        <f>+G22*E22</f>
        <v>0</v>
      </c>
    </row>
    <row r="23" spans="2:9" ht="17.25" thickBot="1" x14ac:dyDescent="0.35">
      <c r="C23" s="374" t="s">
        <v>38</v>
      </c>
      <c r="D23" s="71">
        <f>'Programa de Invest'!G23</f>
        <v>15000</v>
      </c>
      <c r="E23" s="9">
        <f>'Programa de Invest'!G63</f>
        <v>0.85</v>
      </c>
      <c r="F23" s="70">
        <f>+D23-$D$24</f>
        <v>0</v>
      </c>
      <c r="G23" s="5">
        <f>+F23^2</f>
        <v>0</v>
      </c>
      <c r="H23" s="5">
        <f>+G23*E23</f>
        <v>0</v>
      </c>
      <c r="I23" s="3"/>
    </row>
    <row r="24" spans="2:9" ht="17.25" thickBot="1" x14ac:dyDescent="0.35">
      <c r="C24" s="375" t="s">
        <v>133</v>
      </c>
      <c r="D24" s="84">
        <f>+AVERAGE(D19:D23)</f>
        <v>15000</v>
      </c>
      <c r="E24" s="85"/>
      <c r="F24" s="85"/>
      <c r="G24" s="86" t="s">
        <v>134</v>
      </c>
      <c r="H24" s="84">
        <f>+SUM(H19:H23)</f>
        <v>0</v>
      </c>
      <c r="I24" s="87">
        <f>+SQRT(H24)</f>
        <v>0</v>
      </c>
    </row>
    <row r="25" spans="2:9" ht="17.25" thickBot="1" x14ac:dyDescent="0.35"/>
    <row r="26" spans="2:9" ht="17.25" thickBot="1" x14ac:dyDescent="0.35">
      <c r="C26" s="368" t="str">
        <f>C6</f>
        <v>Projeto MAX</v>
      </c>
      <c r="D26" s="369" t="s">
        <v>127</v>
      </c>
      <c r="E26" s="370" t="s">
        <v>128</v>
      </c>
      <c r="F26" s="370" t="s">
        <v>129</v>
      </c>
      <c r="G26" s="371" t="s">
        <v>130</v>
      </c>
      <c r="H26" s="372" t="s">
        <v>131</v>
      </c>
      <c r="I26" s="370" t="s">
        <v>132</v>
      </c>
    </row>
    <row r="27" spans="2:9" x14ac:dyDescent="0.3">
      <c r="C27" s="373" t="str">
        <f>+C19</f>
        <v>Período 1</v>
      </c>
      <c r="D27" s="71">
        <f>'Programa de Invest'!C24</f>
        <v>15000</v>
      </c>
      <c r="E27" s="9">
        <f>E19</f>
        <v>0.8</v>
      </c>
      <c r="F27" s="65">
        <f>+D27-$D$32</f>
        <v>-14200</v>
      </c>
      <c r="G27" s="7">
        <f>+F27^2</f>
        <v>201640000</v>
      </c>
      <c r="H27" s="7">
        <f>+G27*E27</f>
        <v>161312000</v>
      </c>
    </row>
    <row r="28" spans="2:9" x14ac:dyDescent="0.3">
      <c r="C28" s="374" t="s">
        <v>35</v>
      </c>
      <c r="D28" s="71">
        <f>'Programa de Invest'!D24</f>
        <v>25000</v>
      </c>
      <c r="E28" s="9">
        <f t="shared" ref="E28:E31" si="0">E20</f>
        <v>0.75</v>
      </c>
      <c r="F28" s="65">
        <f>+D28-$D$32</f>
        <v>-4200</v>
      </c>
      <c r="G28" s="7">
        <f>+F28^2</f>
        <v>17640000</v>
      </c>
      <c r="H28" s="7">
        <f>+G28*E28</f>
        <v>13230000</v>
      </c>
    </row>
    <row r="29" spans="2:9" x14ac:dyDescent="0.3">
      <c r="C29" s="374" t="s">
        <v>36</v>
      </c>
      <c r="D29" s="71">
        <f>'Programa de Invest'!E24</f>
        <v>32000</v>
      </c>
      <c r="E29" s="9">
        <f t="shared" si="0"/>
        <v>0.6</v>
      </c>
      <c r="F29" s="65">
        <f>+D29-$D$32</f>
        <v>2800</v>
      </c>
      <c r="G29" s="7">
        <f>+F29^2</f>
        <v>7840000</v>
      </c>
      <c r="H29" s="7">
        <f>+G29*E29</f>
        <v>4704000</v>
      </c>
    </row>
    <row r="30" spans="2:9" x14ac:dyDescent="0.3">
      <c r="C30" s="374" t="s">
        <v>37</v>
      </c>
      <c r="D30" s="71">
        <f>'Programa de Invest'!F24</f>
        <v>36000</v>
      </c>
      <c r="E30" s="9">
        <f t="shared" si="0"/>
        <v>0.69</v>
      </c>
      <c r="F30" s="65">
        <f>+D30-$D$32</f>
        <v>6800</v>
      </c>
      <c r="G30" s="7">
        <f>+F30^2</f>
        <v>46240000</v>
      </c>
      <c r="H30" s="7">
        <f>+G30*E30</f>
        <v>31905599.999999996</v>
      </c>
    </row>
    <row r="31" spans="2:9" ht="17.25" thickBot="1" x14ac:dyDescent="0.35">
      <c r="C31" s="376" t="s">
        <v>38</v>
      </c>
      <c r="D31" s="73">
        <f>'Programa de Invest'!G24</f>
        <v>38000</v>
      </c>
      <c r="E31" s="9">
        <f t="shared" si="0"/>
        <v>0.85</v>
      </c>
      <c r="F31" s="65">
        <f>+D31-$D$32</f>
        <v>8800</v>
      </c>
      <c r="G31" s="13">
        <f>+F31^2</f>
        <v>77440000</v>
      </c>
      <c r="H31" s="13">
        <f>+G31*E31</f>
        <v>65824000</v>
      </c>
      <c r="I31" s="12"/>
    </row>
    <row r="32" spans="2:9" ht="18" thickTop="1" thickBot="1" x14ac:dyDescent="0.35">
      <c r="C32" s="377" t="s">
        <v>133</v>
      </c>
      <c r="D32" s="75">
        <f>+AVERAGE(D27:D31)</f>
        <v>29200</v>
      </c>
      <c r="E32" s="76"/>
      <c r="F32" s="76"/>
      <c r="G32" s="77" t="s">
        <v>134</v>
      </c>
      <c r="H32" s="78">
        <f>+SUM(H27:H31)</f>
        <v>276975600</v>
      </c>
      <c r="I32" s="79">
        <f>+SQRT(H32)</f>
        <v>16642.583933992941</v>
      </c>
    </row>
    <row r="33" spans="3:9" ht="18" thickTop="1" thickBot="1" x14ac:dyDescent="0.35"/>
    <row r="34" spans="3:9" ht="17.25" thickBot="1" x14ac:dyDescent="0.35">
      <c r="C34" s="67" t="str">
        <f>C7</f>
        <v>Projeto ZAPY's</v>
      </c>
      <c r="D34" s="68" t="s">
        <v>127</v>
      </c>
      <c r="E34" s="15" t="s">
        <v>128</v>
      </c>
      <c r="F34" s="15" t="s">
        <v>129</v>
      </c>
      <c r="G34" s="39" t="s">
        <v>130</v>
      </c>
      <c r="H34" s="69" t="s">
        <v>131</v>
      </c>
      <c r="I34" s="15" t="s">
        <v>132</v>
      </c>
    </row>
    <row r="35" spans="3:9" x14ac:dyDescent="0.3">
      <c r="C35" s="4" t="str">
        <f>+C27</f>
        <v>Período 1</v>
      </c>
      <c r="D35" s="71">
        <f>'Programa de Invest'!C25</f>
        <v>-8000</v>
      </c>
      <c r="E35" s="9">
        <f>E27</f>
        <v>0.8</v>
      </c>
      <c r="F35" s="65">
        <f>+D35-$D$40</f>
        <v>-20814.0625</v>
      </c>
      <c r="G35" s="7">
        <f>+F35^2</f>
        <v>433225197.75390625</v>
      </c>
      <c r="H35" s="7">
        <f>+G35*E35</f>
        <v>346580158.203125</v>
      </c>
    </row>
    <row r="36" spans="3:9" x14ac:dyDescent="0.3">
      <c r="C36" s="23" t="s">
        <v>35</v>
      </c>
      <c r="D36" s="71">
        <f>'Programa de Invest'!D25</f>
        <v>12500</v>
      </c>
      <c r="E36" s="9">
        <f t="shared" ref="E36:E39" si="1">E28</f>
        <v>0.75</v>
      </c>
      <c r="F36" s="65">
        <f>+D36-$D$40</f>
        <v>-314.0625</v>
      </c>
      <c r="G36" s="7">
        <f>+F36^2</f>
        <v>98635.25390625</v>
      </c>
      <c r="H36" s="7">
        <f>+G36*E36</f>
        <v>73976.4404296875</v>
      </c>
    </row>
    <row r="37" spans="3:9" x14ac:dyDescent="0.3">
      <c r="C37" s="23" t="s">
        <v>36</v>
      </c>
      <c r="D37" s="71">
        <f>'Programa de Invest'!E25</f>
        <v>15625</v>
      </c>
      <c r="E37" s="9">
        <f t="shared" si="1"/>
        <v>0.6</v>
      </c>
      <c r="F37" s="65">
        <f>+D37-$D$40</f>
        <v>2810.9375</v>
      </c>
      <c r="G37" s="7">
        <f>+F37^2</f>
        <v>7901369.62890625</v>
      </c>
      <c r="H37" s="7">
        <f>+G37*E37</f>
        <v>4740821.77734375</v>
      </c>
    </row>
    <row r="38" spans="3:9" x14ac:dyDescent="0.3">
      <c r="C38" s="23" t="s">
        <v>37</v>
      </c>
      <c r="D38" s="71">
        <f>'Programa de Invest'!F25</f>
        <v>19531.25</v>
      </c>
      <c r="E38" s="9">
        <f t="shared" si="1"/>
        <v>0.69</v>
      </c>
      <c r="F38" s="65">
        <f>+D38-$D$40</f>
        <v>6717.1875</v>
      </c>
      <c r="G38" s="7">
        <f>+F38^2</f>
        <v>45120607.91015625</v>
      </c>
      <c r="H38" s="7">
        <f>+G38*E38</f>
        <v>31133219.458007809</v>
      </c>
    </row>
    <row r="39" spans="3:9" ht="17.25" thickBot="1" x14ac:dyDescent="0.35">
      <c r="C39" s="72" t="s">
        <v>38</v>
      </c>
      <c r="D39" s="73">
        <f>'Programa de Invest'!G25</f>
        <v>24414.0625</v>
      </c>
      <c r="E39" s="9">
        <f t="shared" si="1"/>
        <v>0.85</v>
      </c>
      <c r="F39" s="65">
        <f>+D39-$D$40</f>
        <v>11600</v>
      </c>
      <c r="G39" s="13">
        <f>+F39^2</f>
        <v>134560000</v>
      </c>
      <c r="H39" s="13">
        <f>+G39*E39</f>
        <v>114376000</v>
      </c>
      <c r="I39" s="12"/>
    </row>
    <row r="40" spans="3:9" ht="18" thickTop="1" thickBot="1" x14ac:dyDescent="0.35">
      <c r="C40" s="74" t="s">
        <v>133</v>
      </c>
      <c r="D40" s="75">
        <f>+AVERAGE(D35:D39)</f>
        <v>12814.0625</v>
      </c>
      <c r="E40" s="76"/>
      <c r="F40" s="76"/>
      <c r="G40" s="77" t="s">
        <v>134</v>
      </c>
      <c r="H40" s="78">
        <f>+SUM(H35:H39)</f>
        <v>496904175.87890625</v>
      </c>
      <c r="I40" s="79">
        <f>+SQRT(H40)</f>
        <v>22291.347556370525</v>
      </c>
    </row>
    <row r="41" spans="3:9" ht="18" thickTop="1" thickBot="1" x14ac:dyDescent="0.35"/>
    <row r="42" spans="3:9" ht="17.25" thickBot="1" x14ac:dyDescent="0.35">
      <c r="C42" s="67" t="str">
        <f>'Programa de Invest'!A11</f>
        <v>Projeto ZANA's</v>
      </c>
      <c r="D42" s="68" t="s">
        <v>127</v>
      </c>
      <c r="E42" s="15" t="s">
        <v>128</v>
      </c>
      <c r="F42" s="15" t="s">
        <v>129</v>
      </c>
      <c r="G42" s="39" t="s">
        <v>130</v>
      </c>
      <c r="H42" s="69" t="s">
        <v>131</v>
      </c>
      <c r="I42" s="15" t="s">
        <v>132</v>
      </c>
    </row>
    <row r="43" spans="3:9" x14ac:dyDescent="0.3">
      <c r="C43" s="4" t="str">
        <f>+C35</f>
        <v>Período 1</v>
      </c>
      <c r="D43" s="71">
        <f>'Programa de Invest'!C26</f>
        <v>15000</v>
      </c>
      <c r="E43" s="9">
        <f>E35</f>
        <v>0.8</v>
      </c>
      <c r="F43" s="65">
        <f>+D43-$D$48</f>
        <v>0</v>
      </c>
      <c r="G43" s="7">
        <f>+F43^2</f>
        <v>0</v>
      </c>
      <c r="H43" s="7">
        <f>+G43*E43</f>
        <v>0</v>
      </c>
    </row>
    <row r="44" spans="3:9" x14ac:dyDescent="0.3">
      <c r="C44" s="23" t="s">
        <v>35</v>
      </c>
      <c r="D44" s="71">
        <f>'Programa de Invest'!D26</f>
        <v>15000</v>
      </c>
      <c r="E44" s="9">
        <f t="shared" ref="E44:E47" si="2">E36</f>
        <v>0.75</v>
      </c>
      <c r="F44" s="65">
        <f>+D44-$D$48</f>
        <v>0</v>
      </c>
      <c r="G44" s="7">
        <f>+F44^2</f>
        <v>0</v>
      </c>
      <c r="H44" s="7">
        <f>+G44*E44</f>
        <v>0</v>
      </c>
    </row>
    <row r="45" spans="3:9" x14ac:dyDescent="0.3">
      <c r="C45" s="23" t="s">
        <v>36</v>
      </c>
      <c r="D45" s="71">
        <f>'Programa de Invest'!E26</f>
        <v>15000</v>
      </c>
      <c r="E45" s="9">
        <f t="shared" si="2"/>
        <v>0.6</v>
      </c>
      <c r="F45" s="65">
        <f>+D45-$D$48</f>
        <v>0</v>
      </c>
      <c r="G45" s="7">
        <f>+F45^2</f>
        <v>0</v>
      </c>
      <c r="H45" s="7">
        <f>+G45*E45</f>
        <v>0</v>
      </c>
    </row>
    <row r="46" spans="3:9" x14ac:dyDescent="0.3">
      <c r="C46" s="23" t="s">
        <v>37</v>
      </c>
      <c r="D46" s="71">
        <f>'Programa de Invest'!F26</f>
        <v>15000</v>
      </c>
      <c r="E46" s="9">
        <f t="shared" si="2"/>
        <v>0.69</v>
      </c>
      <c r="F46" s="65">
        <f>+D46-$D$48</f>
        <v>0</v>
      </c>
      <c r="G46" s="7">
        <f>+F46^2</f>
        <v>0</v>
      </c>
      <c r="H46" s="7">
        <f>+G46*E46</f>
        <v>0</v>
      </c>
    </row>
    <row r="47" spans="3:9" ht="17.25" thickBot="1" x14ac:dyDescent="0.35">
      <c r="C47" s="72" t="s">
        <v>38</v>
      </c>
      <c r="D47" s="73">
        <f>'Programa de Invest'!G26</f>
        <v>15000</v>
      </c>
      <c r="E47" s="9">
        <f t="shared" si="2"/>
        <v>0.85</v>
      </c>
      <c r="F47" s="65">
        <f>+D47-$D$48</f>
        <v>0</v>
      </c>
      <c r="G47" s="13">
        <f>+F47^2</f>
        <v>0</v>
      </c>
      <c r="H47" s="13">
        <f>+G47*E47</f>
        <v>0</v>
      </c>
      <c r="I47" s="12"/>
    </row>
    <row r="48" spans="3:9" ht="18" thickTop="1" thickBot="1" x14ac:dyDescent="0.35">
      <c r="C48" s="74" t="s">
        <v>133</v>
      </c>
      <c r="D48" s="75">
        <f>+AVERAGE(D43:D47)</f>
        <v>15000</v>
      </c>
      <c r="E48" s="76"/>
      <c r="F48" s="76"/>
      <c r="G48" s="77" t="s">
        <v>134</v>
      </c>
      <c r="H48" s="78">
        <f>+SUM(H43:H47)</f>
        <v>0</v>
      </c>
      <c r="I48" s="79">
        <f>+SQRT(H48)</f>
        <v>0</v>
      </c>
    </row>
    <row r="49" spans="3:10" ht="17.25" thickTop="1" x14ac:dyDescent="0.3"/>
    <row r="50" spans="3:10" ht="17.25" thickBot="1" x14ac:dyDescent="0.35">
      <c r="E50" s="71"/>
      <c r="F50" s="71"/>
      <c r="G50" s="71"/>
      <c r="H50" s="71"/>
      <c r="I50" s="71"/>
    </row>
    <row r="51" spans="3:10" ht="17.25" thickBot="1" x14ac:dyDescent="0.35">
      <c r="C51" s="67" t="str">
        <f>'Programa de Invest'!A27</f>
        <v>Projeto MAYO</v>
      </c>
      <c r="D51" s="68" t="s">
        <v>127</v>
      </c>
      <c r="E51" s="15" t="s">
        <v>128</v>
      </c>
      <c r="F51" s="15" t="s">
        <v>129</v>
      </c>
      <c r="G51" s="39" t="s">
        <v>130</v>
      </c>
      <c r="H51" s="69" t="s">
        <v>131</v>
      </c>
      <c r="I51" s="15" t="s">
        <v>132</v>
      </c>
    </row>
    <row r="52" spans="3:10" x14ac:dyDescent="0.3">
      <c r="C52" s="4" t="str">
        <f>C43</f>
        <v>Período 1</v>
      </c>
      <c r="D52" s="71">
        <f>'Programa de Invest'!C27</f>
        <v>-15000</v>
      </c>
      <c r="E52" s="9">
        <f>E35</f>
        <v>0.8</v>
      </c>
      <c r="F52" s="65">
        <f>+D52-$D$57</f>
        <v>-44312.5</v>
      </c>
      <c r="G52" s="7">
        <f>+F52^2</f>
        <v>1963597656.25</v>
      </c>
      <c r="H52" s="7">
        <f>+G52*E52</f>
        <v>1570878125</v>
      </c>
      <c r="J52" s="3"/>
    </row>
    <row r="53" spans="3:10" x14ac:dyDescent="0.3">
      <c r="C53" s="4" t="str">
        <f t="shared" ref="C53:C56" si="3">C44</f>
        <v>Período 2</v>
      </c>
      <c r="D53" s="71">
        <f>'Programa de Invest'!D27</f>
        <v>-10000</v>
      </c>
      <c r="E53" s="9">
        <f t="shared" ref="E53:E56" si="4">E36</f>
        <v>0.75</v>
      </c>
      <c r="F53" s="65">
        <f>+D53-$D$57</f>
        <v>-39312.5</v>
      </c>
      <c r="G53" s="7">
        <f>+F53^2</f>
        <v>1545472656.25</v>
      </c>
      <c r="H53" s="7">
        <f>+G53*E53</f>
        <v>1159104492.1875</v>
      </c>
    </row>
    <row r="54" spans="3:10" x14ac:dyDescent="0.3">
      <c r="C54" s="4" t="str">
        <f t="shared" si="3"/>
        <v>Período 3</v>
      </c>
      <c r="D54" s="71">
        <f>'Programa de Invest'!E27</f>
        <v>45000</v>
      </c>
      <c r="E54" s="9">
        <f t="shared" si="4"/>
        <v>0.6</v>
      </c>
      <c r="F54" s="65">
        <f>+D54-$D$57</f>
        <v>15687.5</v>
      </c>
      <c r="G54" s="7">
        <f>+F54^2</f>
        <v>246097656.25</v>
      </c>
      <c r="H54" s="7">
        <f>+G54*E54</f>
        <v>147658593.75</v>
      </c>
    </row>
    <row r="55" spans="3:10" x14ac:dyDescent="0.3">
      <c r="C55" s="4" t="str">
        <f t="shared" si="3"/>
        <v>Período 4</v>
      </c>
      <c r="D55" s="71">
        <f>'Programa de Invest'!F27</f>
        <v>56250</v>
      </c>
      <c r="E55" s="9">
        <f t="shared" si="4"/>
        <v>0.69</v>
      </c>
      <c r="F55" s="65">
        <f>+D55-$D$57</f>
        <v>26937.5</v>
      </c>
      <c r="G55" s="7">
        <f>+F55^2</f>
        <v>725628906.25</v>
      </c>
      <c r="H55" s="7">
        <f>+G55*E55</f>
        <v>500683945.31249994</v>
      </c>
    </row>
    <row r="56" spans="3:10" ht="17.25" thickBot="1" x14ac:dyDescent="0.35">
      <c r="C56" s="4" t="str">
        <f t="shared" si="3"/>
        <v>Período 5</v>
      </c>
      <c r="D56" s="73">
        <f>'Programa de Invest'!G27</f>
        <v>70312.5</v>
      </c>
      <c r="E56" s="9">
        <f t="shared" si="4"/>
        <v>0.85</v>
      </c>
      <c r="F56" s="65">
        <f>+D56-$D$57</f>
        <v>41000</v>
      </c>
      <c r="G56" s="13">
        <f>+F56^2</f>
        <v>1681000000</v>
      </c>
      <c r="H56" s="13">
        <f>+G56*E56</f>
        <v>1428850000</v>
      </c>
      <c r="I56" s="12"/>
    </row>
    <row r="57" spans="3:10" ht="18" thickTop="1" thickBot="1" x14ac:dyDescent="0.35">
      <c r="C57" s="74" t="s">
        <v>133</v>
      </c>
      <c r="D57" s="75">
        <f>+AVERAGE(D52:D56)</f>
        <v>29312.5</v>
      </c>
      <c r="E57" s="76"/>
      <c r="F57" s="76"/>
      <c r="G57" s="77" t="s">
        <v>134</v>
      </c>
      <c r="H57" s="78">
        <f>+SUM(H52:H56)</f>
        <v>4807175156.25</v>
      </c>
      <c r="I57" s="79">
        <f>+SQRT(H57)</f>
        <v>69333.795195777362</v>
      </c>
    </row>
    <row r="58" spans="3:10" ht="18" thickTop="1" thickBot="1" x14ac:dyDescent="0.35"/>
    <row r="59" spans="3:10" ht="17.25" thickBot="1" x14ac:dyDescent="0.35">
      <c r="C59" s="67" t="str">
        <f>'Programa de Invest'!A28</f>
        <v>Projeto BVIST</v>
      </c>
      <c r="D59" s="68" t="s">
        <v>127</v>
      </c>
      <c r="E59" s="15" t="s">
        <v>128</v>
      </c>
      <c r="F59" s="15" t="s">
        <v>129</v>
      </c>
      <c r="G59" s="39" t="s">
        <v>130</v>
      </c>
      <c r="H59" s="69" t="s">
        <v>131</v>
      </c>
      <c r="I59" s="15" t="s">
        <v>132</v>
      </c>
    </row>
    <row r="60" spans="3:10" x14ac:dyDescent="0.3">
      <c r="C60" s="4" t="str">
        <f>C52</f>
        <v>Período 1</v>
      </c>
      <c r="D60" s="71">
        <f>'Programa de Invest'!C28</f>
        <v>15000</v>
      </c>
      <c r="E60" s="9">
        <f>E52</f>
        <v>0.8</v>
      </c>
      <c r="F60" s="65">
        <f>+D60-$D$65</f>
        <v>-7324.7999999999993</v>
      </c>
      <c r="G60" s="7">
        <f>+F60^2</f>
        <v>53652695.039999992</v>
      </c>
      <c r="H60" s="7">
        <f>+G60*E60</f>
        <v>42922156.031999998</v>
      </c>
    </row>
    <row r="61" spans="3:10" x14ac:dyDescent="0.3">
      <c r="C61" s="4" t="str">
        <f t="shared" ref="C61:C64" si="5">C53</f>
        <v>Período 2</v>
      </c>
      <c r="D61" s="71">
        <f>'Programa de Invest'!D28</f>
        <v>18000</v>
      </c>
      <c r="E61" s="9">
        <f t="shared" ref="E61:E64" si="6">E53</f>
        <v>0.75</v>
      </c>
      <c r="F61" s="65">
        <f>+D61-$D$65</f>
        <v>-4324.7999999999993</v>
      </c>
      <c r="G61" s="7">
        <f>+F61^2</f>
        <v>18703895.039999995</v>
      </c>
      <c r="H61" s="7">
        <f>+G61*E61</f>
        <v>14027921.279999997</v>
      </c>
    </row>
    <row r="62" spans="3:10" x14ac:dyDescent="0.3">
      <c r="C62" s="4" t="str">
        <f t="shared" si="5"/>
        <v>Período 3</v>
      </c>
      <c r="D62" s="71">
        <f>'Programa de Invest'!E28</f>
        <v>21600</v>
      </c>
      <c r="E62" s="9">
        <f t="shared" si="6"/>
        <v>0.6</v>
      </c>
      <c r="F62" s="65">
        <f>+D62-$D$65</f>
        <v>-724.79999999999927</v>
      </c>
      <c r="G62" s="7">
        <f>+F62^2</f>
        <v>525335.03999999899</v>
      </c>
      <c r="H62" s="7">
        <f>+G62*E62</f>
        <v>315201.02399999939</v>
      </c>
    </row>
    <row r="63" spans="3:10" x14ac:dyDescent="0.3">
      <c r="C63" s="4" t="str">
        <f t="shared" si="5"/>
        <v>Período 4</v>
      </c>
      <c r="D63" s="71">
        <f>'Programa de Invest'!F28</f>
        <v>25920</v>
      </c>
      <c r="E63" s="9">
        <f t="shared" si="6"/>
        <v>0.69</v>
      </c>
      <c r="F63" s="65">
        <f>+D63-$D$65</f>
        <v>3595.2000000000007</v>
      </c>
      <c r="G63" s="7">
        <f>+F63^2</f>
        <v>12925463.040000005</v>
      </c>
      <c r="H63" s="7">
        <f>+G63*E63</f>
        <v>8918569.4976000022</v>
      </c>
    </row>
    <row r="64" spans="3:10" ht="17.25" thickBot="1" x14ac:dyDescent="0.35">
      <c r="C64" s="4" t="str">
        <f t="shared" si="5"/>
        <v>Período 5</v>
      </c>
      <c r="D64" s="73">
        <f>'Programa de Invest'!G28</f>
        <v>31104</v>
      </c>
      <c r="E64" s="9">
        <f t="shared" si="6"/>
        <v>0.85</v>
      </c>
      <c r="F64" s="65">
        <f>+D64-$D$65</f>
        <v>8779.2000000000007</v>
      </c>
      <c r="G64" s="13">
        <f>+F64^2</f>
        <v>77074352.640000015</v>
      </c>
      <c r="H64" s="13">
        <f>+G64*E64</f>
        <v>65513199.74400001</v>
      </c>
      <c r="I64" s="12"/>
    </row>
    <row r="65" spans="3:9" ht="18" thickTop="1" thickBot="1" x14ac:dyDescent="0.35">
      <c r="C65" s="74" t="s">
        <v>133</v>
      </c>
      <c r="D65" s="75">
        <f>+AVERAGE(D60:D64)</f>
        <v>22324.799999999999</v>
      </c>
      <c r="E65" s="76"/>
      <c r="F65" s="76"/>
      <c r="G65" s="77" t="s">
        <v>134</v>
      </c>
      <c r="H65" s="78">
        <f>+SUM(H60:H64)</f>
        <v>131697047.5776</v>
      </c>
      <c r="I65" s="79">
        <f>+SQRT(H65)</f>
        <v>11475.933407684101</v>
      </c>
    </row>
    <row r="66" spans="3:9" ht="18" thickTop="1" thickBot="1" x14ac:dyDescent="0.35"/>
    <row r="67" spans="3:9" ht="17.25" thickBot="1" x14ac:dyDescent="0.35">
      <c r="C67" s="67" t="str">
        <f>'Programa de Invest'!A29</f>
        <v>Projeto SAL</v>
      </c>
      <c r="D67" s="68" t="s">
        <v>127</v>
      </c>
      <c r="E67" s="15" t="s">
        <v>128</v>
      </c>
      <c r="F67" s="15" t="s">
        <v>129</v>
      </c>
      <c r="G67" s="39" t="s">
        <v>130</v>
      </c>
      <c r="H67" s="69" t="s">
        <v>131</v>
      </c>
      <c r="I67" s="15" t="s">
        <v>132</v>
      </c>
    </row>
    <row r="68" spans="3:9" x14ac:dyDescent="0.3">
      <c r="C68" s="4" t="str">
        <f>C60</f>
        <v>Período 1</v>
      </c>
      <c r="D68" s="71">
        <f>'Programa de Invest'!C29</f>
        <v>20000</v>
      </c>
      <c r="E68" s="9">
        <f>E60</f>
        <v>0.8</v>
      </c>
      <c r="F68" s="65">
        <f>+D68-$D$73</f>
        <v>-16172.400000000001</v>
      </c>
      <c r="G68" s="7">
        <f>+F68^2</f>
        <v>261546521.76000005</v>
      </c>
      <c r="H68" s="7">
        <f>+G68*E68</f>
        <v>209237217.40800005</v>
      </c>
    </row>
    <row r="69" spans="3:9" x14ac:dyDescent="0.3">
      <c r="C69" s="4" t="str">
        <f t="shared" ref="C69:C72" si="7">C61</f>
        <v>Período 2</v>
      </c>
      <c r="D69" s="71">
        <f>'Programa de Invest'!D30</f>
        <v>26000</v>
      </c>
      <c r="E69" s="9">
        <f t="shared" ref="E69:E72" si="8">E61</f>
        <v>0.75</v>
      </c>
      <c r="F69" s="65">
        <f>+D69-$D$73</f>
        <v>-10172.400000000001</v>
      </c>
      <c r="G69" s="7">
        <f>+F69^2</f>
        <v>103477721.76000004</v>
      </c>
      <c r="H69" s="7">
        <f>+G69*E69</f>
        <v>77608291.320000023</v>
      </c>
    </row>
    <row r="70" spans="3:9" x14ac:dyDescent="0.3">
      <c r="C70" s="4" t="str">
        <f t="shared" si="7"/>
        <v>Período 3</v>
      </c>
      <c r="D70" s="71">
        <f>'Programa de Invest'!E30</f>
        <v>33800</v>
      </c>
      <c r="E70" s="9">
        <f t="shared" si="8"/>
        <v>0.6</v>
      </c>
      <c r="F70" s="65">
        <f>+D70-$D$73</f>
        <v>-2372.4000000000015</v>
      </c>
      <c r="G70" s="7">
        <f>+F70^2</f>
        <v>5628281.7600000072</v>
      </c>
      <c r="H70" s="7">
        <f>+G70*E70</f>
        <v>3376969.0560000041</v>
      </c>
    </row>
    <row r="71" spans="3:9" x14ac:dyDescent="0.3">
      <c r="C71" s="4" t="str">
        <f t="shared" si="7"/>
        <v>Período 4</v>
      </c>
      <c r="D71" s="71">
        <f>'Programa de Invest'!F30</f>
        <v>43940</v>
      </c>
      <c r="E71" s="9">
        <f t="shared" si="8"/>
        <v>0.69</v>
      </c>
      <c r="F71" s="65">
        <f>+D71-$D$73</f>
        <v>7767.5999999999985</v>
      </c>
      <c r="G71" s="7">
        <f>+F71^2</f>
        <v>60335609.759999976</v>
      </c>
      <c r="H71" s="7">
        <f>+G71*E71</f>
        <v>41631570.734399982</v>
      </c>
    </row>
    <row r="72" spans="3:9" ht="17.25" thickBot="1" x14ac:dyDescent="0.35">
      <c r="C72" s="4" t="str">
        <f t="shared" si="7"/>
        <v>Período 5</v>
      </c>
      <c r="D72" s="73">
        <f>'Programa de Invest'!G30</f>
        <v>57122</v>
      </c>
      <c r="E72" s="9">
        <f t="shared" si="8"/>
        <v>0.85</v>
      </c>
      <c r="F72" s="65">
        <f>+D72-$D$73</f>
        <v>20949.599999999999</v>
      </c>
      <c r="G72" s="13">
        <f>+F72^2</f>
        <v>438885740.15999997</v>
      </c>
      <c r="H72" s="13">
        <f>+G72*E72</f>
        <v>373052879.13599998</v>
      </c>
      <c r="I72" s="12"/>
    </row>
    <row r="73" spans="3:9" ht="18" thickTop="1" thickBot="1" x14ac:dyDescent="0.35">
      <c r="C73" s="74" t="s">
        <v>133</v>
      </c>
      <c r="D73" s="75">
        <f>+AVERAGE(D68:D72)</f>
        <v>36172.400000000001</v>
      </c>
      <c r="E73" s="76"/>
      <c r="F73" s="76"/>
      <c r="G73" s="77" t="s">
        <v>134</v>
      </c>
      <c r="H73" s="78">
        <f>+SUM(H68:H72)</f>
        <v>704906927.65439999</v>
      </c>
      <c r="I73" s="79">
        <f>+SQRT(H73)</f>
        <v>26550.083383191097</v>
      </c>
    </row>
    <row r="74" spans="3:9" ht="18" thickTop="1" thickBot="1" x14ac:dyDescent="0.35"/>
    <row r="75" spans="3:9" ht="17.25" thickBot="1" x14ac:dyDescent="0.35">
      <c r="C75" s="67" t="str">
        <f>'Programa de Invest'!A30</f>
        <v>Projeto PRAIA</v>
      </c>
      <c r="D75" s="68" t="s">
        <v>127</v>
      </c>
      <c r="E75" s="15" t="s">
        <v>128</v>
      </c>
      <c r="F75" s="15" t="s">
        <v>129</v>
      </c>
      <c r="G75" s="39" t="s">
        <v>130</v>
      </c>
      <c r="H75" s="69" t="s">
        <v>131</v>
      </c>
      <c r="I75" s="15" t="s">
        <v>132</v>
      </c>
    </row>
    <row r="76" spans="3:9" x14ac:dyDescent="0.3">
      <c r="C76" s="4" t="str">
        <f>C68</f>
        <v>Período 1</v>
      </c>
      <c r="D76" s="71">
        <f>'Programa de Invest'!C30</f>
        <v>20000</v>
      </c>
      <c r="E76" s="9">
        <f>E68</f>
        <v>0.8</v>
      </c>
      <c r="F76" s="65">
        <f>+D76-$D$81</f>
        <v>-16172.400000000001</v>
      </c>
      <c r="G76" s="7">
        <f>+F76^2</f>
        <v>261546521.76000005</v>
      </c>
      <c r="H76" s="7">
        <f>+G76*E76</f>
        <v>209237217.40800005</v>
      </c>
    </row>
    <row r="77" spans="3:9" x14ac:dyDescent="0.3">
      <c r="C77" s="4" t="str">
        <f t="shared" ref="C77:C80" si="9">C69</f>
        <v>Período 2</v>
      </c>
      <c r="D77" s="71">
        <f>'Programa de Invest'!D30</f>
        <v>26000</v>
      </c>
      <c r="E77" s="9">
        <f t="shared" ref="E77:E80" si="10">E69</f>
        <v>0.75</v>
      </c>
      <c r="F77" s="65">
        <f>+D77-$D$81</f>
        <v>-10172.400000000001</v>
      </c>
      <c r="G77" s="7">
        <f>+F77^2</f>
        <v>103477721.76000004</v>
      </c>
      <c r="H77" s="7">
        <f>+G77*E77</f>
        <v>77608291.320000023</v>
      </c>
    </row>
    <row r="78" spans="3:9" x14ac:dyDescent="0.3">
      <c r="C78" s="4" t="str">
        <f t="shared" si="9"/>
        <v>Período 3</v>
      </c>
      <c r="D78" s="71">
        <f>'Programa de Invest'!E30</f>
        <v>33800</v>
      </c>
      <c r="E78" s="9">
        <f t="shared" si="10"/>
        <v>0.6</v>
      </c>
      <c r="F78" s="65">
        <f t="shared" ref="F78:F79" si="11">+D78-$D$81</f>
        <v>-2372.4000000000015</v>
      </c>
      <c r="G78" s="7">
        <f>+F78^2</f>
        <v>5628281.7600000072</v>
      </c>
      <c r="H78" s="7">
        <f>+G78*E78</f>
        <v>3376969.0560000041</v>
      </c>
    </row>
    <row r="79" spans="3:9" x14ac:dyDescent="0.3">
      <c r="C79" s="4" t="str">
        <f t="shared" si="9"/>
        <v>Período 4</v>
      </c>
      <c r="D79" s="71">
        <f>'Programa de Invest'!F30</f>
        <v>43940</v>
      </c>
      <c r="E79" s="9">
        <f t="shared" si="10"/>
        <v>0.69</v>
      </c>
      <c r="F79" s="65">
        <f t="shared" si="11"/>
        <v>7767.5999999999985</v>
      </c>
      <c r="G79" s="7">
        <f>+F79^2</f>
        <v>60335609.759999976</v>
      </c>
      <c r="H79" s="7">
        <f>+G79*E79</f>
        <v>41631570.734399982</v>
      </c>
    </row>
    <row r="80" spans="3:9" ht="17.25" thickBot="1" x14ac:dyDescent="0.35">
      <c r="C80" s="4" t="str">
        <f t="shared" si="9"/>
        <v>Período 5</v>
      </c>
      <c r="D80" s="73">
        <f>'Programa de Invest'!G30</f>
        <v>57122</v>
      </c>
      <c r="E80" s="9">
        <f t="shared" si="10"/>
        <v>0.85</v>
      </c>
      <c r="F80" s="65">
        <f>+D80-$D$81</f>
        <v>20949.599999999999</v>
      </c>
      <c r="G80" s="13">
        <f>+F80^2</f>
        <v>438885740.15999997</v>
      </c>
      <c r="H80" s="13">
        <f>+G80*E80</f>
        <v>373052879.13599998</v>
      </c>
      <c r="I80" s="12"/>
    </row>
    <row r="81" spans="3:9" ht="18" thickTop="1" thickBot="1" x14ac:dyDescent="0.35">
      <c r="C81" s="74" t="s">
        <v>133</v>
      </c>
      <c r="D81" s="75">
        <f>+AVERAGE(D76:D80)</f>
        <v>36172.400000000001</v>
      </c>
      <c r="E81" s="76"/>
      <c r="F81" s="76"/>
      <c r="G81" s="77" t="s">
        <v>134</v>
      </c>
      <c r="H81" s="78">
        <f>+SUM(H76:H80)</f>
        <v>704906927.65439999</v>
      </c>
      <c r="I81" s="79">
        <f>+SQRT(H81)</f>
        <v>26550.083383191097</v>
      </c>
    </row>
    <row r="82" spans="3:9" ht="18" thickTop="1" thickBot="1" x14ac:dyDescent="0.35"/>
    <row r="83" spans="3:9" ht="17.25" thickBot="1" x14ac:dyDescent="0.35">
      <c r="C83" s="67" t="str">
        <f>'Programa de Invest'!A31</f>
        <v>Projeto DANA</v>
      </c>
      <c r="D83" s="68" t="s">
        <v>127</v>
      </c>
      <c r="E83" s="15" t="s">
        <v>128</v>
      </c>
      <c r="F83" s="15" t="s">
        <v>129</v>
      </c>
      <c r="G83" s="39" t="s">
        <v>130</v>
      </c>
      <c r="H83" s="69" t="s">
        <v>131</v>
      </c>
      <c r="I83" s="15" t="s">
        <v>132</v>
      </c>
    </row>
    <row r="84" spans="3:9" x14ac:dyDescent="0.3">
      <c r="C84" s="4" t="str">
        <f>C76</f>
        <v>Período 1</v>
      </c>
      <c r="D84" s="71">
        <f>'Programa de Invest'!C31</f>
        <v>-10000</v>
      </c>
      <c r="E84" s="9">
        <f>E76</f>
        <v>0.8</v>
      </c>
      <c r="F84" s="65">
        <f>+D84-$D$89</f>
        <v>-35200</v>
      </c>
      <c r="G84" s="7">
        <f>+F84^2</f>
        <v>1239040000</v>
      </c>
      <c r="H84" s="7">
        <f>+G84*E84</f>
        <v>991232000</v>
      </c>
    </row>
    <row r="85" spans="3:9" x14ac:dyDescent="0.3">
      <c r="C85" s="4" t="str">
        <f t="shared" ref="C85:C88" si="12">C77</f>
        <v>Período 2</v>
      </c>
      <c r="D85" s="71">
        <f>'Programa de Invest'!D31</f>
        <v>30000</v>
      </c>
      <c r="E85" s="9">
        <f t="shared" ref="E85:E88" si="13">E77</f>
        <v>0.75</v>
      </c>
      <c r="F85" s="65">
        <f>+D85-$D$89</f>
        <v>4800</v>
      </c>
      <c r="G85" s="7">
        <f>+F85^2</f>
        <v>23040000</v>
      </c>
      <c r="H85" s="7">
        <f>+G85*E85</f>
        <v>17280000</v>
      </c>
    </row>
    <row r="86" spans="3:9" x14ac:dyDescent="0.3">
      <c r="C86" s="4" t="str">
        <f t="shared" si="12"/>
        <v>Período 3</v>
      </c>
      <c r="D86" s="71">
        <f>'Programa de Invest'!E31</f>
        <v>32000</v>
      </c>
      <c r="E86" s="9">
        <f t="shared" si="13"/>
        <v>0.6</v>
      </c>
      <c r="F86" s="65">
        <f>+D86-$D$89</f>
        <v>6800</v>
      </c>
      <c r="G86" s="7">
        <f>+F86^2</f>
        <v>46240000</v>
      </c>
      <c r="H86" s="7">
        <f>+G86*E86</f>
        <v>27744000</v>
      </c>
    </row>
    <row r="87" spans="3:9" x14ac:dyDescent="0.3">
      <c r="C87" s="4" t="str">
        <f t="shared" si="12"/>
        <v>Período 4</v>
      </c>
      <c r="D87" s="71">
        <f>'Programa de Invest'!F31</f>
        <v>36000</v>
      </c>
      <c r="E87" s="9">
        <f t="shared" si="13"/>
        <v>0.69</v>
      </c>
      <c r="F87" s="65">
        <f t="shared" ref="F87" si="14">+D87-$D$89</f>
        <v>10800</v>
      </c>
      <c r="G87" s="7">
        <f>+F87^2</f>
        <v>116640000</v>
      </c>
      <c r="H87" s="7">
        <f>+G87*E87</f>
        <v>80481600</v>
      </c>
    </row>
    <row r="88" spans="3:9" ht="17.25" thickBot="1" x14ac:dyDescent="0.35">
      <c r="C88" s="4" t="str">
        <f t="shared" si="12"/>
        <v>Período 5</v>
      </c>
      <c r="D88" s="73">
        <f>'Programa de Invest'!G31</f>
        <v>38000</v>
      </c>
      <c r="E88" s="9">
        <f t="shared" si="13"/>
        <v>0.85</v>
      </c>
      <c r="F88" s="65">
        <f>+D88-$D$89</f>
        <v>12800</v>
      </c>
      <c r="G88" s="13">
        <f>+F88^2</f>
        <v>163840000</v>
      </c>
      <c r="H88" s="13">
        <f>+G88*E88</f>
        <v>139264000</v>
      </c>
      <c r="I88" s="12"/>
    </row>
    <row r="89" spans="3:9" ht="18" thickTop="1" thickBot="1" x14ac:dyDescent="0.35">
      <c r="C89" s="74" t="s">
        <v>133</v>
      </c>
      <c r="D89" s="75">
        <f>+AVERAGE(D84:D88)</f>
        <v>25200</v>
      </c>
      <c r="E89" s="76"/>
      <c r="F89" s="76"/>
      <c r="G89" s="77" t="s">
        <v>134</v>
      </c>
      <c r="H89" s="78">
        <f>+SUM(H84:H88)</f>
        <v>1256001600</v>
      </c>
      <c r="I89" s="79">
        <f>+SQRT(H89)</f>
        <v>35440.112866637428</v>
      </c>
    </row>
    <row r="90" spans="3:9" ht="18" thickTop="1" thickBot="1" x14ac:dyDescent="0.35"/>
    <row r="91" spans="3:9" ht="17.25" thickBot="1" x14ac:dyDescent="0.35">
      <c r="C91" s="67" t="str">
        <f>'Programa de Invest'!A32</f>
        <v>Projeto DAMA</v>
      </c>
      <c r="D91" s="68" t="s">
        <v>127</v>
      </c>
      <c r="E91" s="15" t="s">
        <v>128</v>
      </c>
      <c r="F91" s="15" t="s">
        <v>129</v>
      </c>
      <c r="G91" s="39" t="s">
        <v>130</v>
      </c>
      <c r="H91" s="69" t="s">
        <v>131</v>
      </c>
      <c r="I91" s="15" t="s">
        <v>132</v>
      </c>
    </row>
    <row r="92" spans="3:9" x14ac:dyDescent="0.3">
      <c r="C92" s="4" t="str">
        <f>C84</f>
        <v>Período 1</v>
      </c>
      <c r="D92" s="71">
        <f>'Programa de Invest'!C32</f>
        <v>-10000</v>
      </c>
      <c r="E92" s="9">
        <f>E84</f>
        <v>0.8</v>
      </c>
      <c r="F92" s="65">
        <f>+D92-$D$97</f>
        <v>-42400</v>
      </c>
      <c r="G92" s="7">
        <f>+F92^2</f>
        <v>1797760000</v>
      </c>
      <c r="H92" s="7">
        <f>+G92*E92</f>
        <v>1438208000</v>
      </c>
    </row>
    <row r="93" spans="3:9" x14ac:dyDescent="0.3">
      <c r="C93" s="4" t="str">
        <f t="shared" ref="C93:C96" si="15">C85</f>
        <v>Período 2</v>
      </c>
      <c r="D93" s="71">
        <f>'Programa de Invest'!D32</f>
        <v>30000</v>
      </c>
      <c r="E93" s="9">
        <f t="shared" ref="E93:E96" si="16">E85</f>
        <v>0.75</v>
      </c>
      <c r="F93" s="65">
        <f t="shared" ref="F93:F96" si="17">+D93-$D$97</f>
        <v>-2400</v>
      </c>
      <c r="G93" s="7">
        <f>+F93^2</f>
        <v>5760000</v>
      </c>
      <c r="H93" s="7">
        <f>+G93*E93</f>
        <v>4320000</v>
      </c>
    </row>
    <row r="94" spans="3:9" x14ac:dyDescent="0.3">
      <c r="C94" s="4" t="str">
        <f t="shared" si="15"/>
        <v>Período 3</v>
      </c>
      <c r="D94" s="71">
        <f>'Programa de Invest'!E31</f>
        <v>32000</v>
      </c>
      <c r="E94" s="9">
        <f t="shared" si="16"/>
        <v>0.6</v>
      </c>
      <c r="F94" s="65">
        <f t="shared" si="17"/>
        <v>-400</v>
      </c>
      <c r="G94" s="7">
        <f>+F94^2</f>
        <v>160000</v>
      </c>
      <c r="H94" s="7">
        <f>+G94*E94</f>
        <v>96000</v>
      </c>
    </row>
    <row r="95" spans="3:9" x14ac:dyDescent="0.3">
      <c r="C95" s="4" t="str">
        <f t="shared" si="15"/>
        <v>Período 4</v>
      </c>
      <c r="D95" s="71">
        <f>'Programa de Invest'!F32</f>
        <v>50000</v>
      </c>
      <c r="E95" s="9">
        <f t="shared" si="16"/>
        <v>0.69</v>
      </c>
      <c r="F95" s="65">
        <f t="shared" si="17"/>
        <v>17600</v>
      </c>
      <c r="G95" s="7">
        <f>+F95^2</f>
        <v>309760000</v>
      </c>
      <c r="H95" s="7">
        <f>+G95*E95</f>
        <v>213734399.99999997</v>
      </c>
    </row>
    <row r="96" spans="3:9" ht="17.25" thickBot="1" x14ac:dyDescent="0.35">
      <c r="C96" s="4" t="str">
        <f t="shared" si="15"/>
        <v>Período 5</v>
      </c>
      <c r="D96" s="73">
        <f>'Programa de Invest'!G32</f>
        <v>60000</v>
      </c>
      <c r="E96" s="9">
        <f t="shared" si="16"/>
        <v>0.85</v>
      </c>
      <c r="F96" s="65">
        <f t="shared" si="17"/>
        <v>27600</v>
      </c>
      <c r="G96" s="13">
        <f>+F96^2</f>
        <v>761760000</v>
      </c>
      <c r="H96" s="13">
        <f>+G96*E96</f>
        <v>647496000</v>
      </c>
      <c r="I96" s="12"/>
    </row>
    <row r="97" spans="3:9" ht="18" thickTop="1" thickBot="1" x14ac:dyDescent="0.35">
      <c r="C97" s="74" t="s">
        <v>133</v>
      </c>
      <c r="D97" s="75">
        <f>+AVERAGE(D92:D96)</f>
        <v>32400</v>
      </c>
      <c r="E97" s="76"/>
      <c r="F97" s="76"/>
      <c r="G97" s="77" t="s">
        <v>134</v>
      </c>
      <c r="H97" s="78">
        <f>+SUM(H92:H96)</f>
        <v>2303854400</v>
      </c>
      <c r="I97" s="79">
        <f>+SQRT(H97)</f>
        <v>47998.483309371346</v>
      </c>
    </row>
    <row r="98" spans="3:9" ht="17.25" thickTop="1" x14ac:dyDescent="0.3"/>
  </sheetData>
  <mergeCells count="1">
    <mergeCell ref="C2:I2"/>
  </mergeCells>
  <pageMargins left="0.7" right="0.7" top="0.75" bottom="0.75" header="0.3" footer="0.3"/>
  <pageSetup paperSize="9" scale="44" orientation="portrait" r:id="rId1"/>
  <colBreaks count="1" manualBreakCount="1">
    <brk id="15" max="5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opLeftCell="B22" workbookViewId="0">
      <selection activeCell="K32" sqref="K32"/>
    </sheetView>
  </sheetViews>
  <sheetFormatPr defaultRowHeight="15" x14ac:dyDescent="0.25"/>
  <cols>
    <col min="2" max="2" width="34.7109375" customWidth="1"/>
    <col min="9" max="9" width="11" customWidth="1"/>
    <col min="10" max="10" width="13.28515625" customWidth="1"/>
    <col min="258" max="258" width="34.7109375" customWidth="1"/>
    <col min="265" max="265" width="11" customWidth="1"/>
    <col min="266" max="266" width="13.28515625" customWidth="1"/>
    <col min="514" max="514" width="34.7109375" customWidth="1"/>
    <col min="521" max="521" width="11" customWidth="1"/>
    <col min="522" max="522" width="13.28515625" customWidth="1"/>
    <col min="770" max="770" width="34.7109375" customWidth="1"/>
    <col min="777" max="777" width="11" customWidth="1"/>
    <col min="778" max="778" width="13.28515625" customWidth="1"/>
    <col min="1026" max="1026" width="34.7109375" customWidth="1"/>
    <col min="1033" max="1033" width="11" customWidth="1"/>
    <col min="1034" max="1034" width="13.28515625" customWidth="1"/>
    <col min="1282" max="1282" width="34.7109375" customWidth="1"/>
    <col min="1289" max="1289" width="11" customWidth="1"/>
    <col min="1290" max="1290" width="13.28515625" customWidth="1"/>
    <col min="1538" max="1538" width="34.7109375" customWidth="1"/>
    <col min="1545" max="1545" width="11" customWidth="1"/>
    <col min="1546" max="1546" width="13.28515625" customWidth="1"/>
    <col min="1794" max="1794" width="34.7109375" customWidth="1"/>
    <col min="1801" max="1801" width="11" customWidth="1"/>
    <col min="1802" max="1802" width="13.28515625" customWidth="1"/>
    <col min="2050" max="2050" width="34.7109375" customWidth="1"/>
    <col min="2057" max="2057" width="11" customWidth="1"/>
    <col min="2058" max="2058" width="13.28515625" customWidth="1"/>
    <col min="2306" max="2306" width="34.7109375" customWidth="1"/>
    <col min="2313" max="2313" width="11" customWidth="1"/>
    <col min="2314" max="2314" width="13.28515625" customWidth="1"/>
    <col min="2562" max="2562" width="34.7109375" customWidth="1"/>
    <col min="2569" max="2569" width="11" customWidth="1"/>
    <col min="2570" max="2570" width="13.28515625" customWidth="1"/>
    <col min="2818" max="2818" width="34.7109375" customWidth="1"/>
    <col min="2825" max="2825" width="11" customWidth="1"/>
    <col min="2826" max="2826" width="13.28515625" customWidth="1"/>
    <col min="3074" max="3074" width="34.7109375" customWidth="1"/>
    <col min="3081" max="3081" width="11" customWidth="1"/>
    <col min="3082" max="3082" width="13.28515625" customWidth="1"/>
    <col min="3330" max="3330" width="34.7109375" customWidth="1"/>
    <col min="3337" max="3337" width="11" customWidth="1"/>
    <col min="3338" max="3338" width="13.28515625" customWidth="1"/>
    <col min="3586" max="3586" width="34.7109375" customWidth="1"/>
    <col min="3593" max="3593" width="11" customWidth="1"/>
    <col min="3594" max="3594" width="13.28515625" customWidth="1"/>
    <col min="3842" max="3842" width="34.7109375" customWidth="1"/>
    <col min="3849" max="3849" width="11" customWidth="1"/>
    <col min="3850" max="3850" width="13.28515625" customWidth="1"/>
    <col min="4098" max="4098" width="34.7109375" customWidth="1"/>
    <col min="4105" max="4105" width="11" customWidth="1"/>
    <col min="4106" max="4106" width="13.28515625" customWidth="1"/>
    <col min="4354" max="4354" width="34.7109375" customWidth="1"/>
    <col min="4361" max="4361" width="11" customWidth="1"/>
    <col min="4362" max="4362" width="13.28515625" customWidth="1"/>
    <col min="4610" max="4610" width="34.7109375" customWidth="1"/>
    <col min="4617" max="4617" width="11" customWidth="1"/>
    <col min="4618" max="4618" width="13.28515625" customWidth="1"/>
    <col min="4866" max="4866" width="34.7109375" customWidth="1"/>
    <col min="4873" max="4873" width="11" customWidth="1"/>
    <col min="4874" max="4874" width="13.28515625" customWidth="1"/>
    <col min="5122" max="5122" width="34.7109375" customWidth="1"/>
    <col min="5129" max="5129" width="11" customWidth="1"/>
    <col min="5130" max="5130" width="13.28515625" customWidth="1"/>
    <col min="5378" max="5378" width="34.7109375" customWidth="1"/>
    <col min="5385" max="5385" width="11" customWidth="1"/>
    <col min="5386" max="5386" width="13.28515625" customWidth="1"/>
    <col min="5634" max="5634" width="34.7109375" customWidth="1"/>
    <col min="5641" max="5641" width="11" customWidth="1"/>
    <col min="5642" max="5642" width="13.28515625" customWidth="1"/>
    <col min="5890" max="5890" width="34.7109375" customWidth="1"/>
    <col min="5897" max="5897" width="11" customWidth="1"/>
    <col min="5898" max="5898" width="13.28515625" customWidth="1"/>
    <col min="6146" max="6146" width="34.7109375" customWidth="1"/>
    <col min="6153" max="6153" width="11" customWidth="1"/>
    <col min="6154" max="6154" width="13.28515625" customWidth="1"/>
    <col min="6402" max="6402" width="34.7109375" customWidth="1"/>
    <col min="6409" max="6409" width="11" customWidth="1"/>
    <col min="6410" max="6410" width="13.28515625" customWidth="1"/>
    <col min="6658" max="6658" width="34.7109375" customWidth="1"/>
    <col min="6665" max="6665" width="11" customWidth="1"/>
    <col min="6666" max="6666" width="13.28515625" customWidth="1"/>
    <col min="6914" max="6914" width="34.7109375" customWidth="1"/>
    <col min="6921" max="6921" width="11" customWidth="1"/>
    <col min="6922" max="6922" width="13.28515625" customWidth="1"/>
    <col min="7170" max="7170" width="34.7109375" customWidth="1"/>
    <col min="7177" max="7177" width="11" customWidth="1"/>
    <col min="7178" max="7178" width="13.28515625" customWidth="1"/>
    <col min="7426" max="7426" width="34.7109375" customWidth="1"/>
    <col min="7433" max="7433" width="11" customWidth="1"/>
    <col min="7434" max="7434" width="13.28515625" customWidth="1"/>
    <col min="7682" max="7682" width="34.7109375" customWidth="1"/>
    <col min="7689" max="7689" width="11" customWidth="1"/>
    <col min="7690" max="7690" width="13.28515625" customWidth="1"/>
    <col min="7938" max="7938" width="34.7109375" customWidth="1"/>
    <col min="7945" max="7945" width="11" customWidth="1"/>
    <col min="7946" max="7946" width="13.28515625" customWidth="1"/>
    <col min="8194" max="8194" width="34.7109375" customWidth="1"/>
    <col min="8201" max="8201" width="11" customWidth="1"/>
    <col min="8202" max="8202" width="13.28515625" customWidth="1"/>
    <col min="8450" max="8450" width="34.7109375" customWidth="1"/>
    <col min="8457" max="8457" width="11" customWidth="1"/>
    <col min="8458" max="8458" width="13.28515625" customWidth="1"/>
    <col min="8706" max="8706" width="34.7109375" customWidth="1"/>
    <col min="8713" max="8713" width="11" customWidth="1"/>
    <col min="8714" max="8714" width="13.28515625" customWidth="1"/>
    <col min="8962" max="8962" width="34.7109375" customWidth="1"/>
    <col min="8969" max="8969" width="11" customWidth="1"/>
    <col min="8970" max="8970" width="13.28515625" customWidth="1"/>
    <col min="9218" max="9218" width="34.7109375" customWidth="1"/>
    <col min="9225" max="9225" width="11" customWidth="1"/>
    <col min="9226" max="9226" width="13.28515625" customWidth="1"/>
    <col min="9474" max="9474" width="34.7109375" customWidth="1"/>
    <col min="9481" max="9481" width="11" customWidth="1"/>
    <col min="9482" max="9482" width="13.28515625" customWidth="1"/>
    <col min="9730" max="9730" width="34.7109375" customWidth="1"/>
    <col min="9737" max="9737" width="11" customWidth="1"/>
    <col min="9738" max="9738" width="13.28515625" customWidth="1"/>
    <col min="9986" max="9986" width="34.7109375" customWidth="1"/>
    <col min="9993" max="9993" width="11" customWidth="1"/>
    <col min="9994" max="9994" width="13.28515625" customWidth="1"/>
    <col min="10242" max="10242" width="34.7109375" customWidth="1"/>
    <col min="10249" max="10249" width="11" customWidth="1"/>
    <col min="10250" max="10250" width="13.28515625" customWidth="1"/>
    <col min="10498" max="10498" width="34.7109375" customWidth="1"/>
    <col min="10505" max="10505" width="11" customWidth="1"/>
    <col min="10506" max="10506" width="13.28515625" customWidth="1"/>
    <col min="10754" max="10754" width="34.7109375" customWidth="1"/>
    <col min="10761" max="10761" width="11" customWidth="1"/>
    <col min="10762" max="10762" width="13.28515625" customWidth="1"/>
    <col min="11010" max="11010" width="34.7109375" customWidth="1"/>
    <col min="11017" max="11017" width="11" customWidth="1"/>
    <col min="11018" max="11018" width="13.28515625" customWidth="1"/>
    <col min="11266" max="11266" width="34.7109375" customWidth="1"/>
    <col min="11273" max="11273" width="11" customWidth="1"/>
    <col min="11274" max="11274" width="13.28515625" customWidth="1"/>
    <col min="11522" max="11522" width="34.7109375" customWidth="1"/>
    <col min="11529" max="11529" width="11" customWidth="1"/>
    <col min="11530" max="11530" width="13.28515625" customWidth="1"/>
    <col min="11778" max="11778" width="34.7109375" customWidth="1"/>
    <col min="11785" max="11785" width="11" customWidth="1"/>
    <col min="11786" max="11786" width="13.28515625" customWidth="1"/>
    <col min="12034" max="12034" width="34.7109375" customWidth="1"/>
    <col min="12041" max="12041" width="11" customWidth="1"/>
    <col min="12042" max="12042" width="13.28515625" customWidth="1"/>
    <col min="12290" max="12290" width="34.7109375" customWidth="1"/>
    <col min="12297" max="12297" width="11" customWidth="1"/>
    <col min="12298" max="12298" width="13.28515625" customWidth="1"/>
    <col min="12546" max="12546" width="34.7109375" customWidth="1"/>
    <col min="12553" max="12553" width="11" customWidth="1"/>
    <col min="12554" max="12554" width="13.28515625" customWidth="1"/>
    <col min="12802" max="12802" width="34.7109375" customWidth="1"/>
    <col min="12809" max="12809" width="11" customWidth="1"/>
    <col min="12810" max="12810" width="13.28515625" customWidth="1"/>
    <col min="13058" max="13058" width="34.7109375" customWidth="1"/>
    <col min="13065" max="13065" width="11" customWidth="1"/>
    <col min="13066" max="13066" width="13.28515625" customWidth="1"/>
    <col min="13314" max="13314" width="34.7109375" customWidth="1"/>
    <col min="13321" max="13321" width="11" customWidth="1"/>
    <col min="13322" max="13322" width="13.28515625" customWidth="1"/>
    <col min="13570" max="13570" width="34.7109375" customWidth="1"/>
    <col min="13577" max="13577" width="11" customWidth="1"/>
    <col min="13578" max="13578" width="13.28515625" customWidth="1"/>
    <col min="13826" max="13826" width="34.7109375" customWidth="1"/>
    <col min="13833" max="13833" width="11" customWidth="1"/>
    <col min="13834" max="13834" width="13.28515625" customWidth="1"/>
    <col min="14082" max="14082" width="34.7109375" customWidth="1"/>
    <col min="14089" max="14089" width="11" customWidth="1"/>
    <col min="14090" max="14090" width="13.28515625" customWidth="1"/>
    <col min="14338" max="14338" width="34.7109375" customWidth="1"/>
    <col min="14345" max="14345" width="11" customWidth="1"/>
    <col min="14346" max="14346" width="13.28515625" customWidth="1"/>
    <col min="14594" max="14594" width="34.7109375" customWidth="1"/>
    <col min="14601" max="14601" width="11" customWidth="1"/>
    <col min="14602" max="14602" width="13.28515625" customWidth="1"/>
    <col min="14850" max="14850" width="34.7109375" customWidth="1"/>
    <col min="14857" max="14857" width="11" customWidth="1"/>
    <col min="14858" max="14858" width="13.28515625" customWidth="1"/>
    <col min="15106" max="15106" width="34.7109375" customWidth="1"/>
    <col min="15113" max="15113" width="11" customWidth="1"/>
    <col min="15114" max="15114" width="13.28515625" customWidth="1"/>
    <col min="15362" max="15362" width="34.7109375" customWidth="1"/>
    <col min="15369" max="15369" width="11" customWidth="1"/>
    <col min="15370" max="15370" width="13.28515625" customWidth="1"/>
    <col min="15618" max="15618" width="34.7109375" customWidth="1"/>
    <col min="15625" max="15625" width="11" customWidth="1"/>
    <col min="15626" max="15626" width="13.28515625" customWidth="1"/>
    <col min="15874" max="15874" width="34.7109375" customWidth="1"/>
    <col min="15881" max="15881" width="11" customWidth="1"/>
    <col min="15882" max="15882" width="13.28515625" customWidth="1"/>
    <col min="16130" max="16130" width="34.7109375" customWidth="1"/>
    <col min="16137" max="16137" width="11" customWidth="1"/>
    <col min="16138" max="16138" width="13.28515625" customWidth="1"/>
  </cols>
  <sheetData>
    <row r="1" spans="1:19" s="17" customFormat="1" ht="15.75" thickBot="1" x14ac:dyDescent="0.3"/>
    <row r="2" spans="1:19" s="2" customFormat="1" ht="17.25" thickBot="1" x14ac:dyDescent="0.35">
      <c r="B2" s="14" t="s">
        <v>82</v>
      </c>
      <c r="C2" s="393" t="s">
        <v>83</v>
      </c>
      <c r="D2" s="394"/>
      <c r="E2" s="394"/>
      <c r="F2" s="394"/>
      <c r="G2" s="394"/>
      <c r="H2" s="394"/>
      <c r="I2" s="394"/>
      <c r="J2" s="395"/>
    </row>
    <row r="3" spans="1:19" s="2" customFormat="1" ht="16.5" x14ac:dyDescent="0.3">
      <c r="C3" s="9"/>
    </row>
    <row r="4" spans="1:19" s="2" customFormat="1" ht="16.5" x14ac:dyDescent="0.3">
      <c r="C4" s="9"/>
    </row>
    <row r="5" spans="1:19" s="2" customFormat="1" ht="16.5" x14ac:dyDescent="0.3">
      <c r="C5" s="9"/>
    </row>
    <row r="6" spans="1:19" s="2" customFormat="1" ht="16.5" x14ac:dyDescent="0.3">
      <c r="C6" s="9"/>
      <c r="I6" s="10"/>
      <c r="J6" s="10"/>
      <c r="K6" s="10"/>
      <c r="L6" s="10"/>
      <c r="M6" s="10"/>
      <c r="N6" s="3"/>
    </row>
    <row r="7" spans="1:19" s="2" customFormat="1" ht="17.25" thickBot="1" x14ac:dyDescent="0.35">
      <c r="C7" s="9"/>
      <c r="I7" s="3"/>
      <c r="J7" s="3"/>
      <c r="K7" s="3"/>
      <c r="L7" s="3"/>
      <c r="M7" s="3"/>
      <c r="N7" s="3"/>
    </row>
    <row r="8" spans="1:19" s="1" customFormat="1" ht="17.25" thickBot="1" x14ac:dyDescent="0.35">
      <c r="A8" s="2"/>
      <c r="B8" s="18" t="s">
        <v>84</v>
      </c>
      <c r="C8" s="19" t="s">
        <v>85</v>
      </c>
      <c r="D8" s="20" t="s">
        <v>34</v>
      </c>
      <c r="E8" s="20" t="s">
        <v>35</v>
      </c>
      <c r="F8" s="21" t="s">
        <v>36</v>
      </c>
      <c r="G8" s="18" t="s">
        <v>37</v>
      </c>
      <c r="H8" s="19" t="s">
        <v>38</v>
      </c>
      <c r="I8" s="22"/>
      <c r="J8" s="23"/>
      <c r="K8" s="23"/>
      <c r="L8" s="23"/>
      <c r="M8" s="23"/>
      <c r="N8" s="3"/>
      <c r="O8" s="2"/>
      <c r="P8" s="2"/>
      <c r="Q8" s="2"/>
      <c r="R8" s="2"/>
      <c r="S8" s="2"/>
    </row>
    <row r="9" spans="1:19" s="1" customFormat="1" ht="17.25" thickBot="1" x14ac:dyDescent="0.35">
      <c r="A9" s="2"/>
      <c r="B9" s="53" t="str">
        <f>'Programa de Invest'!A8</f>
        <v>Projeto MIM</v>
      </c>
      <c r="C9" s="55">
        <f>-'Programa de Invest'!B8</f>
        <v>-25000</v>
      </c>
      <c r="D9" s="55">
        <f>'Programa de Invest'!C8</f>
        <v>12000</v>
      </c>
      <c r="E9" s="55">
        <f>'Programa de Invest'!D8</f>
        <v>10000</v>
      </c>
      <c r="F9" s="55">
        <f>'Programa de Invest'!E8</f>
        <v>8000</v>
      </c>
      <c r="G9" s="55">
        <f>'Programa de Invest'!F8</f>
        <v>0</v>
      </c>
      <c r="H9" s="55">
        <f>'Programa de Invest'!G8</f>
        <v>0</v>
      </c>
      <c r="I9" s="5"/>
      <c r="J9" s="5"/>
      <c r="K9" s="5"/>
      <c r="L9" s="26"/>
      <c r="M9" s="5"/>
      <c r="N9" s="3"/>
      <c r="O9" s="2"/>
      <c r="P9" s="2"/>
      <c r="Q9" s="2"/>
      <c r="R9" s="2"/>
      <c r="S9" s="2"/>
    </row>
    <row r="10" spans="1:19" s="1" customFormat="1" ht="17.25" thickBot="1" x14ac:dyDescent="0.35">
      <c r="A10" s="2"/>
      <c r="B10" s="24" t="str">
        <f>'Programa de Invest'!A9</f>
        <v>Projeto MAX</v>
      </c>
      <c r="C10" s="55">
        <f>-'Programa de Invest'!B9</f>
        <v>-85000</v>
      </c>
      <c r="D10" s="25">
        <f>'Programa de Invest'!C9</f>
        <v>0</v>
      </c>
      <c r="E10" s="25">
        <f>'Programa de Invest'!D9</f>
        <v>0</v>
      </c>
      <c r="F10" s="25">
        <f>'Programa de Invest'!E9</f>
        <v>0</v>
      </c>
      <c r="G10" s="25">
        <f>'Programa de Invest'!F9</f>
        <v>0</v>
      </c>
      <c r="H10" s="25">
        <f>'Programa de Invest'!G9</f>
        <v>0</v>
      </c>
      <c r="I10" s="5"/>
      <c r="J10" s="5"/>
      <c r="K10" s="5"/>
      <c r="L10" s="26"/>
      <c r="M10" s="5"/>
      <c r="N10" s="3"/>
      <c r="O10" s="2"/>
      <c r="P10" s="2"/>
      <c r="Q10" s="2"/>
      <c r="R10" s="2"/>
      <c r="S10" s="2"/>
    </row>
    <row r="11" spans="1:19" s="1" customFormat="1" ht="17.25" thickBot="1" x14ac:dyDescent="0.35">
      <c r="A11" s="2"/>
      <c r="B11" s="24" t="str">
        <f>'Programa de Invest'!A10</f>
        <v>Projeto ZAPY's</v>
      </c>
      <c r="C11" s="55">
        <f>-'Programa de Invest'!B10</f>
        <v>-50000</v>
      </c>
      <c r="D11" s="25">
        <f>'Programa de Invest'!C10</f>
        <v>5000</v>
      </c>
      <c r="E11" s="25">
        <f>'Programa de Invest'!D10</f>
        <v>5000</v>
      </c>
      <c r="F11" s="25">
        <f>'Programa de Invest'!E10</f>
        <v>5000</v>
      </c>
      <c r="G11" s="25">
        <f>'Programa de Invest'!F10</f>
        <v>5000</v>
      </c>
      <c r="H11" s="25">
        <f>'Programa de Invest'!G10</f>
        <v>0</v>
      </c>
      <c r="I11" s="5"/>
      <c r="J11" s="5"/>
      <c r="K11" s="27"/>
      <c r="L11" s="5"/>
      <c r="M11" s="5"/>
      <c r="N11" s="3"/>
      <c r="O11" s="2"/>
      <c r="P11" s="2"/>
      <c r="Q11" s="2"/>
      <c r="R11" s="2"/>
      <c r="S11" s="2"/>
    </row>
    <row r="12" spans="1:19" s="1" customFormat="1" ht="17.25" thickBot="1" x14ac:dyDescent="0.35">
      <c r="A12" s="2"/>
      <c r="B12" s="24" t="str">
        <f>'Programa de Invest'!A11</f>
        <v>Projeto ZANA's</v>
      </c>
      <c r="C12" s="55">
        <f>-'Programa de Invest'!B11</f>
        <v>-45000</v>
      </c>
      <c r="D12" s="25">
        <f>'Programa de Invest'!C11</f>
        <v>10000</v>
      </c>
      <c r="E12" s="25">
        <f>'Programa de Invest'!D11</f>
        <v>10000</v>
      </c>
      <c r="F12" s="25">
        <f>'Programa de Invest'!E11</f>
        <v>10000</v>
      </c>
      <c r="G12" s="25">
        <f>'Programa de Invest'!F11</f>
        <v>0</v>
      </c>
      <c r="H12" s="25">
        <f>'Programa de Invest'!G11</f>
        <v>0</v>
      </c>
      <c r="I12" s="5"/>
      <c r="J12" s="5"/>
      <c r="K12" s="5"/>
      <c r="L12" s="26"/>
      <c r="M12" s="5"/>
      <c r="N12" s="3"/>
      <c r="O12" s="2"/>
      <c r="P12" s="2"/>
      <c r="Q12" s="2"/>
      <c r="R12" s="2"/>
      <c r="S12" s="2"/>
    </row>
    <row r="13" spans="1:19" s="1" customFormat="1" ht="17.25" thickBot="1" x14ac:dyDescent="0.35">
      <c r="A13" s="2"/>
      <c r="B13" s="24" t="str">
        <f>'Programa de Invest'!A12</f>
        <v>Projeto MAYO</v>
      </c>
      <c r="C13" s="55">
        <f>-'Programa de Invest'!B12</f>
        <v>-65000</v>
      </c>
      <c r="D13" s="25">
        <f>'Programa de Invest'!C12</f>
        <v>0</v>
      </c>
      <c r="E13" s="25">
        <f>'Programa de Invest'!D12</f>
        <v>0</v>
      </c>
      <c r="F13" s="25">
        <f>'Programa de Invest'!E12</f>
        <v>0</v>
      </c>
      <c r="G13" s="25">
        <f>'Programa de Invest'!F12</f>
        <v>0</v>
      </c>
      <c r="H13" s="25">
        <f>'Programa de Invest'!G12</f>
        <v>0</v>
      </c>
      <c r="I13" s="5"/>
      <c r="J13" s="5"/>
      <c r="K13" s="5"/>
      <c r="L13" s="26"/>
      <c r="M13" s="5"/>
      <c r="N13" s="3"/>
      <c r="O13" s="2"/>
      <c r="P13" s="2"/>
      <c r="Q13" s="2"/>
      <c r="R13" s="2"/>
      <c r="S13" s="2"/>
    </row>
    <row r="14" spans="1:19" s="1" customFormat="1" ht="17.25" thickBot="1" x14ac:dyDescent="0.35">
      <c r="A14" s="2"/>
      <c r="B14" s="24" t="str">
        <f>'Programa de Invest'!A13</f>
        <v>Projeto BVIST</v>
      </c>
      <c r="C14" s="55">
        <f>-'Programa de Invest'!B13</f>
        <v>-68000</v>
      </c>
      <c r="D14" s="25">
        <f>'Programa de Invest'!C13</f>
        <v>0</v>
      </c>
      <c r="E14" s="25">
        <f>'Programa de Invest'!D13</f>
        <v>0</v>
      </c>
      <c r="F14" s="25">
        <f>'Programa de Invest'!E13</f>
        <v>0</v>
      </c>
      <c r="G14" s="25">
        <f>'Programa de Invest'!F13</f>
        <v>0</v>
      </c>
      <c r="H14" s="25">
        <f>'Programa de Invest'!G13</f>
        <v>0</v>
      </c>
      <c r="I14" s="5"/>
      <c r="J14" s="5"/>
      <c r="K14" s="27"/>
      <c r="L14" s="5"/>
      <c r="M14" s="5"/>
      <c r="N14" s="3"/>
      <c r="O14" s="2"/>
      <c r="P14" s="2"/>
      <c r="Q14" s="2"/>
      <c r="R14" s="2"/>
      <c r="S14" s="2"/>
    </row>
    <row r="15" spans="1:19" s="1" customFormat="1" ht="17.25" thickBot="1" x14ac:dyDescent="0.35">
      <c r="A15" s="2"/>
      <c r="B15" s="24" t="str">
        <f>'Programa de Invest'!A14</f>
        <v>Projeto SAL</v>
      </c>
      <c r="C15" s="55">
        <f>-'Programa de Invest'!B14</f>
        <v>-25000</v>
      </c>
      <c r="D15" s="25">
        <f>'Programa de Invest'!C14</f>
        <v>0</v>
      </c>
      <c r="E15" s="25">
        <f>'Programa de Invest'!D14</f>
        <v>25000</v>
      </c>
      <c r="F15" s="25">
        <f>'Programa de Invest'!E14</f>
        <v>0</v>
      </c>
      <c r="G15" s="25">
        <f>'Programa de Invest'!F14</f>
        <v>15000</v>
      </c>
      <c r="H15" s="25">
        <f>'Programa de Invest'!G14</f>
        <v>0</v>
      </c>
      <c r="I15" s="5"/>
      <c r="J15" s="5"/>
      <c r="K15" s="5"/>
      <c r="L15" s="28"/>
      <c r="M15" s="26"/>
      <c r="N15" s="3"/>
      <c r="O15" s="2"/>
      <c r="P15" s="2"/>
      <c r="Q15" s="2"/>
      <c r="R15" s="2"/>
      <c r="S15" s="2"/>
    </row>
    <row r="16" spans="1:19" s="2" customFormat="1" ht="17.25" thickBot="1" x14ac:dyDescent="0.35">
      <c r="B16" s="24" t="str">
        <f>'Programa de Invest'!A15</f>
        <v>Projeto PRAIA</v>
      </c>
      <c r="C16" s="55">
        <f>-'Programa de Invest'!B15</f>
        <v>-20000</v>
      </c>
      <c r="D16" s="25">
        <f>'Programa de Invest'!C15</f>
        <v>20000</v>
      </c>
      <c r="E16" s="25">
        <f>'Programa de Invest'!D15</f>
        <v>15000</v>
      </c>
      <c r="F16" s="25">
        <f>'Programa de Invest'!E15</f>
        <v>15000</v>
      </c>
      <c r="G16" s="25">
        <f>'Programa de Invest'!F15</f>
        <v>0</v>
      </c>
      <c r="H16" s="25">
        <f>'Programa de Invest'!G15</f>
        <v>0</v>
      </c>
      <c r="I16" s="5"/>
      <c r="J16" s="5"/>
      <c r="K16" s="26"/>
      <c r="L16" s="5"/>
      <c r="M16" s="5"/>
      <c r="N16" s="3"/>
    </row>
    <row r="17" spans="1:15" s="2" customFormat="1" ht="17.25" thickBot="1" x14ac:dyDescent="0.35">
      <c r="B17" s="24" t="str">
        <f>'Programa de Invest'!A16</f>
        <v>Projeto DANA</v>
      </c>
      <c r="C17" s="55">
        <f>-'Programa de Invest'!B16</f>
        <v>-75000</v>
      </c>
      <c r="D17" s="25">
        <f>'Programa de Invest'!C16</f>
        <v>0</v>
      </c>
      <c r="E17" s="25">
        <f>'Programa de Invest'!D16</f>
        <v>0</v>
      </c>
      <c r="F17" s="25">
        <f>'Programa de Invest'!E16</f>
        <v>0</v>
      </c>
      <c r="G17" s="25">
        <f>'Programa de Invest'!F16</f>
        <v>0</v>
      </c>
      <c r="H17" s="25">
        <f>'Programa de Invest'!G16</f>
        <v>0</v>
      </c>
      <c r="I17" s="5"/>
      <c r="J17" s="5"/>
      <c r="K17" s="26"/>
      <c r="L17" s="5"/>
      <c r="M17" s="5"/>
      <c r="N17" s="3"/>
    </row>
    <row r="18" spans="1:15" s="2" customFormat="1" ht="16.5" x14ac:dyDescent="0.3">
      <c r="B18" s="24" t="str">
        <f>'Programa de Invest'!A17</f>
        <v>Projeto DAMA</v>
      </c>
      <c r="C18" s="55">
        <f>-'Programa de Invest'!B17</f>
        <v>-12500</v>
      </c>
      <c r="D18" s="25">
        <f>'Programa de Invest'!C17</f>
        <v>12500</v>
      </c>
      <c r="E18" s="25">
        <f>'Programa de Invest'!D17</f>
        <v>12500</v>
      </c>
      <c r="F18" s="25">
        <f>'Programa de Invest'!E17</f>
        <v>12500</v>
      </c>
      <c r="G18" s="25">
        <f>'Programa de Invest'!F17</f>
        <v>12500</v>
      </c>
      <c r="H18" s="25">
        <f>'Programa de Invest'!G17</f>
        <v>12500</v>
      </c>
      <c r="I18" s="5"/>
      <c r="J18" s="5"/>
      <c r="K18" s="5"/>
      <c r="L18" s="26"/>
      <c r="M18" s="5"/>
      <c r="N18" s="3"/>
    </row>
    <row r="19" spans="1:15" s="2" customFormat="1" ht="17.25" thickBot="1" x14ac:dyDescent="0.35">
      <c r="B19" s="63" t="s">
        <v>29</v>
      </c>
      <c r="C19" s="64">
        <f>'Programa de Invest'!B58</f>
        <v>0</v>
      </c>
      <c r="D19" s="64">
        <f>'Programa de Invest'!C58</f>
        <v>4.132400511093888E-2</v>
      </c>
      <c r="E19" s="64">
        <f>'Programa de Invest'!D58</f>
        <v>4.9588806133126655E-2</v>
      </c>
      <c r="F19" s="64">
        <f>'Programa de Invest'!E58</f>
        <v>5.9506567359751981E-2</v>
      </c>
      <c r="G19" s="64">
        <f>'Programa de Invest'!F58</f>
        <v>4.7320723824203104E-2</v>
      </c>
      <c r="H19" s="64">
        <f>'Programa de Invest'!G58</f>
        <v>3.7630315486170171E-2</v>
      </c>
      <c r="I19" s="3"/>
      <c r="J19" s="3"/>
      <c r="K19" s="3"/>
      <c r="L19" s="3"/>
      <c r="M19" s="3"/>
      <c r="N19" s="3"/>
    </row>
    <row r="20" spans="1:15" s="2" customFormat="1" ht="17.25" thickBot="1" x14ac:dyDescent="0.35">
      <c r="B20" s="51" t="s">
        <v>86</v>
      </c>
      <c r="C20" s="52">
        <f>'Programa de Invest'!B37</f>
        <v>0.12</v>
      </c>
      <c r="D20" s="29"/>
      <c r="E20" s="29"/>
      <c r="F20" s="29"/>
      <c r="G20" s="30"/>
      <c r="H20" s="30"/>
      <c r="I20" s="3"/>
      <c r="J20" s="3"/>
      <c r="K20" s="399" t="s">
        <v>104</v>
      </c>
      <c r="L20" s="399"/>
      <c r="M20" s="399"/>
      <c r="N20" s="399"/>
    </row>
    <row r="21" spans="1:15" s="2" customFormat="1" ht="16.5" x14ac:dyDescent="0.3">
      <c r="B21" s="31"/>
      <c r="C21" s="9"/>
      <c r="J21" s="8"/>
      <c r="K21" s="8">
        <v>-1</v>
      </c>
      <c r="L21" s="8">
        <v>-2</v>
      </c>
      <c r="M21" s="8">
        <v>-3</v>
      </c>
      <c r="N21" s="8">
        <v>-4</v>
      </c>
      <c r="O21" s="8">
        <v>-5</v>
      </c>
    </row>
    <row r="22" spans="1:15" s="2" customFormat="1" ht="16.5" x14ac:dyDescent="0.3">
      <c r="B22" s="6" t="s">
        <v>87</v>
      </c>
      <c r="J22" s="57">
        <f>C20+1</f>
        <v>1.1200000000000001</v>
      </c>
      <c r="K22" s="58">
        <f>D19+1</f>
        <v>1.0413240051109389</v>
      </c>
      <c r="L22" s="58">
        <f>E19+1</f>
        <v>1.0495888061331267</v>
      </c>
      <c r="M22" s="58">
        <f>F19+1</f>
        <v>1.0595065673597519</v>
      </c>
      <c r="N22" s="58">
        <v>1</v>
      </c>
      <c r="O22" s="58">
        <v>1</v>
      </c>
    </row>
    <row r="23" spans="1:15" s="17" customFormat="1" ht="15.75" thickBot="1" x14ac:dyDescent="0.3">
      <c r="J23" s="59"/>
      <c r="K23" s="60"/>
      <c r="L23" s="60"/>
      <c r="M23" s="60"/>
      <c r="N23" s="60"/>
      <c r="O23" s="60"/>
    </row>
    <row r="24" spans="1:15" s="17" customFormat="1" ht="17.25" thickBot="1" x14ac:dyDescent="0.35">
      <c r="B24" s="32" t="s">
        <v>88</v>
      </c>
      <c r="C24" s="33"/>
      <c r="D24" s="32">
        <f t="shared" ref="D24:H25" si="0">K24</f>
        <v>0.85742491143476607</v>
      </c>
      <c r="E24" s="32">
        <f t="shared" si="0"/>
        <v>0.72364501389478386</v>
      </c>
      <c r="F24" s="32">
        <f t="shared" si="0"/>
        <v>0.59845978592362548</v>
      </c>
      <c r="G24" s="32">
        <f t="shared" si="0"/>
        <v>0.63551807840483121</v>
      </c>
      <c r="H24" s="11">
        <f t="shared" si="0"/>
        <v>0.56742685571859919</v>
      </c>
      <c r="J24" s="60"/>
      <c r="K24" s="60">
        <f>(J22*K22)^K21</f>
        <v>0.85742491143476607</v>
      </c>
      <c r="L24" s="60">
        <f>(J22*L22)^L21</f>
        <v>0.72364501389478386</v>
      </c>
      <c r="M24" s="60">
        <f>(J22*M22)^M21</f>
        <v>0.59845978592362548</v>
      </c>
      <c r="N24" s="60">
        <f>(J22*N22)^N21</f>
        <v>0.63551807840483121</v>
      </c>
      <c r="O24" s="60">
        <f>(J22*O22)^O21</f>
        <v>0.56742685571859919</v>
      </c>
    </row>
    <row r="25" spans="1:15" s="17" customFormat="1" ht="17.25" thickBot="1" x14ac:dyDescent="0.35">
      <c r="B25" s="34" t="s">
        <v>89</v>
      </c>
      <c r="C25" s="35"/>
      <c r="D25" s="36">
        <f t="shared" si="0"/>
        <v>0.16628288572425176</v>
      </c>
      <c r="E25" s="36">
        <f t="shared" si="0"/>
        <v>0.17553946286910205</v>
      </c>
      <c r="F25" s="36">
        <f t="shared" si="0"/>
        <v>0.18664735544292221</v>
      </c>
      <c r="G25" s="36">
        <f t="shared" si="0"/>
        <v>0.12000000000000011</v>
      </c>
      <c r="H25" s="56">
        <f t="shared" si="0"/>
        <v>0.12000000000000011</v>
      </c>
      <c r="J25" s="60"/>
      <c r="K25" s="61">
        <f>($J$22*K22)-1</f>
        <v>0.16628288572425176</v>
      </c>
      <c r="L25" s="61">
        <f>($J$22*L22)-1</f>
        <v>0.17553946286910205</v>
      </c>
      <c r="M25" s="61">
        <f>($J$22*M22)-1</f>
        <v>0.18664735544292221</v>
      </c>
      <c r="N25" s="61">
        <f>($J$22*N22)-1</f>
        <v>0.12000000000000011</v>
      </c>
      <c r="O25" s="61">
        <f>($J$22*O22)-1</f>
        <v>0.12000000000000011</v>
      </c>
    </row>
    <row r="26" spans="1:15" s="17" customFormat="1" ht="17.25" thickBot="1" x14ac:dyDescent="0.35">
      <c r="D26" s="37"/>
      <c r="E26" s="37"/>
      <c r="F26" s="37"/>
      <c r="G26" s="37"/>
      <c r="H26" s="37"/>
    </row>
    <row r="27" spans="1:15" s="17" customFormat="1" ht="17.25" thickBot="1" x14ac:dyDescent="0.35">
      <c r="A27" s="38"/>
      <c r="B27" s="396" t="s">
        <v>90</v>
      </c>
      <c r="C27" s="397"/>
      <c r="D27" s="397"/>
      <c r="E27" s="397"/>
      <c r="F27" s="397"/>
      <c r="G27" s="397"/>
      <c r="H27" s="397"/>
      <c r="I27" s="398"/>
    </row>
    <row r="28" spans="1:15" s="17" customFormat="1" ht="17.25" thickBot="1" x14ac:dyDescent="0.35">
      <c r="A28" s="38"/>
      <c r="B28" s="39" t="s">
        <v>91</v>
      </c>
      <c r="C28" s="16" t="s">
        <v>28</v>
      </c>
      <c r="D28" s="40" t="s">
        <v>92</v>
      </c>
      <c r="E28" s="41"/>
      <c r="F28" s="41"/>
      <c r="G28" s="41"/>
      <c r="H28" s="41"/>
      <c r="I28" s="42" t="s">
        <v>93</v>
      </c>
      <c r="J28" s="43" t="s">
        <v>94</v>
      </c>
    </row>
    <row r="29" spans="1:15" s="17" customFormat="1" ht="17.25" thickBot="1" x14ac:dyDescent="0.35">
      <c r="B29" s="44" t="str">
        <f>+B9</f>
        <v>Projeto MIM</v>
      </c>
      <c r="C29" s="45">
        <f>+C9</f>
        <v>-25000</v>
      </c>
      <c r="D29" s="45">
        <f t="shared" ref="D29:H29" si="1">+D9</f>
        <v>12000</v>
      </c>
      <c r="E29" s="45">
        <f t="shared" si="1"/>
        <v>10000</v>
      </c>
      <c r="F29" s="45">
        <f t="shared" si="1"/>
        <v>8000</v>
      </c>
      <c r="G29" s="45">
        <f t="shared" si="1"/>
        <v>0</v>
      </c>
      <c r="H29" s="45">
        <f t="shared" si="1"/>
        <v>0</v>
      </c>
      <c r="I29" s="47">
        <f>+SUM(D29:H29)+C29</f>
        <v>5000</v>
      </c>
      <c r="J29" s="44" t="s">
        <v>95</v>
      </c>
      <c r="L29" s="62"/>
    </row>
    <row r="30" spans="1:15" s="17" customFormat="1" ht="17.25" thickBot="1" x14ac:dyDescent="0.35">
      <c r="B30" s="44" t="str">
        <f t="shared" ref="B30:C38" si="2">+B10</f>
        <v>Projeto MAX</v>
      </c>
      <c r="C30" s="45">
        <f t="shared" si="2"/>
        <v>-85000</v>
      </c>
      <c r="D30" s="46">
        <f t="shared" ref="D30:H38" si="3">+D10*$D$24</f>
        <v>0</v>
      </c>
      <c r="E30" s="46">
        <f t="shared" si="3"/>
        <v>0</v>
      </c>
      <c r="F30" s="46">
        <f t="shared" si="3"/>
        <v>0</v>
      </c>
      <c r="G30" s="46">
        <f t="shared" si="3"/>
        <v>0</v>
      </c>
      <c r="H30" s="46">
        <f t="shared" si="3"/>
        <v>0</v>
      </c>
      <c r="I30" s="47">
        <f t="shared" ref="I30:I38" si="4">+SUM(D30:H30)+C30</f>
        <v>-85000</v>
      </c>
      <c r="J30" s="48" t="s">
        <v>96</v>
      </c>
      <c r="L30" s="62"/>
    </row>
    <row r="31" spans="1:15" s="17" customFormat="1" ht="17.25" thickBot="1" x14ac:dyDescent="0.35">
      <c r="B31" s="44" t="str">
        <f t="shared" si="2"/>
        <v>Projeto ZAPY's</v>
      </c>
      <c r="C31" s="45">
        <f t="shared" si="2"/>
        <v>-50000</v>
      </c>
      <c r="D31" s="46">
        <f t="shared" si="3"/>
        <v>4287.12455717383</v>
      </c>
      <c r="E31" s="46">
        <f t="shared" si="3"/>
        <v>4287.12455717383</v>
      </c>
      <c r="F31" s="46">
        <f t="shared" si="3"/>
        <v>4287.12455717383</v>
      </c>
      <c r="G31" s="46">
        <f t="shared" si="3"/>
        <v>4287.12455717383</v>
      </c>
      <c r="H31" s="46">
        <f t="shared" si="3"/>
        <v>0</v>
      </c>
      <c r="I31" s="47">
        <f t="shared" si="4"/>
        <v>-32851.501771304684</v>
      </c>
      <c r="J31" s="49" t="s">
        <v>97</v>
      </c>
      <c r="L31" s="62"/>
    </row>
    <row r="32" spans="1:15" s="17" customFormat="1" ht="17.25" thickBot="1" x14ac:dyDescent="0.35">
      <c r="B32" s="44" t="str">
        <f t="shared" si="2"/>
        <v>Projeto ZANA's</v>
      </c>
      <c r="C32" s="45">
        <f t="shared" si="2"/>
        <v>-45000</v>
      </c>
      <c r="D32" s="46">
        <f t="shared" si="3"/>
        <v>8574.24911434766</v>
      </c>
      <c r="E32" s="46">
        <f t="shared" si="3"/>
        <v>8574.24911434766</v>
      </c>
      <c r="F32" s="46">
        <f t="shared" si="3"/>
        <v>8574.24911434766</v>
      </c>
      <c r="G32" s="46">
        <f t="shared" si="3"/>
        <v>0</v>
      </c>
      <c r="H32" s="46">
        <f t="shared" si="3"/>
        <v>0</v>
      </c>
      <c r="I32" s="47">
        <f t="shared" si="4"/>
        <v>-19277.252656957018</v>
      </c>
      <c r="J32" s="48" t="s">
        <v>98</v>
      </c>
      <c r="L32" s="62"/>
    </row>
    <row r="33" spans="2:12" s="17" customFormat="1" ht="17.25" thickBot="1" x14ac:dyDescent="0.35">
      <c r="B33" s="44" t="str">
        <f t="shared" si="2"/>
        <v>Projeto MAYO</v>
      </c>
      <c r="C33" s="45">
        <f t="shared" si="2"/>
        <v>-65000</v>
      </c>
      <c r="D33" s="46">
        <f t="shared" si="3"/>
        <v>0</v>
      </c>
      <c r="E33" s="46">
        <f t="shared" si="3"/>
        <v>0</v>
      </c>
      <c r="F33" s="46">
        <f t="shared" si="3"/>
        <v>0</v>
      </c>
      <c r="G33" s="46">
        <f t="shared" si="3"/>
        <v>0</v>
      </c>
      <c r="H33" s="46">
        <f t="shared" si="3"/>
        <v>0</v>
      </c>
      <c r="I33" s="47">
        <f t="shared" si="4"/>
        <v>-65000</v>
      </c>
      <c r="J33" s="48" t="s">
        <v>99</v>
      </c>
      <c r="L33" s="62"/>
    </row>
    <row r="34" spans="2:12" s="17" customFormat="1" ht="17.25" thickBot="1" x14ac:dyDescent="0.35">
      <c r="B34" s="44" t="str">
        <f t="shared" si="2"/>
        <v>Projeto BVIST</v>
      </c>
      <c r="C34" s="45">
        <f t="shared" si="2"/>
        <v>-68000</v>
      </c>
      <c r="D34" s="46">
        <f t="shared" si="3"/>
        <v>0</v>
      </c>
      <c r="E34" s="46">
        <f t="shared" si="3"/>
        <v>0</v>
      </c>
      <c r="F34" s="46">
        <f t="shared" si="3"/>
        <v>0</v>
      </c>
      <c r="G34" s="46">
        <f t="shared" si="3"/>
        <v>0</v>
      </c>
      <c r="H34" s="46">
        <f t="shared" si="3"/>
        <v>0</v>
      </c>
      <c r="I34" s="47">
        <f t="shared" si="4"/>
        <v>-68000</v>
      </c>
      <c r="J34" s="49" t="s">
        <v>100</v>
      </c>
      <c r="L34" s="62"/>
    </row>
    <row r="35" spans="2:12" s="17" customFormat="1" ht="17.25" thickBot="1" x14ac:dyDescent="0.35">
      <c r="B35" s="44" t="str">
        <f t="shared" si="2"/>
        <v>Projeto SAL</v>
      </c>
      <c r="C35" s="45">
        <f t="shared" si="2"/>
        <v>-25000</v>
      </c>
      <c r="D35" s="46">
        <f t="shared" si="3"/>
        <v>0</v>
      </c>
      <c r="E35" s="46">
        <f t="shared" si="3"/>
        <v>21435.622785869153</v>
      </c>
      <c r="F35" s="46">
        <f t="shared" si="3"/>
        <v>0</v>
      </c>
      <c r="G35" s="46">
        <f t="shared" si="3"/>
        <v>12861.373671521491</v>
      </c>
      <c r="H35" s="46">
        <f t="shared" si="3"/>
        <v>0</v>
      </c>
      <c r="I35" s="47">
        <f t="shared" si="4"/>
        <v>9296.9964573906473</v>
      </c>
      <c r="J35" s="48" t="s">
        <v>101</v>
      </c>
      <c r="L35" s="62"/>
    </row>
    <row r="36" spans="2:12" s="17" customFormat="1" ht="17.25" thickBot="1" x14ac:dyDescent="0.35">
      <c r="B36" s="44" t="str">
        <f t="shared" si="2"/>
        <v>Projeto PRAIA</v>
      </c>
      <c r="C36" s="45">
        <f t="shared" si="2"/>
        <v>-20000</v>
      </c>
      <c r="D36" s="46">
        <f t="shared" si="3"/>
        <v>17148.49822869532</v>
      </c>
      <c r="E36" s="46">
        <f t="shared" si="3"/>
        <v>12861.373671521491</v>
      </c>
      <c r="F36" s="46">
        <f t="shared" si="3"/>
        <v>12861.373671521491</v>
      </c>
      <c r="G36" s="46">
        <f t="shared" si="3"/>
        <v>0</v>
      </c>
      <c r="H36" s="46">
        <f t="shared" si="3"/>
        <v>0</v>
      </c>
      <c r="I36" s="47">
        <f t="shared" si="4"/>
        <v>22871.245571738298</v>
      </c>
      <c r="J36" s="49" t="s">
        <v>102</v>
      </c>
      <c r="L36" s="62"/>
    </row>
    <row r="37" spans="2:12" s="17" customFormat="1" ht="17.25" thickBot="1" x14ac:dyDescent="0.35">
      <c r="B37" s="44" t="str">
        <f t="shared" si="2"/>
        <v>Projeto DANA</v>
      </c>
      <c r="C37" s="45">
        <f t="shared" si="2"/>
        <v>-75000</v>
      </c>
      <c r="D37" s="46">
        <f t="shared" si="3"/>
        <v>0</v>
      </c>
      <c r="E37" s="46">
        <f t="shared" si="3"/>
        <v>0</v>
      </c>
      <c r="F37" s="46">
        <f t="shared" si="3"/>
        <v>0</v>
      </c>
      <c r="G37" s="46">
        <f t="shared" si="3"/>
        <v>0</v>
      </c>
      <c r="H37" s="46">
        <f t="shared" si="3"/>
        <v>0</v>
      </c>
      <c r="I37" s="47">
        <f t="shared" si="4"/>
        <v>-75000</v>
      </c>
      <c r="J37" s="49"/>
      <c r="L37" s="62"/>
    </row>
    <row r="38" spans="2:12" s="17" customFormat="1" ht="17.25" thickBot="1" x14ac:dyDescent="0.35">
      <c r="B38" s="15" t="str">
        <f t="shared" si="2"/>
        <v>Projeto DAMA</v>
      </c>
      <c r="C38" s="45">
        <f t="shared" si="2"/>
        <v>-12500</v>
      </c>
      <c r="D38" s="54">
        <f t="shared" si="3"/>
        <v>10717.811392934576</v>
      </c>
      <c r="E38" s="54">
        <f t="shared" si="3"/>
        <v>10717.811392934576</v>
      </c>
      <c r="F38" s="54">
        <f t="shared" si="3"/>
        <v>10717.811392934576</v>
      </c>
      <c r="G38" s="54">
        <f t="shared" si="3"/>
        <v>10717.811392934576</v>
      </c>
      <c r="H38" s="54">
        <f t="shared" si="3"/>
        <v>10717.811392934576</v>
      </c>
      <c r="I38" s="47">
        <f t="shared" si="4"/>
        <v>41089.056964672884</v>
      </c>
      <c r="J38" s="50" t="s">
        <v>103</v>
      </c>
      <c r="L38" s="62"/>
    </row>
    <row r="39" spans="2:12" s="17" customFormat="1" ht="16.5" x14ac:dyDescent="0.3">
      <c r="B39" s="9"/>
      <c r="C39" s="2"/>
      <c r="D39" s="2"/>
      <c r="E39" s="2"/>
      <c r="F39" s="2"/>
      <c r="G39" s="2"/>
      <c r="H39" s="2"/>
    </row>
    <row r="40" spans="2:12" s="17" customFormat="1" ht="16.5" x14ac:dyDescent="0.3">
      <c r="B40" s="2"/>
      <c r="C40" s="2"/>
      <c r="D40" s="2"/>
      <c r="E40" s="2"/>
      <c r="F40" s="2"/>
      <c r="G40" s="2"/>
      <c r="H40" s="2"/>
    </row>
    <row r="41" spans="2:12" s="17" customFormat="1" ht="16.5" x14ac:dyDescent="0.3">
      <c r="B41" s="2"/>
      <c r="C41" s="2"/>
      <c r="D41" s="2"/>
      <c r="E41" s="2"/>
      <c r="F41" s="2"/>
      <c r="G41" s="2"/>
      <c r="H41" s="2"/>
    </row>
    <row r="42" spans="2:12" s="17" customFormat="1" x14ac:dyDescent="0.25"/>
    <row r="43" spans="2:12" s="17" customFormat="1" x14ac:dyDescent="0.25"/>
    <row r="44" spans="2:12" s="17" customFormat="1" x14ac:dyDescent="0.25"/>
    <row r="45" spans="2:12" s="17" customFormat="1" x14ac:dyDescent="0.25"/>
    <row r="46" spans="2:12" s="17" customFormat="1" x14ac:dyDescent="0.25"/>
    <row r="47" spans="2:12" s="17" customFormat="1" x14ac:dyDescent="0.25"/>
    <row r="48" spans="2:12" s="17" customFormat="1" x14ac:dyDescent="0.25"/>
    <row r="49" s="17" customFormat="1" x14ac:dyDescent="0.25"/>
    <row r="50" s="17" customFormat="1" x14ac:dyDescent="0.25"/>
    <row r="51" s="17" customFormat="1" x14ac:dyDescent="0.25"/>
    <row r="52" s="17" customFormat="1" x14ac:dyDescent="0.25"/>
    <row r="53" s="17" customFormat="1" x14ac:dyDescent="0.25"/>
    <row r="54" s="17" customFormat="1" x14ac:dyDescent="0.25"/>
    <row r="55" s="17" customFormat="1" x14ac:dyDescent="0.25"/>
    <row r="56" s="17" customFormat="1" x14ac:dyDescent="0.25"/>
    <row r="57" s="17" customFormat="1" x14ac:dyDescent="0.25"/>
  </sheetData>
  <sortState ref="L29:L38">
    <sortCondition descending="1" ref="L29"/>
  </sortState>
  <mergeCells count="3">
    <mergeCell ref="C2:J2"/>
    <mergeCell ref="B27:I27"/>
    <mergeCell ref="K20:N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P41"/>
  <sheetViews>
    <sheetView view="pageBreakPreview" topLeftCell="A4" zoomScale="60" zoomScaleNormal="100" workbookViewId="0">
      <pane xSplit="1" topLeftCell="B1" activePane="topRight" state="frozen"/>
      <selection pane="topRight" activeCell="F44" sqref="F44"/>
    </sheetView>
  </sheetViews>
  <sheetFormatPr defaultRowHeight="18.75" x14ac:dyDescent="0.3"/>
  <cols>
    <col min="1" max="1" width="19.85546875" style="96" bestFit="1" customWidth="1"/>
    <col min="2" max="2" width="15.7109375" style="96" customWidth="1"/>
    <col min="3" max="3" width="15.85546875" style="96" customWidth="1"/>
    <col min="4" max="4" width="26.42578125" style="96" customWidth="1"/>
    <col min="5" max="5" width="19.85546875" style="96" bestFit="1" customWidth="1"/>
    <col min="6" max="6" width="34" style="96" customWidth="1"/>
    <col min="7" max="7" width="29" style="96" customWidth="1"/>
    <col min="8" max="8" width="17.85546875" style="96" customWidth="1"/>
    <col min="9" max="9" width="15.5703125" style="96" bestFit="1" customWidth="1"/>
    <col min="10" max="10" width="25.28515625" style="96" customWidth="1"/>
    <col min="11" max="11" width="15.140625" style="96" customWidth="1"/>
    <col min="12" max="13" width="18.28515625" style="96" bestFit="1" customWidth="1"/>
    <col min="14" max="14" width="15.7109375" style="96" customWidth="1"/>
    <col min="15" max="15" width="15" style="96" customWidth="1"/>
    <col min="16" max="16" width="14.5703125" style="96" customWidth="1"/>
    <col min="17" max="256" width="9.140625" style="96"/>
    <col min="257" max="257" width="10.7109375" style="96" bestFit="1" customWidth="1"/>
    <col min="258" max="258" width="12.42578125" style="96" customWidth="1"/>
    <col min="259" max="259" width="11.7109375" style="96" bestFit="1" customWidth="1"/>
    <col min="260" max="260" width="12.42578125" style="96" bestFit="1" customWidth="1"/>
    <col min="261" max="261" width="17.5703125" style="96" customWidth="1"/>
    <col min="262" max="265" width="11.7109375" style="96" bestFit="1" customWidth="1"/>
    <col min="266" max="266" width="15.140625" style="96" customWidth="1"/>
    <col min="267" max="268" width="11.7109375" style="96" bestFit="1" customWidth="1"/>
    <col min="269" max="269" width="12.42578125" style="96" customWidth="1"/>
    <col min="270" max="270" width="12.42578125" style="96" bestFit="1" customWidth="1"/>
    <col min="271" max="271" width="10.85546875" style="96" bestFit="1" customWidth="1"/>
    <col min="272" max="272" width="11.7109375" style="96" bestFit="1" customWidth="1"/>
    <col min="273" max="512" width="9.140625" style="96"/>
    <col min="513" max="513" width="10.7109375" style="96" bestFit="1" customWidth="1"/>
    <col min="514" max="514" width="12.42578125" style="96" customWidth="1"/>
    <col min="515" max="515" width="11.7109375" style="96" bestFit="1" customWidth="1"/>
    <col min="516" max="516" width="12.42578125" style="96" bestFit="1" customWidth="1"/>
    <col min="517" max="517" width="17.5703125" style="96" customWidth="1"/>
    <col min="518" max="521" width="11.7109375" style="96" bestFit="1" customWidth="1"/>
    <col min="522" max="522" width="15.140625" style="96" customWidth="1"/>
    <col min="523" max="524" width="11.7109375" style="96" bestFit="1" customWidth="1"/>
    <col min="525" max="525" width="12.42578125" style="96" customWidth="1"/>
    <col min="526" max="526" width="12.42578125" style="96" bestFit="1" customWidth="1"/>
    <col min="527" max="527" width="10.85546875" style="96" bestFit="1" customWidth="1"/>
    <col min="528" max="528" width="11.7109375" style="96" bestFit="1" customWidth="1"/>
    <col min="529" max="768" width="9.140625" style="96"/>
    <col min="769" max="769" width="10.7109375" style="96" bestFit="1" customWidth="1"/>
    <col min="770" max="770" width="12.42578125" style="96" customWidth="1"/>
    <col min="771" max="771" width="11.7109375" style="96" bestFit="1" customWidth="1"/>
    <col min="772" max="772" width="12.42578125" style="96" bestFit="1" customWidth="1"/>
    <col min="773" max="773" width="17.5703125" style="96" customWidth="1"/>
    <col min="774" max="777" width="11.7109375" style="96" bestFit="1" customWidth="1"/>
    <col min="778" max="778" width="15.140625" style="96" customWidth="1"/>
    <col min="779" max="780" width="11.7109375" style="96" bestFit="1" customWidth="1"/>
    <col min="781" max="781" width="12.42578125" style="96" customWidth="1"/>
    <col min="782" max="782" width="12.42578125" style="96" bestFit="1" customWidth="1"/>
    <col min="783" max="783" width="10.85546875" style="96" bestFit="1" customWidth="1"/>
    <col min="784" max="784" width="11.7109375" style="96" bestFit="1" customWidth="1"/>
    <col min="785" max="1024" width="9.140625" style="96"/>
    <col min="1025" max="1025" width="10.7109375" style="96" bestFit="1" customWidth="1"/>
    <col min="1026" max="1026" width="12.42578125" style="96" customWidth="1"/>
    <col min="1027" max="1027" width="11.7109375" style="96" bestFit="1" customWidth="1"/>
    <col min="1028" max="1028" width="12.42578125" style="96" bestFit="1" customWidth="1"/>
    <col min="1029" max="1029" width="17.5703125" style="96" customWidth="1"/>
    <col min="1030" max="1033" width="11.7109375" style="96" bestFit="1" customWidth="1"/>
    <col min="1034" max="1034" width="15.140625" style="96" customWidth="1"/>
    <col min="1035" max="1036" width="11.7109375" style="96" bestFit="1" customWidth="1"/>
    <col min="1037" max="1037" width="12.42578125" style="96" customWidth="1"/>
    <col min="1038" max="1038" width="12.42578125" style="96" bestFit="1" customWidth="1"/>
    <col min="1039" max="1039" width="10.85546875" style="96" bestFit="1" customWidth="1"/>
    <col min="1040" max="1040" width="11.7109375" style="96" bestFit="1" customWidth="1"/>
    <col min="1041" max="1280" width="9.140625" style="96"/>
    <col min="1281" max="1281" width="10.7109375" style="96" bestFit="1" customWidth="1"/>
    <col min="1282" max="1282" width="12.42578125" style="96" customWidth="1"/>
    <col min="1283" max="1283" width="11.7109375" style="96" bestFit="1" customWidth="1"/>
    <col min="1284" max="1284" width="12.42578125" style="96" bestFit="1" customWidth="1"/>
    <col min="1285" max="1285" width="17.5703125" style="96" customWidth="1"/>
    <col min="1286" max="1289" width="11.7109375" style="96" bestFit="1" customWidth="1"/>
    <col min="1290" max="1290" width="15.140625" style="96" customWidth="1"/>
    <col min="1291" max="1292" width="11.7109375" style="96" bestFit="1" customWidth="1"/>
    <col min="1293" max="1293" width="12.42578125" style="96" customWidth="1"/>
    <col min="1294" max="1294" width="12.42578125" style="96" bestFit="1" customWidth="1"/>
    <col min="1295" max="1295" width="10.85546875" style="96" bestFit="1" customWidth="1"/>
    <col min="1296" max="1296" width="11.7109375" style="96" bestFit="1" customWidth="1"/>
    <col min="1297" max="1536" width="9.140625" style="96"/>
    <col min="1537" max="1537" width="10.7109375" style="96" bestFit="1" customWidth="1"/>
    <col min="1538" max="1538" width="12.42578125" style="96" customWidth="1"/>
    <col min="1539" max="1539" width="11.7109375" style="96" bestFit="1" customWidth="1"/>
    <col min="1540" max="1540" width="12.42578125" style="96" bestFit="1" customWidth="1"/>
    <col min="1541" max="1541" width="17.5703125" style="96" customWidth="1"/>
    <col min="1542" max="1545" width="11.7109375" style="96" bestFit="1" customWidth="1"/>
    <col min="1546" max="1546" width="15.140625" style="96" customWidth="1"/>
    <col min="1547" max="1548" width="11.7109375" style="96" bestFit="1" customWidth="1"/>
    <col min="1549" max="1549" width="12.42578125" style="96" customWidth="1"/>
    <col min="1550" max="1550" width="12.42578125" style="96" bestFit="1" customWidth="1"/>
    <col min="1551" max="1551" width="10.85546875" style="96" bestFit="1" customWidth="1"/>
    <col min="1552" max="1552" width="11.7109375" style="96" bestFit="1" customWidth="1"/>
    <col min="1553" max="1792" width="9.140625" style="96"/>
    <col min="1793" max="1793" width="10.7109375" style="96" bestFit="1" customWidth="1"/>
    <col min="1794" max="1794" width="12.42578125" style="96" customWidth="1"/>
    <col min="1795" max="1795" width="11.7109375" style="96" bestFit="1" customWidth="1"/>
    <col min="1796" max="1796" width="12.42578125" style="96" bestFit="1" customWidth="1"/>
    <col min="1797" max="1797" width="17.5703125" style="96" customWidth="1"/>
    <col min="1798" max="1801" width="11.7109375" style="96" bestFit="1" customWidth="1"/>
    <col min="1802" max="1802" width="15.140625" style="96" customWidth="1"/>
    <col min="1803" max="1804" width="11.7109375" style="96" bestFit="1" customWidth="1"/>
    <col min="1805" max="1805" width="12.42578125" style="96" customWidth="1"/>
    <col min="1806" max="1806" width="12.42578125" style="96" bestFit="1" customWidth="1"/>
    <col min="1807" max="1807" width="10.85546875" style="96" bestFit="1" customWidth="1"/>
    <col min="1808" max="1808" width="11.7109375" style="96" bestFit="1" customWidth="1"/>
    <col min="1809" max="2048" width="9.140625" style="96"/>
    <col min="2049" max="2049" width="10.7109375" style="96" bestFit="1" customWidth="1"/>
    <col min="2050" max="2050" width="12.42578125" style="96" customWidth="1"/>
    <col min="2051" max="2051" width="11.7109375" style="96" bestFit="1" customWidth="1"/>
    <col min="2052" max="2052" width="12.42578125" style="96" bestFit="1" customWidth="1"/>
    <col min="2053" max="2053" width="17.5703125" style="96" customWidth="1"/>
    <col min="2054" max="2057" width="11.7109375" style="96" bestFit="1" customWidth="1"/>
    <col min="2058" max="2058" width="15.140625" style="96" customWidth="1"/>
    <col min="2059" max="2060" width="11.7109375" style="96" bestFit="1" customWidth="1"/>
    <col min="2061" max="2061" width="12.42578125" style="96" customWidth="1"/>
    <col min="2062" max="2062" width="12.42578125" style="96" bestFit="1" customWidth="1"/>
    <col min="2063" max="2063" width="10.85546875" style="96" bestFit="1" customWidth="1"/>
    <col min="2064" max="2064" width="11.7109375" style="96" bestFit="1" customWidth="1"/>
    <col min="2065" max="2304" width="9.140625" style="96"/>
    <col min="2305" max="2305" width="10.7109375" style="96" bestFit="1" customWidth="1"/>
    <col min="2306" max="2306" width="12.42578125" style="96" customWidth="1"/>
    <col min="2307" max="2307" width="11.7109375" style="96" bestFit="1" customWidth="1"/>
    <col min="2308" max="2308" width="12.42578125" style="96" bestFit="1" customWidth="1"/>
    <col min="2309" max="2309" width="17.5703125" style="96" customWidth="1"/>
    <col min="2310" max="2313" width="11.7109375" style="96" bestFit="1" customWidth="1"/>
    <col min="2314" max="2314" width="15.140625" style="96" customWidth="1"/>
    <col min="2315" max="2316" width="11.7109375" style="96" bestFit="1" customWidth="1"/>
    <col min="2317" max="2317" width="12.42578125" style="96" customWidth="1"/>
    <col min="2318" max="2318" width="12.42578125" style="96" bestFit="1" customWidth="1"/>
    <col min="2319" max="2319" width="10.85546875" style="96" bestFit="1" customWidth="1"/>
    <col min="2320" max="2320" width="11.7109375" style="96" bestFit="1" customWidth="1"/>
    <col min="2321" max="2560" width="9.140625" style="96"/>
    <col min="2561" max="2561" width="10.7109375" style="96" bestFit="1" customWidth="1"/>
    <col min="2562" max="2562" width="12.42578125" style="96" customWidth="1"/>
    <col min="2563" max="2563" width="11.7109375" style="96" bestFit="1" customWidth="1"/>
    <col min="2564" max="2564" width="12.42578125" style="96" bestFit="1" customWidth="1"/>
    <col min="2565" max="2565" width="17.5703125" style="96" customWidth="1"/>
    <col min="2566" max="2569" width="11.7109375" style="96" bestFit="1" customWidth="1"/>
    <col min="2570" max="2570" width="15.140625" style="96" customWidth="1"/>
    <col min="2571" max="2572" width="11.7109375" style="96" bestFit="1" customWidth="1"/>
    <col min="2573" max="2573" width="12.42578125" style="96" customWidth="1"/>
    <col min="2574" max="2574" width="12.42578125" style="96" bestFit="1" customWidth="1"/>
    <col min="2575" max="2575" width="10.85546875" style="96" bestFit="1" customWidth="1"/>
    <col min="2576" max="2576" width="11.7109375" style="96" bestFit="1" customWidth="1"/>
    <col min="2577" max="2816" width="9.140625" style="96"/>
    <col min="2817" max="2817" width="10.7109375" style="96" bestFit="1" customWidth="1"/>
    <col min="2818" max="2818" width="12.42578125" style="96" customWidth="1"/>
    <col min="2819" max="2819" width="11.7109375" style="96" bestFit="1" customWidth="1"/>
    <col min="2820" max="2820" width="12.42578125" style="96" bestFit="1" customWidth="1"/>
    <col min="2821" max="2821" width="17.5703125" style="96" customWidth="1"/>
    <col min="2822" max="2825" width="11.7109375" style="96" bestFit="1" customWidth="1"/>
    <col min="2826" max="2826" width="15.140625" style="96" customWidth="1"/>
    <col min="2827" max="2828" width="11.7109375" style="96" bestFit="1" customWidth="1"/>
    <col min="2829" max="2829" width="12.42578125" style="96" customWidth="1"/>
    <col min="2830" max="2830" width="12.42578125" style="96" bestFit="1" customWidth="1"/>
    <col min="2831" max="2831" width="10.85546875" style="96" bestFit="1" customWidth="1"/>
    <col min="2832" max="2832" width="11.7109375" style="96" bestFit="1" customWidth="1"/>
    <col min="2833" max="3072" width="9.140625" style="96"/>
    <col min="3073" max="3073" width="10.7109375" style="96" bestFit="1" customWidth="1"/>
    <col min="3074" max="3074" width="12.42578125" style="96" customWidth="1"/>
    <col min="3075" max="3075" width="11.7109375" style="96" bestFit="1" customWidth="1"/>
    <col min="3076" max="3076" width="12.42578125" style="96" bestFit="1" customWidth="1"/>
    <col min="3077" max="3077" width="17.5703125" style="96" customWidth="1"/>
    <col min="3078" max="3081" width="11.7109375" style="96" bestFit="1" customWidth="1"/>
    <col min="3082" max="3082" width="15.140625" style="96" customWidth="1"/>
    <col min="3083" max="3084" width="11.7109375" style="96" bestFit="1" customWidth="1"/>
    <col min="3085" max="3085" width="12.42578125" style="96" customWidth="1"/>
    <col min="3086" max="3086" width="12.42578125" style="96" bestFit="1" customWidth="1"/>
    <col min="3087" max="3087" width="10.85546875" style="96" bestFit="1" customWidth="1"/>
    <col min="3088" max="3088" width="11.7109375" style="96" bestFit="1" customWidth="1"/>
    <col min="3089" max="3328" width="9.140625" style="96"/>
    <col min="3329" max="3329" width="10.7109375" style="96" bestFit="1" customWidth="1"/>
    <col min="3330" max="3330" width="12.42578125" style="96" customWidth="1"/>
    <col min="3331" max="3331" width="11.7109375" style="96" bestFit="1" customWidth="1"/>
    <col min="3332" max="3332" width="12.42578125" style="96" bestFit="1" customWidth="1"/>
    <col min="3333" max="3333" width="17.5703125" style="96" customWidth="1"/>
    <col min="3334" max="3337" width="11.7109375" style="96" bestFit="1" customWidth="1"/>
    <col min="3338" max="3338" width="15.140625" style="96" customWidth="1"/>
    <col min="3339" max="3340" width="11.7109375" style="96" bestFit="1" customWidth="1"/>
    <col min="3341" max="3341" width="12.42578125" style="96" customWidth="1"/>
    <col min="3342" max="3342" width="12.42578125" style="96" bestFit="1" customWidth="1"/>
    <col min="3343" max="3343" width="10.85546875" style="96" bestFit="1" customWidth="1"/>
    <col min="3344" max="3344" width="11.7109375" style="96" bestFit="1" customWidth="1"/>
    <col min="3345" max="3584" width="9.140625" style="96"/>
    <col min="3585" max="3585" width="10.7109375" style="96" bestFit="1" customWidth="1"/>
    <col min="3586" max="3586" width="12.42578125" style="96" customWidth="1"/>
    <col min="3587" max="3587" width="11.7109375" style="96" bestFit="1" customWidth="1"/>
    <col min="3588" max="3588" width="12.42578125" style="96" bestFit="1" customWidth="1"/>
    <col min="3589" max="3589" width="17.5703125" style="96" customWidth="1"/>
    <col min="3590" max="3593" width="11.7109375" style="96" bestFit="1" customWidth="1"/>
    <col min="3594" max="3594" width="15.140625" style="96" customWidth="1"/>
    <col min="3595" max="3596" width="11.7109375" style="96" bestFit="1" customWidth="1"/>
    <col min="3597" max="3597" width="12.42578125" style="96" customWidth="1"/>
    <col min="3598" max="3598" width="12.42578125" style="96" bestFit="1" customWidth="1"/>
    <col min="3599" max="3599" width="10.85546875" style="96" bestFit="1" customWidth="1"/>
    <col min="3600" max="3600" width="11.7109375" style="96" bestFit="1" customWidth="1"/>
    <col min="3601" max="3840" width="9.140625" style="96"/>
    <col min="3841" max="3841" width="10.7109375" style="96" bestFit="1" customWidth="1"/>
    <col min="3842" max="3842" width="12.42578125" style="96" customWidth="1"/>
    <col min="3843" max="3843" width="11.7109375" style="96" bestFit="1" customWidth="1"/>
    <col min="3844" max="3844" width="12.42578125" style="96" bestFit="1" customWidth="1"/>
    <col min="3845" max="3845" width="17.5703125" style="96" customWidth="1"/>
    <col min="3846" max="3849" width="11.7109375" style="96" bestFit="1" customWidth="1"/>
    <col min="3850" max="3850" width="15.140625" style="96" customWidth="1"/>
    <col min="3851" max="3852" width="11.7109375" style="96" bestFit="1" customWidth="1"/>
    <col min="3853" max="3853" width="12.42578125" style="96" customWidth="1"/>
    <col min="3854" max="3854" width="12.42578125" style="96" bestFit="1" customWidth="1"/>
    <col min="3855" max="3855" width="10.85546875" style="96" bestFit="1" customWidth="1"/>
    <col min="3856" max="3856" width="11.7109375" style="96" bestFit="1" customWidth="1"/>
    <col min="3857" max="4096" width="9.140625" style="96"/>
    <col min="4097" max="4097" width="10.7109375" style="96" bestFit="1" customWidth="1"/>
    <col min="4098" max="4098" width="12.42578125" style="96" customWidth="1"/>
    <col min="4099" max="4099" width="11.7109375" style="96" bestFit="1" customWidth="1"/>
    <col min="4100" max="4100" width="12.42578125" style="96" bestFit="1" customWidth="1"/>
    <col min="4101" max="4101" width="17.5703125" style="96" customWidth="1"/>
    <col min="4102" max="4105" width="11.7109375" style="96" bestFit="1" customWidth="1"/>
    <col min="4106" max="4106" width="15.140625" style="96" customWidth="1"/>
    <col min="4107" max="4108" width="11.7109375" style="96" bestFit="1" customWidth="1"/>
    <col min="4109" max="4109" width="12.42578125" style="96" customWidth="1"/>
    <col min="4110" max="4110" width="12.42578125" style="96" bestFit="1" customWidth="1"/>
    <col min="4111" max="4111" width="10.85546875" style="96" bestFit="1" customWidth="1"/>
    <col min="4112" max="4112" width="11.7109375" style="96" bestFit="1" customWidth="1"/>
    <col min="4113" max="4352" width="9.140625" style="96"/>
    <col min="4353" max="4353" width="10.7109375" style="96" bestFit="1" customWidth="1"/>
    <col min="4354" max="4354" width="12.42578125" style="96" customWidth="1"/>
    <col min="4355" max="4355" width="11.7109375" style="96" bestFit="1" customWidth="1"/>
    <col min="4356" max="4356" width="12.42578125" style="96" bestFit="1" customWidth="1"/>
    <col min="4357" max="4357" width="17.5703125" style="96" customWidth="1"/>
    <col min="4358" max="4361" width="11.7109375" style="96" bestFit="1" customWidth="1"/>
    <col min="4362" max="4362" width="15.140625" style="96" customWidth="1"/>
    <col min="4363" max="4364" width="11.7109375" style="96" bestFit="1" customWidth="1"/>
    <col min="4365" max="4365" width="12.42578125" style="96" customWidth="1"/>
    <col min="4366" max="4366" width="12.42578125" style="96" bestFit="1" customWidth="1"/>
    <col min="4367" max="4367" width="10.85546875" style="96" bestFit="1" customWidth="1"/>
    <col min="4368" max="4368" width="11.7109375" style="96" bestFit="1" customWidth="1"/>
    <col min="4369" max="4608" width="9.140625" style="96"/>
    <col min="4609" max="4609" width="10.7109375" style="96" bestFit="1" customWidth="1"/>
    <col min="4610" max="4610" width="12.42578125" style="96" customWidth="1"/>
    <col min="4611" max="4611" width="11.7109375" style="96" bestFit="1" customWidth="1"/>
    <col min="4612" max="4612" width="12.42578125" style="96" bestFit="1" customWidth="1"/>
    <col min="4613" max="4613" width="17.5703125" style="96" customWidth="1"/>
    <col min="4614" max="4617" width="11.7109375" style="96" bestFit="1" customWidth="1"/>
    <col min="4618" max="4618" width="15.140625" style="96" customWidth="1"/>
    <col min="4619" max="4620" width="11.7109375" style="96" bestFit="1" customWidth="1"/>
    <col min="4621" max="4621" width="12.42578125" style="96" customWidth="1"/>
    <col min="4622" max="4622" width="12.42578125" style="96" bestFit="1" customWidth="1"/>
    <col min="4623" max="4623" width="10.85546875" style="96" bestFit="1" customWidth="1"/>
    <col min="4624" max="4624" width="11.7109375" style="96" bestFit="1" customWidth="1"/>
    <col min="4625" max="4864" width="9.140625" style="96"/>
    <col min="4865" max="4865" width="10.7109375" style="96" bestFit="1" customWidth="1"/>
    <col min="4866" max="4866" width="12.42578125" style="96" customWidth="1"/>
    <col min="4867" max="4867" width="11.7109375" style="96" bestFit="1" customWidth="1"/>
    <col min="4868" max="4868" width="12.42578125" style="96" bestFit="1" customWidth="1"/>
    <col min="4869" max="4869" width="17.5703125" style="96" customWidth="1"/>
    <col min="4870" max="4873" width="11.7109375" style="96" bestFit="1" customWidth="1"/>
    <col min="4874" max="4874" width="15.140625" style="96" customWidth="1"/>
    <col min="4875" max="4876" width="11.7109375" style="96" bestFit="1" customWidth="1"/>
    <col min="4877" max="4877" width="12.42578125" style="96" customWidth="1"/>
    <col min="4878" max="4878" width="12.42578125" style="96" bestFit="1" customWidth="1"/>
    <col min="4879" max="4879" width="10.85546875" style="96" bestFit="1" customWidth="1"/>
    <col min="4880" max="4880" width="11.7109375" style="96" bestFit="1" customWidth="1"/>
    <col min="4881" max="5120" width="9.140625" style="96"/>
    <col min="5121" max="5121" width="10.7109375" style="96" bestFit="1" customWidth="1"/>
    <col min="5122" max="5122" width="12.42578125" style="96" customWidth="1"/>
    <col min="5123" max="5123" width="11.7109375" style="96" bestFit="1" customWidth="1"/>
    <col min="5124" max="5124" width="12.42578125" style="96" bestFit="1" customWidth="1"/>
    <col min="5125" max="5125" width="17.5703125" style="96" customWidth="1"/>
    <col min="5126" max="5129" width="11.7109375" style="96" bestFit="1" customWidth="1"/>
    <col min="5130" max="5130" width="15.140625" style="96" customWidth="1"/>
    <col min="5131" max="5132" width="11.7109375" style="96" bestFit="1" customWidth="1"/>
    <col min="5133" max="5133" width="12.42578125" style="96" customWidth="1"/>
    <col min="5134" max="5134" width="12.42578125" style="96" bestFit="1" customWidth="1"/>
    <col min="5135" max="5135" width="10.85546875" style="96" bestFit="1" customWidth="1"/>
    <col min="5136" max="5136" width="11.7109375" style="96" bestFit="1" customWidth="1"/>
    <col min="5137" max="5376" width="9.140625" style="96"/>
    <col min="5377" max="5377" width="10.7109375" style="96" bestFit="1" customWidth="1"/>
    <col min="5378" max="5378" width="12.42578125" style="96" customWidth="1"/>
    <col min="5379" max="5379" width="11.7109375" style="96" bestFit="1" customWidth="1"/>
    <col min="5380" max="5380" width="12.42578125" style="96" bestFit="1" customWidth="1"/>
    <col min="5381" max="5381" width="17.5703125" style="96" customWidth="1"/>
    <col min="5382" max="5385" width="11.7109375" style="96" bestFit="1" customWidth="1"/>
    <col min="5386" max="5386" width="15.140625" style="96" customWidth="1"/>
    <col min="5387" max="5388" width="11.7109375" style="96" bestFit="1" customWidth="1"/>
    <col min="5389" max="5389" width="12.42578125" style="96" customWidth="1"/>
    <col min="5390" max="5390" width="12.42578125" style="96" bestFit="1" customWidth="1"/>
    <col min="5391" max="5391" width="10.85546875" style="96" bestFit="1" customWidth="1"/>
    <col min="5392" max="5392" width="11.7109375" style="96" bestFit="1" customWidth="1"/>
    <col min="5393" max="5632" width="9.140625" style="96"/>
    <col min="5633" max="5633" width="10.7109375" style="96" bestFit="1" customWidth="1"/>
    <col min="5634" max="5634" width="12.42578125" style="96" customWidth="1"/>
    <col min="5635" max="5635" width="11.7109375" style="96" bestFit="1" customWidth="1"/>
    <col min="5636" max="5636" width="12.42578125" style="96" bestFit="1" customWidth="1"/>
    <col min="5637" max="5637" width="17.5703125" style="96" customWidth="1"/>
    <col min="5638" max="5641" width="11.7109375" style="96" bestFit="1" customWidth="1"/>
    <col min="5642" max="5642" width="15.140625" style="96" customWidth="1"/>
    <col min="5643" max="5644" width="11.7109375" style="96" bestFit="1" customWidth="1"/>
    <col min="5645" max="5645" width="12.42578125" style="96" customWidth="1"/>
    <col min="5646" max="5646" width="12.42578125" style="96" bestFit="1" customWidth="1"/>
    <col min="5647" max="5647" width="10.85546875" style="96" bestFit="1" customWidth="1"/>
    <col min="5648" max="5648" width="11.7109375" style="96" bestFit="1" customWidth="1"/>
    <col min="5649" max="5888" width="9.140625" style="96"/>
    <col min="5889" max="5889" width="10.7109375" style="96" bestFit="1" customWidth="1"/>
    <col min="5890" max="5890" width="12.42578125" style="96" customWidth="1"/>
    <col min="5891" max="5891" width="11.7109375" style="96" bestFit="1" customWidth="1"/>
    <col min="5892" max="5892" width="12.42578125" style="96" bestFit="1" customWidth="1"/>
    <col min="5893" max="5893" width="17.5703125" style="96" customWidth="1"/>
    <col min="5894" max="5897" width="11.7109375" style="96" bestFit="1" customWidth="1"/>
    <col min="5898" max="5898" width="15.140625" style="96" customWidth="1"/>
    <col min="5899" max="5900" width="11.7109375" style="96" bestFit="1" customWidth="1"/>
    <col min="5901" max="5901" width="12.42578125" style="96" customWidth="1"/>
    <col min="5902" max="5902" width="12.42578125" style="96" bestFit="1" customWidth="1"/>
    <col min="5903" max="5903" width="10.85546875" style="96" bestFit="1" customWidth="1"/>
    <col min="5904" max="5904" width="11.7109375" style="96" bestFit="1" customWidth="1"/>
    <col min="5905" max="6144" width="9.140625" style="96"/>
    <col min="6145" max="6145" width="10.7109375" style="96" bestFit="1" customWidth="1"/>
    <col min="6146" max="6146" width="12.42578125" style="96" customWidth="1"/>
    <col min="6147" max="6147" width="11.7109375" style="96" bestFit="1" customWidth="1"/>
    <col min="6148" max="6148" width="12.42578125" style="96" bestFit="1" customWidth="1"/>
    <col min="6149" max="6149" width="17.5703125" style="96" customWidth="1"/>
    <col min="6150" max="6153" width="11.7109375" style="96" bestFit="1" customWidth="1"/>
    <col min="6154" max="6154" width="15.140625" style="96" customWidth="1"/>
    <col min="6155" max="6156" width="11.7109375" style="96" bestFit="1" customWidth="1"/>
    <col min="6157" max="6157" width="12.42578125" style="96" customWidth="1"/>
    <col min="6158" max="6158" width="12.42578125" style="96" bestFit="1" customWidth="1"/>
    <col min="6159" max="6159" width="10.85546875" style="96" bestFit="1" customWidth="1"/>
    <col min="6160" max="6160" width="11.7109375" style="96" bestFit="1" customWidth="1"/>
    <col min="6161" max="6400" width="9.140625" style="96"/>
    <col min="6401" max="6401" width="10.7109375" style="96" bestFit="1" customWidth="1"/>
    <col min="6402" max="6402" width="12.42578125" style="96" customWidth="1"/>
    <col min="6403" max="6403" width="11.7109375" style="96" bestFit="1" customWidth="1"/>
    <col min="6404" max="6404" width="12.42578125" style="96" bestFit="1" customWidth="1"/>
    <col min="6405" max="6405" width="17.5703125" style="96" customWidth="1"/>
    <col min="6406" max="6409" width="11.7109375" style="96" bestFit="1" customWidth="1"/>
    <col min="6410" max="6410" width="15.140625" style="96" customWidth="1"/>
    <col min="6411" max="6412" width="11.7109375" style="96" bestFit="1" customWidth="1"/>
    <col min="6413" max="6413" width="12.42578125" style="96" customWidth="1"/>
    <col min="6414" max="6414" width="12.42578125" style="96" bestFit="1" customWidth="1"/>
    <col min="6415" max="6415" width="10.85546875" style="96" bestFit="1" customWidth="1"/>
    <col min="6416" max="6416" width="11.7109375" style="96" bestFit="1" customWidth="1"/>
    <col min="6417" max="6656" width="9.140625" style="96"/>
    <col min="6657" max="6657" width="10.7109375" style="96" bestFit="1" customWidth="1"/>
    <col min="6658" max="6658" width="12.42578125" style="96" customWidth="1"/>
    <col min="6659" max="6659" width="11.7109375" style="96" bestFit="1" customWidth="1"/>
    <col min="6660" max="6660" width="12.42578125" style="96" bestFit="1" customWidth="1"/>
    <col min="6661" max="6661" width="17.5703125" style="96" customWidth="1"/>
    <col min="6662" max="6665" width="11.7109375" style="96" bestFit="1" customWidth="1"/>
    <col min="6666" max="6666" width="15.140625" style="96" customWidth="1"/>
    <col min="6667" max="6668" width="11.7109375" style="96" bestFit="1" customWidth="1"/>
    <col min="6669" max="6669" width="12.42578125" style="96" customWidth="1"/>
    <col min="6670" max="6670" width="12.42578125" style="96" bestFit="1" customWidth="1"/>
    <col min="6671" max="6671" width="10.85546875" style="96" bestFit="1" customWidth="1"/>
    <col min="6672" max="6672" width="11.7109375" style="96" bestFit="1" customWidth="1"/>
    <col min="6673" max="6912" width="9.140625" style="96"/>
    <col min="6913" max="6913" width="10.7109375" style="96" bestFit="1" customWidth="1"/>
    <col min="6914" max="6914" width="12.42578125" style="96" customWidth="1"/>
    <col min="6915" max="6915" width="11.7109375" style="96" bestFit="1" customWidth="1"/>
    <col min="6916" max="6916" width="12.42578125" style="96" bestFit="1" customWidth="1"/>
    <col min="6917" max="6917" width="17.5703125" style="96" customWidth="1"/>
    <col min="6918" max="6921" width="11.7109375" style="96" bestFit="1" customWidth="1"/>
    <col min="6922" max="6922" width="15.140625" style="96" customWidth="1"/>
    <col min="6923" max="6924" width="11.7109375" style="96" bestFit="1" customWidth="1"/>
    <col min="6925" max="6925" width="12.42578125" style="96" customWidth="1"/>
    <col min="6926" max="6926" width="12.42578125" style="96" bestFit="1" customWidth="1"/>
    <col min="6927" max="6927" width="10.85546875" style="96" bestFit="1" customWidth="1"/>
    <col min="6928" max="6928" width="11.7109375" style="96" bestFit="1" customWidth="1"/>
    <col min="6929" max="7168" width="9.140625" style="96"/>
    <col min="7169" max="7169" width="10.7109375" style="96" bestFit="1" customWidth="1"/>
    <col min="7170" max="7170" width="12.42578125" style="96" customWidth="1"/>
    <col min="7171" max="7171" width="11.7109375" style="96" bestFit="1" customWidth="1"/>
    <col min="7172" max="7172" width="12.42578125" style="96" bestFit="1" customWidth="1"/>
    <col min="7173" max="7173" width="17.5703125" style="96" customWidth="1"/>
    <col min="7174" max="7177" width="11.7109375" style="96" bestFit="1" customWidth="1"/>
    <col min="7178" max="7178" width="15.140625" style="96" customWidth="1"/>
    <col min="7179" max="7180" width="11.7109375" style="96" bestFit="1" customWidth="1"/>
    <col min="7181" max="7181" width="12.42578125" style="96" customWidth="1"/>
    <col min="7182" max="7182" width="12.42578125" style="96" bestFit="1" customWidth="1"/>
    <col min="7183" max="7183" width="10.85546875" style="96" bestFit="1" customWidth="1"/>
    <col min="7184" max="7184" width="11.7109375" style="96" bestFit="1" customWidth="1"/>
    <col min="7185" max="7424" width="9.140625" style="96"/>
    <col min="7425" max="7425" width="10.7109375" style="96" bestFit="1" customWidth="1"/>
    <col min="7426" max="7426" width="12.42578125" style="96" customWidth="1"/>
    <col min="7427" max="7427" width="11.7109375" style="96" bestFit="1" customWidth="1"/>
    <col min="7428" max="7428" width="12.42578125" style="96" bestFit="1" customWidth="1"/>
    <col min="7429" max="7429" width="17.5703125" style="96" customWidth="1"/>
    <col min="7430" max="7433" width="11.7109375" style="96" bestFit="1" customWidth="1"/>
    <col min="7434" max="7434" width="15.140625" style="96" customWidth="1"/>
    <col min="7435" max="7436" width="11.7109375" style="96" bestFit="1" customWidth="1"/>
    <col min="7437" max="7437" width="12.42578125" style="96" customWidth="1"/>
    <col min="7438" max="7438" width="12.42578125" style="96" bestFit="1" customWidth="1"/>
    <col min="7439" max="7439" width="10.85546875" style="96" bestFit="1" customWidth="1"/>
    <col min="7440" max="7440" width="11.7109375" style="96" bestFit="1" customWidth="1"/>
    <col min="7441" max="7680" width="9.140625" style="96"/>
    <col min="7681" max="7681" width="10.7109375" style="96" bestFit="1" customWidth="1"/>
    <col min="7682" max="7682" width="12.42578125" style="96" customWidth="1"/>
    <col min="7683" max="7683" width="11.7109375" style="96" bestFit="1" customWidth="1"/>
    <col min="7684" max="7684" width="12.42578125" style="96" bestFit="1" customWidth="1"/>
    <col min="7685" max="7685" width="17.5703125" style="96" customWidth="1"/>
    <col min="7686" max="7689" width="11.7109375" style="96" bestFit="1" customWidth="1"/>
    <col min="7690" max="7690" width="15.140625" style="96" customWidth="1"/>
    <col min="7691" max="7692" width="11.7109375" style="96" bestFit="1" customWidth="1"/>
    <col min="7693" max="7693" width="12.42578125" style="96" customWidth="1"/>
    <col min="7694" max="7694" width="12.42578125" style="96" bestFit="1" customWidth="1"/>
    <col min="7695" max="7695" width="10.85546875" style="96" bestFit="1" customWidth="1"/>
    <col min="7696" max="7696" width="11.7109375" style="96" bestFit="1" customWidth="1"/>
    <col min="7697" max="7936" width="9.140625" style="96"/>
    <col min="7937" max="7937" width="10.7109375" style="96" bestFit="1" customWidth="1"/>
    <col min="7938" max="7938" width="12.42578125" style="96" customWidth="1"/>
    <col min="7939" max="7939" width="11.7109375" style="96" bestFit="1" customWidth="1"/>
    <col min="7940" max="7940" width="12.42578125" style="96" bestFit="1" customWidth="1"/>
    <col min="7941" max="7941" width="17.5703125" style="96" customWidth="1"/>
    <col min="7942" max="7945" width="11.7109375" style="96" bestFit="1" customWidth="1"/>
    <col min="7946" max="7946" width="15.140625" style="96" customWidth="1"/>
    <col min="7947" max="7948" width="11.7109375" style="96" bestFit="1" customWidth="1"/>
    <col min="7949" max="7949" width="12.42578125" style="96" customWidth="1"/>
    <col min="7950" max="7950" width="12.42578125" style="96" bestFit="1" customWidth="1"/>
    <col min="7951" max="7951" width="10.85546875" style="96" bestFit="1" customWidth="1"/>
    <col min="7952" max="7952" width="11.7109375" style="96" bestFit="1" customWidth="1"/>
    <col min="7953" max="8192" width="9.140625" style="96"/>
    <col min="8193" max="8193" width="10.7109375" style="96" bestFit="1" customWidth="1"/>
    <col min="8194" max="8194" width="12.42578125" style="96" customWidth="1"/>
    <col min="8195" max="8195" width="11.7109375" style="96" bestFit="1" customWidth="1"/>
    <col min="8196" max="8196" width="12.42578125" style="96" bestFit="1" customWidth="1"/>
    <col min="8197" max="8197" width="17.5703125" style="96" customWidth="1"/>
    <col min="8198" max="8201" width="11.7109375" style="96" bestFit="1" customWidth="1"/>
    <col min="8202" max="8202" width="15.140625" style="96" customWidth="1"/>
    <col min="8203" max="8204" width="11.7109375" style="96" bestFit="1" customWidth="1"/>
    <col min="8205" max="8205" width="12.42578125" style="96" customWidth="1"/>
    <col min="8206" max="8206" width="12.42578125" style="96" bestFit="1" customWidth="1"/>
    <col min="8207" max="8207" width="10.85546875" style="96" bestFit="1" customWidth="1"/>
    <col min="8208" max="8208" width="11.7109375" style="96" bestFit="1" customWidth="1"/>
    <col min="8209" max="8448" width="9.140625" style="96"/>
    <col min="8449" max="8449" width="10.7109375" style="96" bestFit="1" customWidth="1"/>
    <col min="8450" max="8450" width="12.42578125" style="96" customWidth="1"/>
    <col min="8451" max="8451" width="11.7109375" style="96" bestFit="1" customWidth="1"/>
    <col min="8452" max="8452" width="12.42578125" style="96" bestFit="1" customWidth="1"/>
    <col min="8453" max="8453" width="17.5703125" style="96" customWidth="1"/>
    <col min="8454" max="8457" width="11.7109375" style="96" bestFit="1" customWidth="1"/>
    <col min="8458" max="8458" width="15.140625" style="96" customWidth="1"/>
    <col min="8459" max="8460" width="11.7109375" style="96" bestFit="1" customWidth="1"/>
    <col min="8461" max="8461" width="12.42578125" style="96" customWidth="1"/>
    <col min="8462" max="8462" width="12.42578125" style="96" bestFit="1" customWidth="1"/>
    <col min="8463" max="8463" width="10.85546875" style="96" bestFit="1" customWidth="1"/>
    <col min="8464" max="8464" width="11.7109375" style="96" bestFit="1" customWidth="1"/>
    <col min="8465" max="8704" width="9.140625" style="96"/>
    <col min="8705" max="8705" width="10.7109375" style="96" bestFit="1" customWidth="1"/>
    <col min="8706" max="8706" width="12.42578125" style="96" customWidth="1"/>
    <col min="8707" max="8707" width="11.7109375" style="96" bestFit="1" customWidth="1"/>
    <col min="8708" max="8708" width="12.42578125" style="96" bestFit="1" customWidth="1"/>
    <col min="8709" max="8709" width="17.5703125" style="96" customWidth="1"/>
    <col min="8710" max="8713" width="11.7109375" style="96" bestFit="1" customWidth="1"/>
    <col min="8714" max="8714" width="15.140625" style="96" customWidth="1"/>
    <col min="8715" max="8716" width="11.7109375" style="96" bestFit="1" customWidth="1"/>
    <col min="8717" max="8717" width="12.42578125" style="96" customWidth="1"/>
    <col min="8718" max="8718" width="12.42578125" style="96" bestFit="1" customWidth="1"/>
    <col min="8719" max="8719" width="10.85546875" style="96" bestFit="1" customWidth="1"/>
    <col min="8720" max="8720" width="11.7109375" style="96" bestFit="1" customWidth="1"/>
    <col min="8721" max="8960" width="9.140625" style="96"/>
    <col min="8961" max="8961" width="10.7109375" style="96" bestFit="1" customWidth="1"/>
    <col min="8962" max="8962" width="12.42578125" style="96" customWidth="1"/>
    <col min="8963" max="8963" width="11.7109375" style="96" bestFit="1" customWidth="1"/>
    <col min="8964" max="8964" width="12.42578125" style="96" bestFit="1" customWidth="1"/>
    <col min="8965" max="8965" width="17.5703125" style="96" customWidth="1"/>
    <col min="8966" max="8969" width="11.7109375" style="96" bestFit="1" customWidth="1"/>
    <col min="8970" max="8970" width="15.140625" style="96" customWidth="1"/>
    <col min="8971" max="8972" width="11.7109375" style="96" bestFit="1" customWidth="1"/>
    <col min="8973" max="8973" width="12.42578125" style="96" customWidth="1"/>
    <col min="8974" max="8974" width="12.42578125" style="96" bestFit="1" customWidth="1"/>
    <col min="8975" max="8975" width="10.85546875" style="96" bestFit="1" customWidth="1"/>
    <col min="8976" max="8976" width="11.7109375" style="96" bestFit="1" customWidth="1"/>
    <col min="8977" max="9216" width="9.140625" style="96"/>
    <col min="9217" max="9217" width="10.7109375" style="96" bestFit="1" customWidth="1"/>
    <col min="9218" max="9218" width="12.42578125" style="96" customWidth="1"/>
    <col min="9219" max="9219" width="11.7109375" style="96" bestFit="1" customWidth="1"/>
    <col min="9220" max="9220" width="12.42578125" style="96" bestFit="1" customWidth="1"/>
    <col min="9221" max="9221" width="17.5703125" style="96" customWidth="1"/>
    <col min="9222" max="9225" width="11.7109375" style="96" bestFit="1" customWidth="1"/>
    <col min="9226" max="9226" width="15.140625" style="96" customWidth="1"/>
    <col min="9227" max="9228" width="11.7109375" style="96" bestFit="1" customWidth="1"/>
    <col min="9229" max="9229" width="12.42578125" style="96" customWidth="1"/>
    <col min="9230" max="9230" width="12.42578125" style="96" bestFit="1" customWidth="1"/>
    <col min="9231" max="9231" width="10.85546875" style="96" bestFit="1" customWidth="1"/>
    <col min="9232" max="9232" width="11.7109375" style="96" bestFit="1" customWidth="1"/>
    <col min="9233" max="9472" width="9.140625" style="96"/>
    <col min="9473" max="9473" width="10.7109375" style="96" bestFit="1" customWidth="1"/>
    <col min="9474" max="9474" width="12.42578125" style="96" customWidth="1"/>
    <col min="9475" max="9475" width="11.7109375" style="96" bestFit="1" customWidth="1"/>
    <col min="9476" max="9476" width="12.42578125" style="96" bestFit="1" customWidth="1"/>
    <col min="9477" max="9477" width="17.5703125" style="96" customWidth="1"/>
    <col min="9478" max="9481" width="11.7109375" style="96" bestFit="1" customWidth="1"/>
    <col min="9482" max="9482" width="15.140625" style="96" customWidth="1"/>
    <col min="9483" max="9484" width="11.7109375" style="96" bestFit="1" customWidth="1"/>
    <col min="9485" max="9485" width="12.42578125" style="96" customWidth="1"/>
    <col min="9486" max="9486" width="12.42578125" style="96" bestFit="1" customWidth="1"/>
    <col min="9487" max="9487" width="10.85546875" style="96" bestFit="1" customWidth="1"/>
    <col min="9488" max="9488" width="11.7109375" style="96" bestFit="1" customWidth="1"/>
    <col min="9489" max="9728" width="9.140625" style="96"/>
    <col min="9729" max="9729" width="10.7109375" style="96" bestFit="1" customWidth="1"/>
    <col min="9730" max="9730" width="12.42578125" style="96" customWidth="1"/>
    <col min="9731" max="9731" width="11.7109375" style="96" bestFit="1" customWidth="1"/>
    <col min="9732" max="9732" width="12.42578125" style="96" bestFit="1" customWidth="1"/>
    <col min="9733" max="9733" width="17.5703125" style="96" customWidth="1"/>
    <col min="9734" max="9737" width="11.7109375" style="96" bestFit="1" customWidth="1"/>
    <col min="9738" max="9738" width="15.140625" style="96" customWidth="1"/>
    <col min="9739" max="9740" width="11.7109375" style="96" bestFit="1" customWidth="1"/>
    <col min="9741" max="9741" width="12.42578125" style="96" customWidth="1"/>
    <col min="9742" max="9742" width="12.42578125" style="96" bestFit="1" customWidth="1"/>
    <col min="9743" max="9743" width="10.85546875" style="96" bestFit="1" customWidth="1"/>
    <col min="9744" max="9744" width="11.7109375" style="96" bestFit="1" customWidth="1"/>
    <col min="9745" max="9984" width="9.140625" style="96"/>
    <col min="9985" max="9985" width="10.7109375" style="96" bestFit="1" customWidth="1"/>
    <col min="9986" max="9986" width="12.42578125" style="96" customWidth="1"/>
    <col min="9987" max="9987" width="11.7109375" style="96" bestFit="1" customWidth="1"/>
    <col min="9988" max="9988" width="12.42578125" style="96" bestFit="1" customWidth="1"/>
    <col min="9989" max="9989" width="17.5703125" style="96" customWidth="1"/>
    <col min="9990" max="9993" width="11.7109375" style="96" bestFit="1" customWidth="1"/>
    <col min="9994" max="9994" width="15.140625" style="96" customWidth="1"/>
    <col min="9995" max="9996" width="11.7109375" style="96" bestFit="1" customWidth="1"/>
    <col min="9997" max="9997" width="12.42578125" style="96" customWidth="1"/>
    <col min="9998" max="9998" width="12.42578125" style="96" bestFit="1" customWidth="1"/>
    <col min="9999" max="9999" width="10.85546875" style="96" bestFit="1" customWidth="1"/>
    <col min="10000" max="10000" width="11.7109375" style="96" bestFit="1" customWidth="1"/>
    <col min="10001" max="10240" width="9.140625" style="96"/>
    <col min="10241" max="10241" width="10.7109375" style="96" bestFit="1" customWidth="1"/>
    <col min="10242" max="10242" width="12.42578125" style="96" customWidth="1"/>
    <col min="10243" max="10243" width="11.7109375" style="96" bestFit="1" customWidth="1"/>
    <col min="10244" max="10244" width="12.42578125" style="96" bestFit="1" customWidth="1"/>
    <col min="10245" max="10245" width="17.5703125" style="96" customWidth="1"/>
    <col min="10246" max="10249" width="11.7109375" style="96" bestFit="1" customWidth="1"/>
    <col min="10250" max="10250" width="15.140625" style="96" customWidth="1"/>
    <col min="10251" max="10252" width="11.7109375" style="96" bestFit="1" customWidth="1"/>
    <col min="10253" max="10253" width="12.42578125" style="96" customWidth="1"/>
    <col min="10254" max="10254" width="12.42578125" style="96" bestFit="1" customWidth="1"/>
    <col min="10255" max="10255" width="10.85546875" style="96" bestFit="1" customWidth="1"/>
    <col min="10256" max="10256" width="11.7109375" style="96" bestFit="1" customWidth="1"/>
    <col min="10257" max="10496" width="9.140625" style="96"/>
    <col min="10497" max="10497" width="10.7109375" style="96" bestFit="1" customWidth="1"/>
    <col min="10498" max="10498" width="12.42578125" style="96" customWidth="1"/>
    <col min="10499" max="10499" width="11.7109375" style="96" bestFit="1" customWidth="1"/>
    <col min="10500" max="10500" width="12.42578125" style="96" bestFit="1" customWidth="1"/>
    <col min="10501" max="10501" width="17.5703125" style="96" customWidth="1"/>
    <col min="10502" max="10505" width="11.7109375" style="96" bestFit="1" customWidth="1"/>
    <col min="10506" max="10506" width="15.140625" style="96" customWidth="1"/>
    <col min="10507" max="10508" width="11.7109375" style="96" bestFit="1" customWidth="1"/>
    <col min="10509" max="10509" width="12.42578125" style="96" customWidth="1"/>
    <col min="10510" max="10510" width="12.42578125" style="96" bestFit="1" customWidth="1"/>
    <col min="10511" max="10511" width="10.85546875" style="96" bestFit="1" customWidth="1"/>
    <col min="10512" max="10512" width="11.7109375" style="96" bestFit="1" customWidth="1"/>
    <col min="10513" max="10752" width="9.140625" style="96"/>
    <col min="10753" max="10753" width="10.7109375" style="96" bestFit="1" customWidth="1"/>
    <col min="10754" max="10754" width="12.42578125" style="96" customWidth="1"/>
    <col min="10755" max="10755" width="11.7109375" style="96" bestFit="1" customWidth="1"/>
    <col min="10756" max="10756" width="12.42578125" style="96" bestFit="1" customWidth="1"/>
    <col min="10757" max="10757" width="17.5703125" style="96" customWidth="1"/>
    <col min="10758" max="10761" width="11.7109375" style="96" bestFit="1" customWidth="1"/>
    <col min="10762" max="10762" width="15.140625" style="96" customWidth="1"/>
    <col min="10763" max="10764" width="11.7109375" style="96" bestFit="1" customWidth="1"/>
    <col min="10765" max="10765" width="12.42578125" style="96" customWidth="1"/>
    <col min="10766" max="10766" width="12.42578125" style="96" bestFit="1" customWidth="1"/>
    <col min="10767" max="10767" width="10.85546875" style="96" bestFit="1" customWidth="1"/>
    <col min="10768" max="10768" width="11.7109375" style="96" bestFit="1" customWidth="1"/>
    <col min="10769" max="11008" width="9.140625" style="96"/>
    <col min="11009" max="11009" width="10.7109375" style="96" bestFit="1" customWidth="1"/>
    <col min="11010" max="11010" width="12.42578125" style="96" customWidth="1"/>
    <col min="11011" max="11011" width="11.7109375" style="96" bestFit="1" customWidth="1"/>
    <col min="11012" max="11012" width="12.42578125" style="96" bestFit="1" customWidth="1"/>
    <col min="11013" max="11013" width="17.5703125" style="96" customWidth="1"/>
    <col min="11014" max="11017" width="11.7109375" style="96" bestFit="1" customWidth="1"/>
    <col min="11018" max="11018" width="15.140625" style="96" customWidth="1"/>
    <col min="11019" max="11020" width="11.7109375" style="96" bestFit="1" customWidth="1"/>
    <col min="11021" max="11021" width="12.42578125" style="96" customWidth="1"/>
    <col min="11022" max="11022" width="12.42578125" style="96" bestFit="1" customWidth="1"/>
    <col min="11023" max="11023" width="10.85546875" style="96" bestFit="1" customWidth="1"/>
    <col min="11024" max="11024" width="11.7109375" style="96" bestFit="1" customWidth="1"/>
    <col min="11025" max="11264" width="9.140625" style="96"/>
    <col min="11265" max="11265" width="10.7109375" style="96" bestFit="1" customWidth="1"/>
    <col min="11266" max="11266" width="12.42578125" style="96" customWidth="1"/>
    <col min="11267" max="11267" width="11.7109375" style="96" bestFit="1" customWidth="1"/>
    <col min="11268" max="11268" width="12.42578125" style="96" bestFit="1" customWidth="1"/>
    <col min="11269" max="11269" width="17.5703125" style="96" customWidth="1"/>
    <col min="11270" max="11273" width="11.7109375" style="96" bestFit="1" customWidth="1"/>
    <col min="11274" max="11274" width="15.140625" style="96" customWidth="1"/>
    <col min="11275" max="11276" width="11.7109375" style="96" bestFit="1" customWidth="1"/>
    <col min="11277" max="11277" width="12.42578125" style="96" customWidth="1"/>
    <col min="11278" max="11278" width="12.42578125" style="96" bestFit="1" customWidth="1"/>
    <col min="11279" max="11279" width="10.85546875" style="96" bestFit="1" customWidth="1"/>
    <col min="11280" max="11280" width="11.7109375" style="96" bestFit="1" customWidth="1"/>
    <col min="11281" max="11520" width="9.140625" style="96"/>
    <col min="11521" max="11521" width="10.7109375" style="96" bestFit="1" customWidth="1"/>
    <col min="11522" max="11522" width="12.42578125" style="96" customWidth="1"/>
    <col min="11523" max="11523" width="11.7109375" style="96" bestFit="1" customWidth="1"/>
    <col min="11524" max="11524" width="12.42578125" style="96" bestFit="1" customWidth="1"/>
    <col min="11525" max="11525" width="17.5703125" style="96" customWidth="1"/>
    <col min="11526" max="11529" width="11.7109375" style="96" bestFit="1" customWidth="1"/>
    <col min="11530" max="11530" width="15.140625" style="96" customWidth="1"/>
    <col min="11531" max="11532" width="11.7109375" style="96" bestFit="1" customWidth="1"/>
    <col min="11533" max="11533" width="12.42578125" style="96" customWidth="1"/>
    <col min="11534" max="11534" width="12.42578125" style="96" bestFit="1" customWidth="1"/>
    <col min="11535" max="11535" width="10.85546875" style="96" bestFit="1" customWidth="1"/>
    <col min="11536" max="11536" width="11.7109375" style="96" bestFit="1" customWidth="1"/>
    <col min="11537" max="11776" width="9.140625" style="96"/>
    <col min="11777" max="11777" width="10.7109375" style="96" bestFit="1" customWidth="1"/>
    <col min="11778" max="11778" width="12.42578125" style="96" customWidth="1"/>
    <col min="11779" max="11779" width="11.7109375" style="96" bestFit="1" customWidth="1"/>
    <col min="11780" max="11780" width="12.42578125" style="96" bestFit="1" customWidth="1"/>
    <col min="11781" max="11781" width="17.5703125" style="96" customWidth="1"/>
    <col min="11782" max="11785" width="11.7109375" style="96" bestFit="1" customWidth="1"/>
    <col min="11786" max="11786" width="15.140625" style="96" customWidth="1"/>
    <col min="11787" max="11788" width="11.7109375" style="96" bestFit="1" customWidth="1"/>
    <col min="11789" max="11789" width="12.42578125" style="96" customWidth="1"/>
    <col min="11790" max="11790" width="12.42578125" style="96" bestFit="1" customWidth="1"/>
    <col min="11791" max="11791" width="10.85546875" style="96" bestFit="1" customWidth="1"/>
    <col min="11792" max="11792" width="11.7109375" style="96" bestFit="1" customWidth="1"/>
    <col min="11793" max="12032" width="9.140625" style="96"/>
    <col min="12033" max="12033" width="10.7109375" style="96" bestFit="1" customWidth="1"/>
    <col min="12034" max="12034" width="12.42578125" style="96" customWidth="1"/>
    <col min="12035" max="12035" width="11.7109375" style="96" bestFit="1" customWidth="1"/>
    <col min="12036" max="12036" width="12.42578125" style="96" bestFit="1" customWidth="1"/>
    <col min="12037" max="12037" width="17.5703125" style="96" customWidth="1"/>
    <col min="12038" max="12041" width="11.7109375" style="96" bestFit="1" customWidth="1"/>
    <col min="12042" max="12042" width="15.140625" style="96" customWidth="1"/>
    <col min="12043" max="12044" width="11.7109375" style="96" bestFit="1" customWidth="1"/>
    <col min="12045" max="12045" width="12.42578125" style="96" customWidth="1"/>
    <col min="12046" max="12046" width="12.42578125" style="96" bestFit="1" customWidth="1"/>
    <col min="12047" max="12047" width="10.85546875" style="96" bestFit="1" customWidth="1"/>
    <col min="12048" max="12048" width="11.7109375" style="96" bestFit="1" customWidth="1"/>
    <col min="12049" max="12288" width="9.140625" style="96"/>
    <col min="12289" max="12289" width="10.7109375" style="96" bestFit="1" customWidth="1"/>
    <col min="12290" max="12290" width="12.42578125" style="96" customWidth="1"/>
    <col min="12291" max="12291" width="11.7109375" style="96" bestFit="1" customWidth="1"/>
    <col min="12292" max="12292" width="12.42578125" style="96" bestFit="1" customWidth="1"/>
    <col min="12293" max="12293" width="17.5703125" style="96" customWidth="1"/>
    <col min="12294" max="12297" width="11.7109375" style="96" bestFit="1" customWidth="1"/>
    <col min="12298" max="12298" width="15.140625" style="96" customWidth="1"/>
    <col min="12299" max="12300" width="11.7109375" style="96" bestFit="1" customWidth="1"/>
    <col min="12301" max="12301" width="12.42578125" style="96" customWidth="1"/>
    <col min="12302" max="12302" width="12.42578125" style="96" bestFit="1" customWidth="1"/>
    <col min="12303" max="12303" width="10.85546875" style="96" bestFit="1" customWidth="1"/>
    <col min="12304" max="12304" width="11.7109375" style="96" bestFit="1" customWidth="1"/>
    <col min="12305" max="12544" width="9.140625" style="96"/>
    <col min="12545" max="12545" width="10.7109375" style="96" bestFit="1" customWidth="1"/>
    <col min="12546" max="12546" width="12.42578125" style="96" customWidth="1"/>
    <col min="12547" max="12547" width="11.7109375" style="96" bestFit="1" customWidth="1"/>
    <col min="12548" max="12548" width="12.42578125" style="96" bestFit="1" customWidth="1"/>
    <col min="12549" max="12549" width="17.5703125" style="96" customWidth="1"/>
    <col min="12550" max="12553" width="11.7109375" style="96" bestFit="1" customWidth="1"/>
    <col min="12554" max="12554" width="15.140625" style="96" customWidth="1"/>
    <col min="12555" max="12556" width="11.7109375" style="96" bestFit="1" customWidth="1"/>
    <col min="12557" max="12557" width="12.42578125" style="96" customWidth="1"/>
    <col min="12558" max="12558" width="12.42578125" style="96" bestFit="1" customWidth="1"/>
    <col min="12559" max="12559" width="10.85546875" style="96" bestFit="1" customWidth="1"/>
    <col min="12560" max="12560" width="11.7109375" style="96" bestFit="1" customWidth="1"/>
    <col min="12561" max="12800" width="9.140625" style="96"/>
    <col min="12801" max="12801" width="10.7109375" style="96" bestFit="1" customWidth="1"/>
    <col min="12802" max="12802" width="12.42578125" style="96" customWidth="1"/>
    <col min="12803" max="12803" width="11.7109375" style="96" bestFit="1" customWidth="1"/>
    <col min="12804" max="12804" width="12.42578125" style="96" bestFit="1" customWidth="1"/>
    <col min="12805" max="12805" width="17.5703125" style="96" customWidth="1"/>
    <col min="12806" max="12809" width="11.7109375" style="96" bestFit="1" customWidth="1"/>
    <col min="12810" max="12810" width="15.140625" style="96" customWidth="1"/>
    <col min="12811" max="12812" width="11.7109375" style="96" bestFit="1" customWidth="1"/>
    <col min="12813" max="12813" width="12.42578125" style="96" customWidth="1"/>
    <col min="12814" max="12814" width="12.42578125" style="96" bestFit="1" customWidth="1"/>
    <col min="12815" max="12815" width="10.85546875" style="96" bestFit="1" customWidth="1"/>
    <col min="12816" max="12816" width="11.7109375" style="96" bestFit="1" customWidth="1"/>
    <col min="12817" max="13056" width="9.140625" style="96"/>
    <col min="13057" max="13057" width="10.7109375" style="96" bestFit="1" customWidth="1"/>
    <col min="13058" max="13058" width="12.42578125" style="96" customWidth="1"/>
    <col min="13059" max="13059" width="11.7109375" style="96" bestFit="1" customWidth="1"/>
    <col min="13060" max="13060" width="12.42578125" style="96" bestFit="1" customWidth="1"/>
    <col min="13061" max="13061" width="17.5703125" style="96" customWidth="1"/>
    <col min="13062" max="13065" width="11.7109375" style="96" bestFit="1" customWidth="1"/>
    <col min="13066" max="13066" width="15.140625" style="96" customWidth="1"/>
    <col min="13067" max="13068" width="11.7109375" style="96" bestFit="1" customWidth="1"/>
    <col min="13069" max="13069" width="12.42578125" style="96" customWidth="1"/>
    <col min="13070" max="13070" width="12.42578125" style="96" bestFit="1" customWidth="1"/>
    <col min="13071" max="13071" width="10.85546875" style="96" bestFit="1" customWidth="1"/>
    <col min="13072" max="13072" width="11.7109375" style="96" bestFit="1" customWidth="1"/>
    <col min="13073" max="13312" width="9.140625" style="96"/>
    <col min="13313" max="13313" width="10.7109375" style="96" bestFit="1" customWidth="1"/>
    <col min="13314" max="13314" width="12.42578125" style="96" customWidth="1"/>
    <col min="13315" max="13315" width="11.7109375" style="96" bestFit="1" customWidth="1"/>
    <col min="13316" max="13316" width="12.42578125" style="96" bestFit="1" customWidth="1"/>
    <col min="13317" max="13317" width="17.5703125" style="96" customWidth="1"/>
    <col min="13318" max="13321" width="11.7109375" style="96" bestFit="1" customWidth="1"/>
    <col min="13322" max="13322" width="15.140625" style="96" customWidth="1"/>
    <col min="13323" max="13324" width="11.7109375" style="96" bestFit="1" customWidth="1"/>
    <col min="13325" max="13325" width="12.42578125" style="96" customWidth="1"/>
    <col min="13326" max="13326" width="12.42578125" style="96" bestFit="1" customWidth="1"/>
    <col min="13327" max="13327" width="10.85546875" style="96" bestFit="1" customWidth="1"/>
    <col min="13328" max="13328" width="11.7109375" style="96" bestFit="1" customWidth="1"/>
    <col min="13329" max="13568" width="9.140625" style="96"/>
    <col min="13569" max="13569" width="10.7109375" style="96" bestFit="1" customWidth="1"/>
    <col min="13570" max="13570" width="12.42578125" style="96" customWidth="1"/>
    <col min="13571" max="13571" width="11.7109375" style="96" bestFit="1" customWidth="1"/>
    <col min="13572" max="13572" width="12.42578125" style="96" bestFit="1" customWidth="1"/>
    <col min="13573" max="13573" width="17.5703125" style="96" customWidth="1"/>
    <col min="13574" max="13577" width="11.7109375" style="96" bestFit="1" customWidth="1"/>
    <col min="13578" max="13578" width="15.140625" style="96" customWidth="1"/>
    <col min="13579" max="13580" width="11.7109375" style="96" bestFit="1" customWidth="1"/>
    <col min="13581" max="13581" width="12.42578125" style="96" customWidth="1"/>
    <col min="13582" max="13582" width="12.42578125" style="96" bestFit="1" customWidth="1"/>
    <col min="13583" max="13583" width="10.85546875" style="96" bestFit="1" customWidth="1"/>
    <col min="13584" max="13584" width="11.7109375" style="96" bestFit="1" customWidth="1"/>
    <col min="13585" max="13824" width="9.140625" style="96"/>
    <col min="13825" max="13825" width="10.7109375" style="96" bestFit="1" customWidth="1"/>
    <col min="13826" max="13826" width="12.42578125" style="96" customWidth="1"/>
    <col min="13827" max="13827" width="11.7109375" style="96" bestFit="1" customWidth="1"/>
    <col min="13828" max="13828" width="12.42578125" style="96" bestFit="1" customWidth="1"/>
    <col min="13829" max="13829" width="17.5703125" style="96" customWidth="1"/>
    <col min="13830" max="13833" width="11.7109375" style="96" bestFit="1" customWidth="1"/>
    <col min="13834" max="13834" width="15.140625" style="96" customWidth="1"/>
    <col min="13835" max="13836" width="11.7109375" style="96" bestFit="1" customWidth="1"/>
    <col min="13837" max="13837" width="12.42578125" style="96" customWidth="1"/>
    <col min="13838" max="13838" width="12.42578125" style="96" bestFit="1" customWidth="1"/>
    <col min="13839" max="13839" width="10.85546875" style="96" bestFit="1" customWidth="1"/>
    <col min="13840" max="13840" width="11.7109375" style="96" bestFit="1" customWidth="1"/>
    <col min="13841" max="14080" width="9.140625" style="96"/>
    <col min="14081" max="14081" width="10.7109375" style="96" bestFit="1" customWidth="1"/>
    <col min="14082" max="14082" width="12.42578125" style="96" customWidth="1"/>
    <col min="14083" max="14083" width="11.7109375" style="96" bestFit="1" customWidth="1"/>
    <col min="14084" max="14084" width="12.42578125" style="96" bestFit="1" customWidth="1"/>
    <col min="14085" max="14085" width="17.5703125" style="96" customWidth="1"/>
    <col min="14086" max="14089" width="11.7109375" style="96" bestFit="1" customWidth="1"/>
    <col min="14090" max="14090" width="15.140625" style="96" customWidth="1"/>
    <col min="14091" max="14092" width="11.7109375" style="96" bestFit="1" customWidth="1"/>
    <col min="14093" max="14093" width="12.42578125" style="96" customWidth="1"/>
    <col min="14094" max="14094" width="12.42578125" style="96" bestFit="1" customWidth="1"/>
    <col min="14095" max="14095" width="10.85546875" style="96" bestFit="1" customWidth="1"/>
    <col min="14096" max="14096" width="11.7109375" style="96" bestFit="1" customWidth="1"/>
    <col min="14097" max="14336" width="9.140625" style="96"/>
    <col min="14337" max="14337" width="10.7109375" style="96" bestFit="1" customWidth="1"/>
    <col min="14338" max="14338" width="12.42578125" style="96" customWidth="1"/>
    <col min="14339" max="14339" width="11.7109375" style="96" bestFit="1" customWidth="1"/>
    <col min="14340" max="14340" width="12.42578125" style="96" bestFit="1" customWidth="1"/>
    <col min="14341" max="14341" width="17.5703125" style="96" customWidth="1"/>
    <col min="14342" max="14345" width="11.7109375" style="96" bestFit="1" customWidth="1"/>
    <col min="14346" max="14346" width="15.140625" style="96" customWidth="1"/>
    <col min="14347" max="14348" width="11.7109375" style="96" bestFit="1" customWidth="1"/>
    <col min="14349" max="14349" width="12.42578125" style="96" customWidth="1"/>
    <col min="14350" max="14350" width="12.42578125" style="96" bestFit="1" customWidth="1"/>
    <col min="14351" max="14351" width="10.85546875" style="96" bestFit="1" customWidth="1"/>
    <col min="14352" max="14352" width="11.7109375" style="96" bestFit="1" customWidth="1"/>
    <col min="14353" max="14592" width="9.140625" style="96"/>
    <col min="14593" max="14593" width="10.7109375" style="96" bestFit="1" customWidth="1"/>
    <col min="14594" max="14594" width="12.42578125" style="96" customWidth="1"/>
    <col min="14595" max="14595" width="11.7109375" style="96" bestFit="1" customWidth="1"/>
    <col min="14596" max="14596" width="12.42578125" style="96" bestFit="1" customWidth="1"/>
    <col min="14597" max="14597" width="17.5703125" style="96" customWidth="1"/>
    <col min="14598" max="14601" width="11.7109375" style="96" bestFit="1" customWidth="1"/>
    <col min="14602" max="14602" width="15.140625" style="96" customWidth="1"/>
    <col min="14603" max="14604" width="11.7109375" style="96" bestFit="1" customWidth="1"/>
    <col min="14605" max="14605" width="12.42578125" style="96" customWidth="1"/>
    <col min="14606" max="14606" width="12.42578125" style="96" bestFit="1" customWidth="1"/>
    <col min="14607" max="14607" width="10.85546875" style="96" bestFit="1" customWidth="1"/>
    <col min="14608" max="14608" width="11.7109375" style="96" bestFit="1" customWidth="1"/>
    <col min="14609" max="14848" width="9.140625" style="96"/>
    <col min="14849" max="14849" width="10.7109375" style="96" bestFit="1" customWidth="1"/>
    <col min="14850" max="14850" width="12.42578125" style="96" customWidth="1"/>
    <col min="14851" max="14851" width="11.7109375" style="96" bestFit="1" customWidth="1"/>
    <col min="14852" max="14852" width="12.42578125" style="96" bestFit="1" customWidth="1"/>
    <col min="14853" max="14853" width="17.5703125" style="96" customWidth="1"/>
    <col min="14854" max="14857" width="11.7109375" style="96" bestFit="1" customWidth="1"/>
    <col min="14858" max="14858" width="15.140625" style="96" customWidth="1"/>
    <col min="14859" max="14860" width="11.7109375" style="96" bestFit="1" customWidth="1"/>
    <col min="14861" max="14861" width="12.42578125" style="96" customWidth="1"/>
    <col min="14862" max="14862" width="12.42578125" style="96" bestFit="1" customWidth="1"/>
    <col min="14863" max="14863" width="10.85546875" style="96" bestFit="1" customWidth="1"/>
    <col min="14864" max="14864" width="11.7109375" style="96" bestFit="1" customWidth="1"/>
    <col min="14865" max="15104" width="9.140625" style="96"/>
    <col min="15105" max="15105" width="10.7109375" style="96" bestFit="1" customWidth="1"/>
    <col min="15106" max="15106" width="12.42578125" style="96" customWidth="1"/>
    <col min="15107" max="15107" width="11.7109375" style="96" bestFit="1" customWidth="1"/>
    <col min="15108" max="15108" width="12.42578125" style="96" bestFit="1" customWidth="1"/>
    <col min="15109" max="15109" width="17.5703125" style="96" customWidth="1"/>
    <col min="15110" max="15113" width="11.7109375" style="96" bestFit="1" customWidth="1"/>
    <col min="15114" max="15114" width="15.140625" style="96" customWidth="1"/>
    <col min="15115" max="15116" width="11.7109375" style="96" bestFit="1" customWidth="1"/>
    <col min="15117" max="15117" width="12.42578125" style="96" customWidth="1"/>
    <col min="15118" max="15118" width="12.42578125" style="96" bestFit="1" customWidth="1"/>
    <col min="15119" max="15119" width="10.85546875" style="96" bestFit="1" customWidth="1"/>
    <col min="15120" max="15120" width="11.7109375" style="96" bestFit="1" customWidth="1"/>
    <col min="15121" max="15360" width="9.140625" style="96"/>
    <col min="15361" max="15361" width="10.7109375" style="96" bestFit="1" customWidth="1"/>
    <col min="15362" max="15362" width="12.42578125" style="96" customWidth="1"/>
    <col min="15363" max="15363" width="11.7109375" style="96" bestFit="1" customWidth="1"/>
    <col min="15364" max="15364" width="12.42578125" style="96" bestFit="1" customWidth="1"/>
    <col min="15365" max="15365" width="17.5703125" style="96" customWidth="1"/>
    <col min="15366" max="15369" width="11.7109375" style="96" bestFit="1" customWidth="1"/>
    <col min="15370" max="15370" width="15.140625" style="96" customWidth="1"/>
    <col min="15371" max="15372" width="11.7109375" style="96" bestFit="1" customWidth="1"/>
    <col min="15373" max="15373" width="12.42578125" style="96" customWidth="1"/>
    <col min="15374" max="15374" width="12.42578125" style="96" bestFit="1" customWidth="1"/>
    <col min="15375" max="15375" width="10.85546875" style="96" bestFit="1" customWidth="1"/>
    <col min="15376" max="15376" width="11.7109375" style="96" bestFit="1" customWidth="1"/>
    <col min="15377" max="15616" width="9.140625" style="96"/>
    <col min="15617" max="15617" width="10.7109375" style="96" bestFit="1" customWidth="1"/>
    <col min="15618" max="15618" width="12.42578125" style="96" customWidth="1"/>
    <col min="15619" max="15619" width="11.7109375" style="96" bestFit="1" customWidth="1"/>
    <col min="15620" max="15620" width="12.42578125" style="96" bestFit="1" customWidth="1"/>
    <col min="15621" max="15621" width="17.5703125" style="96" customWidth="1"/>
    <col min="15622" max="15625" width="11.7109375" style="96" bestFit="1" customWidth="1"/>
    <col min="15626" max="15626" width="15.140625" style="96" customWidth="1"/>
    <col min="15627" max="15628" width="11.7109375" style="96" bestFit="1" customWidth="1"/>
    <col min="15629" max="15629" width="12.42578125" style="96" customWidth="1"/>
    <col min="15630" max="15630" width="12.42578125" style="96" bestFit="1" customWidth="1"/>
    <col min="15631" max="15631" width="10.85546875" style="96" bestFit="1" customWidth="1"/>
    <col min="15632" max="15632" width="11.7109375" style="96" bestFit="1" customWidth="1"/>
    <col min="15633" max="15872" width="9.140625" style="96"/>
    <col min="15873" max="15873" width="10.7109375" style="96" bestFit="1" customWidth="1"/>
    <col min="15874" max="15874" width="12.42578125" style="96" customWidth="1"/>
    <col min="15875" max="15875" width="11.7109375" style="96" bestFit="1" customWidth="1"/>
    <col min="15876" max="15876" width="12.42578125" style="96" bestFit="1" customWidth="1"/>
    <col min="15877" max="15877" width="17.5703125" style="96" customWidth="1"/>
    <col min="15878" max="15881" width="11.7109375" style="96" bestFit="1" customWidth="1"/>
    <col min="15882" max="15882" width="15.140625" style="96" customWidth="1"/>
    <col min="15883" max="15884" width="11.7109375" style="96" bestFit="1" customWidth="1"/>
    <col min="15885" max="15885" width="12.42578125" style="96" customWidth="1"/>
    <col min="15886" max="15886" width="12.42578125" style="96" bestFit="1" customWidth="1"/>
    <col min="15887" max="15887" width="10.85546875" style="96" bestFit="1" customWidth="1"/>
    <col min="15888" max="15888" width="11.7109375" style="96" bestFit="1" customWidth="1"/>
    <col min="15889" max="16128" width="9.140625" style="96"/>
    <col min="16129" max="16129" width="10.7109375" style="96" bestFit="1" customWidth="1"/>
    <col min="16130" max="16130" width="12.42578125" style="96" customWidth="1"/>
    <col min="16131" max="16131" width="11.7109375" style="96" bestFit="1" customWidth="1"/>
    <col min="16132" max="16132" width="12.42578125" style="96" bestFit="1" customWidth="1"/>
    <col min="16133" max="16133" width="17.5703125" style="96" customWidth="1"/>
    <col min="16134" max="16137" width="11.7109375" style="96" bestFit="1" customWidth="1"/>
    <col min="16138" max="16138" width="15.140625" style="96" customWidth="1"/>
    <col min="16139" max="16140" width="11.7109375" style="96" bestFit="1" customWidth="1"/>
    <col min="16141" max="16141" width="12.42578125" style="96" customWidth="1"/>
    <col min="16142" max="16142" width="12.42578125" style="96" bestFit="1" customWidth="1"/>
    <col min="16143" max="16143" width="10.85546875" style="96" bestFit="1" customWidth="1"/>
    <col min="16144" max="16144" width="11.7109375" style="96" bestFit="1" customWidth="1"/>
    <col min="16145" max="16384" width="9.140625" style="96"/>
  </cols>
  <sheetData>
    <row r="5" spans="1:15" x14ac:dyDescent="0.3">
      <c r="A5" s="400" t="s">
        <v>106</v>
      </c>
      <c r="B5" s="400"/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400"/>
      <c r="O5" s="400"/>
    </row>
    <row r="6" spans="1:15" x14ac:dyDescent="0.3">
      <c r="A6" s="400"/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</row>
    <row r="8" spans="1:15" x14ac:dyDescent="0.3">
      <c r="A8" s="401" t="s">
        <v>107</v>
      </c>
      <c r="B8" s="401"/>
      <c r="C8" s="401"/>
      <c r="D8" s="401"/>
      <c r="E8" s="401"/>
      <c r="F8" s="401"/>
      <c r="G8" s="401"/>
      <c r="H8" s="401"/>
      <c r="I8" s="401"/>
      <c r="J8" s="401"/>
      <c r="K8" s="401"/>
      <c r="L8" s="401"/>
      <c r="M8" s="401"/>
      <c r="N8" s="401"/>
      <c r="O8" s="401"/>
    </row>
    <row r="9" spans="1:15" ht="19.5" thickBot="1" x14ac:dyDescent="0.35">
      <c r="A9" s="97"/>
      <c r="B9" s="97"/>
      <c r="C9" s="97"/>
      <c r="D9" s="97"/>
      <c r="E9" s="97"/>
      <c r="F9" s="97"/>
      <c r="G9" s="97"/>
      <c r="H9" s="97"/>
      <c r="I9" s="97"/>
    </row>
    <row r="10" spans="1:15" ht="19.5" thickBot="1" x14ac:dyDescent="0.35">
      <c r="A10" s="98" t="s">
        <v>108</v>
      </c>
      <c r="B10" s="99" t="s">
        <v>9</v>
      </c>
      <c r="C10" s="100" t="s">
        <v>94</v>
      </c>
      <c r="D10" s="99" t="s">
        <v>26</v>
      </c>
      <c r="E10" s="101" t="s">
        <v>94</v>
      </c>
      <c r="F10" s="102" t="s">
        <v>25</v>
      </c>
      <c r="G10" s="101" t="s">
        <v>94</v>
      </c>
      <c r="H10" s="102" t="s">
        <v>109</v>
      </c>
      <c r="I10" s="101" t="s">
        <v>94</v>
      </c>
      <c r="J10" s="103" t="s">
        <v>110</v>
      </c>
      <c r="K10" s="101" t="s">
        <v>94</v>
      </c>
      <c r="L10" s="104" t="s">
        <v>111</v>
      </c>
      <c r="M10" s="98" t="s">
        <v>112</v>
      </c>
      <c r="N10" s="104" t="s">
        <v>113</v>
      </c>
      <c r="O10" s="98" t="s">
        <v>112</v>
      </c>
    </row>
    <row r="11" spans="1:15" x14ac:dyDescent="0.3">
      <c r="A11" s="105" t="str">
        <f>'Programa de Invest'!A8</f>
        <v>Projeto MIM</v>
      </c>
      <c r="B11" s="106">
        <f>'Multipla sem inflação'!B11</f>
        <v>4691.176562871864</v>
      </c>
      <c r="C11" s="107" t="s">
        <v>103</v>
      </c>
      <c r="D11" s="108">
        <f>'Multipla sem inflação'!B13</f>
        <v>1.095000653051811</v>
      </c>
      <c r="E11" s="109" t="s">
        <v>103</v>
      </c>
      <c r="F11" s="110">
        <f>'Multipla sem inflação'!B23</f>
        <v>7.7697065740846449E-2</v>
      </c>
      <c r="G11" s="345" t="s">
        <v>103</v>
      </c>
      <c r="H11" s="352">
        <f>'Multipla sem inflação'!B36</f>
        <v>3.6666666666666665</v>
      </c>
      <c r="I11" s="350" t="s">
        <v>95</v>
      </c>
      <c r="J11" s="380">
        <f>'Classificação VAL CIP '!I29</f>
        <v>-2686.7726364459631</v>
      </c>
      <c r="K11" s="111" t="str">
        <f>'Classificação VAL CIP '!J29</f>
        <v>4º</v>
      </c>
      <c r="L11" s="112">
        <f>'VAR(X) e DP'!H24</f>
        <v>0</v>
      </c>
      <c r="M11" s="113">
        <v>9</v>
      </c>
      <c r="N11" s="114">
        <f>'VAR(X) e DP'!I24</f>
        <v>0</v>
      </c>
      <c r="O11" s="115" t="s">
        <v>97</v>
      </c>
    </row>
    <row r="12" spans="1:15" x14ac:dyDescent="0.3">
      <c r="A12" s="116" t="str">
        <f>'Programa de Invest'!A9</f>
        <v>Projeto MAX</v>
      </c>
      <c r="B12" s="117">
        <f>'VAL Unica Sem Inflação'!C14</f>
        <v>15540.543351542481</v>
      </c>
      <c r="C12" s="118" t="s">
        <v>99</v>
      </c>
      <c r="D12" s="108">
        <f>'VAL Unica Sem Inflação'!C16</f>
        <v>1.1828299217828526</v>
      </c>
      <c r="E12" s="109" t="s">
        <v>96</v>
      </c>
      <c r="F12" s="110">
        <f>'VAL Unica Sem Inflação'!C18</f>
        <v>0.18143777984786302</v>
      </c>
      <c r="G12" s="345" t="s">
        <v>99</v>
      </c>
      <c r="H12" s="353">
        <f>'VAL Unica Sem Inflação'!C20</f>
        <v>3.3611111111111112</v>
      </c>
      <c r="I12" s="351" t="s">
        <v>102</v>
      </c>
      <c r="J12" s="381">
        <f>'Classificação VAL CIP '!I30</f>
        <v>-85000</v>
      </c>
      <c r="K12" s="120" t="str">
        <f>'Classificação VAL CIP '!J30</f>
        <v>10º</v>
      </c>
      <c r="L12" s="112">
        <f>'VAR(X) e DP'!H32</f>
        <v>276975600</v>
      </c>
      <c r="M12" s="121" t="s">
        <v>96</v>
      </c>
      <c r="N12" s="122">
        <f>'VAR(X) e DP'!I32</f>
        <v>16642.583933992941</v>
      </c>
      <c r="O12" s="109" t="s">
        <v>102</v>
      </c>
    </row>
    <row r="13" spans="1:15" x14ac:dyDescent="0.3">
      <c r="A13" s="116" t="str">
        <f>'Programa de Invest'!A10</f>
        <v>Projeto ZAPY's</v>
      </c>
      <c r="B13" s="341">
        <f>'Multipla sem inflação'!B49</f>
        <v>-24977.456845980152</v>
      </c>
      <c r="C13" s="118" t="s">
        <v>105</v>
      </c>
      <c r="D13" s="108">
        <f>'Multipla sem inflação'!B51</f>
        <v>0.59719727988910254</v>
      </c>
      <c r="E13" s="109" t="s">
        <v>105</v>
      </c>
      <c r="F13" s="110">
        <f>'Multipla sem inflação'!B61</f>
        <v>-1.81828464345547E-2</v>
      </c>
      <c r="G13" s="123" t="s">
        <v>105</v>
      </c>
      <c r="H13" s="352" t="s">
        <v>136</v>
      </c>
      <c r="I13" s="349" t="s">
        <v>105</v>
      </c>
      <c r="J13" s="381">
        <f>'Classificação VAL CIP '!I31</f>
        <v>-36461.286231218721</v>
      </c>
      <c r="K13" s="120" t="str">
        <f>'Classificação VAL CIP '!J31</f>
        <v>6º</v>
      </c>
      <c r="L13" s="112">
        <f>'VAR(X) e DP'!H40</f>
        <v>496904175.87890625</v>
      </c>
      <c r="M13" s="124" t="s">
        <v>98</v>
      </c>
      <c r="N13" s="122">
        <f>'VAR(X) e DP'!I40</f>
        <v>22291.347556370525</v>
      </c>
      <c r="O13" s="109" t="s">
        <v>99</v>
      </c>
    </row>
    <row r="14" spans="1:15" x14ac:dyDescent="0.3">
      <c r="A14" s="116" t="str">
        <f>'Programa de Invest'!A11</f>
        <v>Projeto ZANA's</v>
      </c>
      <c r="B14" s="341">
        <f>'Multipla sem inflação'!B86</f>
        <v>-14946.669647040668</v>
      </c>
      <c r="C14" s="118" t="s">
        <v>101</v>
      </c>
      <c r="D14" s="108">
        <f>'Multipla sem inflação'!B88</f>
        <v>0.78343907484582642</v>
      </c>
      <c r="E14" s="109" t="s">
        <v>101</v>
      </c>
      <c r="F14" s="110">
        <f>'Multipla sem inflação'!B98</f>
        <v>0</v>
      </c>
      <c r="G14" s="345" t="s">
        <v>101</v>
      </c>
      <c r="H14" s="353">
        <f>'Multipla sem inflação'!B111</f>
        <v>5</v>
      </c>
      <c r="I14" s="349" t="s">
        <v>101</v>
      </c>
      <c r="J14" s="381">
        <f>'Classificação VAL CIP '!I32</f>
        <v>-23204.702887468247</v>
      </c>
      <c r="K14" s="120" t="str">
        <f>'Classificação VAL CIP '!J32</f>
        <v>5º</v>
      </c>
      <c r="L14" s="112">
        <f>'VAR(X) e DP'!H48</f>
        <v>0</v>
      </c>
      <c r="M14" s="121">
        <v>9</v>
      </c>
      <c r="N14" s="125">
        <f>'VAR(X) e DP'!I48</f>
        <v>0</v>
      </c>
      <c r="O14" s="115" t="s">
        <v>97</v>
      </c>
    </row>
    <row r="15" spans="1:15" x14ac:dyDescent="0.3">
      <c r="A15" s="116" t="str">
        <f>'Programa de Invest'!A12</f>
        <v>Projeto MAYO</v>
      </c>
      <c r="B15" s="342">
        <f>'VAL Unica Sem Inflação'!C31</f>
        <v>21310.407936221891</v>
      </c>
      <c r="C15" s="126" t="s">
        <v>102</v>
      </c>
      <c r="D15" s="108">
        <f>'VAL Unica Sem Inflação'!C33</f>
        <v>1.3278524297880292</v>
      </c>
      <c r="E15" s="115" t="s">
        <v>102</v>
      </c>
      <c r="F15" s="110">
        <f>'VAL Unica Sem Inflação'!C35</f>
        <v>0.18830110547400625</v>
      </c>
      <c r="G15" s="127" t="s">
        <v>100</v>
      </c>
      <c r="H15" s="353">
        <f>'VAL Unica Sem Inflação'!C37</f>
        <v>3.8</v>
      </c>
      <c r="I15" s="349" t="s">
        <v>103</v>
      </c>
      <c r="J15" s="381">
        <f>'Classificação VAL CIP '!I33</f>
        <v>-65000</v>
      </c>
      <c r="K15" s="120" t="str">
        <f>'Classificação VAL CIP '!J33</f>
        <v>7º</v>
      </c>
      <c r="L15" s="112">
        <f>'VAR(X) e DP'!H57</f>
        <v>4807175156.25</v>
      </c>
      <c r="M15" s="128" t="s">
        <v>97</v>
      </c>
      <c r="N15" s="129">
        <f>'VAR(X) e DP'!I57</f>
        <v>69333.795195777362</v>
      </c>
      <c r="O15" s="109" t="s">
        <v>103</v>
      </c>
    </row>
    <row r="16" spans="1:15" x14ac:dyDescent="0.3">
      <c r="A16" s="116" t="str">
        <f>'Programa de Invest'!A13</f>
        <v>Projeto BVIST</v>
      </c>
      <c r="B16" s="117">
        <f>'VAL Unica Sem Inflação'!C48</f>
        <v>12238.673804069695</v>
      </c>
      <c r="C16" s="118" t="s">
        <v>96</v>
      </c>
      <c r="D16" s="108">
        <f>'VAL Unica Sem Inflação'!C50</f>
        <v>1.18828728929338</v>
      </c>
      <c r="E16" s="109" t="s">
        <v>98</v>
      </c>
      <c r="F16" s="110">
        <f>'VAL Unica Sem Inflação'!C52</f>
        <v>0.18448071721986636</v>
      </c>
      <c r="G16" s="127" t="s">
        <v>102</v>
      </c>
      <c r="H16" s="353">
        <f>'VAL Unica Sem Inflação'!C54</f>
        <v>3.4012345679012346</v>
      </c>
      <c r="I16" s="349" t="s">
        <v>99</v>
      </c>
      <c r="J16" s="381">
        <f>'Classificação VAL CIP '!I34</f>
        <v>-68000</v>
      </c>
      <c r="K16" s="120" t="str">
        <f>'Classificação VAL CIP '!J34</f>
        <v>8º</v>
      </c>
      <c r="L16" s="112">
        <f>'VAR(X) e DP'!H65</f>
        <v>131697047.5776</v>
      </c>
      <c r="M16" s="121" t="s">
        <v>95</v>
      </c>
      <c r="N16" s="122">
        <f>'VAR(X) e DP'!I65</f>
        <v>11475.933407684101</v>
      </c>
      <c r="O16" s="115" t="s">
        <v>100</v>
      </c>
    </row>
    <row r="17" spans="1:16" x14ac:dyDescent="0.3">
      <c r="A17" s="116" t="str">
        <f>'Programa de Invest'!A14</f>
        <v>Projeto SAL</v>
      </c>
      <c r="B17" s="117">
        <f>'Multipla sem inflação'!B122</f>
        <v>12816.18731220621</v>
      </c>
      <c r="C17" s="118" t="s">
        <v>98</v>
      </c>
      <c r="D17" s="108">
        <f>'Multipla sem inflação'!B124</f>
        <v>1.2708326375409613</v>
      </c>
      <c r="E17" s="344" t="s">
        <v>99</v>
      </c>
      <c r="F17" s="110">
        <f>'Multipla sem inflação'!B134</f>
        <v>0.11575947622605209</v>
      </c>
      <c r="G17" s="345" t="s">
        <v>95</v>
      </c>
      <c r="H17" s="352">
        <f>'Multipla sem inflação'!B147</f>
        <v>3.5</v>
      </c>
      <c r="I17" s="349" t="s">
        <v>98</v>
      </c>
      <c r="J17" s="119">
        <f>'Classificação VAL CIP '!I35</f>
        <v>1014.3209849158156</v>
      </c>
      <c r="K17" s="130" t="str">
        <f>'Classificação VAL CIP '!J35</f>
        <v>3º</v>
      </c>
      <c r="L17" s="112">
        <f>'VAR(X) e DP'!H73</f>
        <v>704906927.65439999</v>
      </c>
      <c r="M17" s="121" t="s">
        <v>99</v>
      </c>
      <c r="N17" s="129">
        <f>'VAR(X) e DP'!I73</f>
        <v>26550.083383191097</v>
      </c>
      <c r="O17" s="109" t="s">
        <v>98</v>
      </c>
    </row>
    <row r="18" spans="1:16" x14ac:dyDescent="0.3">
      <c r="A18" s="116" t="str">
        <f>'Programa de Invest'!A15</f>
        <v>Projeto PRAIA</v>
      </c>
      <c r="B18" s="342">
        <f>'Multipla sem inflação'!B159</f>
        <v>62487.822529419427</v>
      </c>
      <c r="C18" s="131" t="s">
        <v>97</v>
      </c>
      <c r="D18" s="108">
        <f>'Multipla sem inflação'!B161</f>
        <v>2.0329973531180952</v>
      </c>
      <c r="E18" s="115" t="s">
        <v>100</v>
      </c>
      <c r="F18" s="110">
        <f>'Multipla sem inflação'!B171</f>
        <v>0.21088976000434734</v>
      </c>
      <c r="G18" s="127" t="s">
        <v>97</v>
      </c>
      <c r="H18" s="353">
        <f>'Multipla sem inflação'!B184</f>
        <v>2.478723404255319</v>
      </c>
      <c r="I18" s="351" t="s">
        <v>97</v>
      </c>
      <c r="J18" s="119">
        <f>'Classificação VAL CIP '!I36</f>
        <v>16980.07022597146</v>
      </c>
      <c r="K18" s="130" t="str">
        <f>'Classificação VAL CIP '!J36</f>
        <v>2º</v>
      </c>
      <c r="L18" s="112">
        <f>'VAR(X) e DP'!H81</f>
        <v>704906927.65439999</v>
      </c>
      <c r="M18" s="121" t="s">
        <v>99</v>
      </c>
      <c r="N18" s="122">
        <f>'VAR(X) e DP'!I81</f>
        <v>26550.083383191097</v>
      </c>
      <c r="O18" s="109" t="s">
        <v>98</v>
      </c>
    </row>
    <row r="19" spans="1:16" x14ac:dyDescent="0.3">
      <c r="A19" s="116" t="str">
        <f>'Programa de Invest'!A16</f>
        <v>Projeto DANA</v>
      </c>
      <c r="B19" s="117">
        <f>'VAL Unica Sem Inflação'!C65</f>
        <v>7205.0841678690194</v>
      </c>
      <c r="C19" s="118" t="s">
        <v>95</v>
      </c>
      <c r="D19" s="108">
        <f>'VAL Unica Sem Inflação'!C67</f>
        <v>1.0960677889049202</v>
      </c>
      <c r="E19" s="109" t="s">
        <v>95</v>
      </c>
      <c r="F19" s="110">
        <f>'VAL Unica Sem Inflação'!C69</f>
        <v>0.14795088602470852</v>
      </c>
      <c r="G19" s="347" t="s">
        <v>98</v>
      </c>
      <c r="H19" s="353">
        <f>'VAL Unica Sem Inflação'!C71</f>
        <v>3.6388888888888888</v>
      </c>
      <c r="I19" s="349" t="s">
        <v>96</v>
      </c>
      <c r="J19" s="381">
        <f>'Classificação VAL CIP '!I37</f>
        <v>-75000</v>
      </c>
      <c r="K19" s="120" t="str">
        <f>'Classificação VAL CIP '!J37</f>
        <v>9º</v>
      </c>
      <c r="L19" s="112">
        <f>'VAR(X) e DP'!H89</f>
        <v>1256001600</v>
      </c>
      <c r="M19" s="128" t="s">
        <v>102</v>
      </c>
      <c r="N19" s="122">
        <f>'VAR(X) e DP'!I89</f>
        <v>35440.112866637428</v>
      </c>
      <c r="O19" s="109" t="s">
        <v>96</v>
      </c>
    </row>
    <row r="20" spans="1:16" ht="19.5" thickBot="1" x14ac:dyDescent="0.35">
      <c r="A20" s="132" t="str">
        <f>'Programa de Invest'!A17</f>
        <v>Projeto DAMA</v>
      </c>
      <c r="B20" s="343">
        <f>'Multipla sem inflação'!B197</f>
        <v>51720.267544540562</v>
      </c>
      <c r="C20" s="133" t="s">
        <v>100</v>
      </c>
      <c r="D20" s="134">
        <f>'Multipla sem inflação'!B199</f>
        <v>2.216292366471877</v>
      </c>
      <c r="E20" s="135" t="s">
        <v>97</v>
      </c>
      <c r="F20" s="136">
        <f>'Multipla sem inflação'!B209</f>
        <v>0.13251736255724733</v>
      </c>
      <c r="G20" s="346" t="s">
        <v>96</v>
      </c>
      <c r="H20" s="354">
        <f>'Multipla sem inflação'!B222</f>
        <v>2.6363636363636362</v>
      </c>
      <c r="I20" s="355" t="s">
        <v>100</v>
      </c>
      <c r="J20" s="137">
        <f>'Classificação VAL CIP '!I38</f>
        <v>27243.45194749962</v>
      </c>
      <c r="K20" s="138" t="str">
        <f>'Classificação VAL CIP '!J38</f>
        <v>1º</v>
      </c>
      <c r="L20" s="139">
        <f>'VAR(X) e DP'!H97</f>
        <v>2303854400</v>
      </c>
      <c r="M20" s="140" t="s">
        <v>100</v>
      </c>
      <c r="N20" s="141">
        <f>'VAR(X) e DP'!I97</f>
        <v>47998.483309371346</v>
      </c>
      <c r="O20" s="142" t="s">
        <v>95</v>
      </c>
    </row>
    <row r="21" spans="1:16" x14ac:dyDescent="0.3">
      <c r="A21" s="143"/>
    </row>
    <row r="22" spans="1:16" x14ac:dyDescent="0.3">
      <c r="B22" s="404" t="s">
        <v>140</v>
      </c>
      <c r="C22" s="404"/>
      <c r="D22" s="404"/>
      <c r="E22" s="404"/>
      <c r="F22" s="404"/>
      <c r="G22" s="404"/>
      <c r="H22" s="404"/>
      <c r="I22" s="404"/>
      <c r="J22" s="404"/>
    </row>
    <row r="23" spans="1:16" x14ac:dyDescent="0.3">
      <c r="A23" s="402" t="s">
        <v>114</v>
      </c>
      <c r="B23" s="402"/>
      <c r="C23" s="402"/>
      <c r="D23" s="402"/>
      <c r="E23" s="402"/>
      <c r="F23" s="402"/>
      <c r="G23" s="402"/>
      <c r="H23" s="402"/>
      <c r="I23" s="402"/>
      <c r="J23" s="144"/>
      <c r="K23" s="145"/>
      <c r="L23" s="145"/>
      <c r="M23" s="145"/>
      <c r="N23" s="145"/>
      <c r="O23" s="145"/>
      <c r="P23" s="145"/>
    </row>
    <row r="24" spans="1:16" x14ac:dyDescent="0.3">
      <c r="A24" s="146" t="s">
        <v>91</v>
      </c>
      <c r="B24" s="147" t="s">
        <v>28</v>
      </c>
      <c r="C24" s="147" t="s">
        <v>9</v>
      </c>
      <c r="D24" s="148" t="s">
        <v>94</v>
      </c>
      <c r="E24" s="149" t="s">
        <v>26</v>
      </c>
      <c r="F24" s="148" t="s">
        <v>94</v>
      </c>
      <c r="G24" s="149" t="s">
        <v>25</v>
      </c>
      <c r="H24" s="148" t="s">
        <v>94</v>
      </c>
      <c r="I24" s="149" t="s">
        <v>27</v>
      </c>
      <c r="J24" s="148" t="s">
        <v>94</v>
      </c>
      <c r="K24" s="150" t="str">
        <f>+J10</f>
        <v>VAL-CIP</v>
      </c>
      <c r="L24" s="148" t="s">
        <v>94</v>
      </c>
      <c r="M24" s="123" t="str">
        <f>+L10</f>
        <v>VAR(X)</v>
      </c>
      <c r="N24" s="148" t="s">
        <v>94</v>
      </c>
      <c r="O24" s="123" t="str">
        <f>+N10</f>
        <v>DP(VAR)</v>
      </c>
      <c r="P24" s="148" t="s">
        <v>94</v>
      </c>
    </row>
    <row r="25" spans="1:16" x14ac:dyDescent="0.3">
      <c r="A25" s="123" t="str">
        <f>A20</f>
        <v>Projeto DAMA</v>
      </c>
      <c r="B25" s="150">
        <f>'Programa de Invest'!H17</f>
        <v>75000</v>
      </c>
      <c r="C25" s="151">
        <f>B20</f>
        <v>51720.267544540562</v>
      </c>
      <c r="D25" s="123" t="s">
        <v>100</v>
      </c>
      <c r="E25" s="152">
        <f>D20</f>
        <v>2.216292366471877</v>
      </c>
      <c r="F25" s="123" t="s">
        <v>97</v>
      </c>
      <c r="G25" s="153">
        <f>F20</f>
        <v>0.13251736255724733</v>
      </c>
      <c r="H25" s="123" t="s">
        <v>100</v>
      </c>
      <c r="I25" s="152">
        <f>H20</f>
        <v>2.6363636363636362</v>
      </c>
      <c r="J25" s="123" t="s">
        <v>100</v>
      </c>
      <c r="K25" s="154">
        <f>J20</f>
        <v>27243.45194749962</v>
      </c>
      <c r="L25" s="123" t="s">
        <v>97</v>
      </c>
      <c r="M25" s="155">
        <f>L20</f>
        <v>2303854400</v>
      </c>
      <c r="N25" s="150" t="s">
        <v>97</v>
      </c>
      <c r="O25" s="155">
        <f>N20</f>
        <v>47998.483309371346</v>
      </c>
      <c r="P25" s="123" t="s">
        <v>97</v>
      </c>
    </row>
    <row r="26" spans="1:16" x14ac:dyDescent="0.3">
      <c r="A26" s="123" t="str">
        <f>A18</f>
        <v>Projeto PRAIA</v>
      </c>
      <c r="B26" s="150">
        <f>'Programa de Invest'!H15</f>
        <v>70000</v>
      </c>
      <c r="C26" s="151">
        <f>B18</f>
        <v>62487.822529419427</v>
      </c>
      <c r="D26" s="123" t="s">
        <v>97</v>
      </c>
      <c r="E26" s="152">
        <f>D18</f>
        <v>2.0329973531180952</v>
      </c>
      <c r="F26" s="123" t="s">
        <v>100</v>
      </c>
      <c r="G26" s="153">
        <f>F18</f>
        <v>0.21088976000434734</v>
      </c>
      <c r="H26" s="123" t="s">
        <v>97</v>
      </c>
      <c r="I26" s="152">
        <f>H18</f>
        <v>2.478723404255319</v>
      </c>
      <c r="J26" s="123" t="s">
        <v>97</v>
      </c>
      <c r="K26" s="154">
        <f>J18</f>
        <v>16980.07022597146</v>
      </c>
      <c r="L26" s="123" t="s">
        <v>100</v>
      </c>
      <c r="M26" s="155">
        <f>L18</f>
        <v>704906927.65439999</v>
      </c>
      <c r="N26" s="150" t="s">
        <v>100</v>
      </c>
      <c r="O26" s="155">
        <f>N18</f>
        <v>26550.083383191097</v>
      </c>
      <c r="P26" s="123" t="s">
        <v>100</v>
      </c>
    </row>
    <row r="27" spans="1:16" x14ac:dyDescent="0.3">
      <c r="A27" s="123" t="str">
        <f>A17</f>
        <v>Projeto SAL</v>
      </c>
      <c r="B27" s="150">
        <f>'Programa de Invest'!H14</f>
        <v>65000</v>
      </c>
      <c r="C27" s="151">
        <f>B17</f>
        <v>12816.18731220621</v>
      </c>
      <c r="D27" s="123" t="str">
        <f>+'[3]Classicação 1'!E43</f>
        <v>3º</v>
      </c>
      <c r="E27" s="152">
        <f>D17</f>
        <v>1.2708326375409613</v>
      </c>
      <c r="F27" s="123" t="str">
        <f>+'[3]Classicação 1'!G43</f>
        <v>3º</v>
      </c>
      <c r="G27" s="153">
        <f>F17</f>
        <v>0.11575947622605209</v>
      </c>
      <c r="H27" s="123" t="s">
        <v>102</v>
      </c>
      <c r="I27" s="152">
        <f>H17</f>
        <v>3.5</v>
      </c>
      <c r="J27" s="123" t="s">
        <v>102</v>
      </c>
      <c r="K27" s="154">
        <f>J17</f>
        <v>1014.3209849158156</v>
      </c>
      <c r="L27" s="123" t="s">
        <v>102</v>
      </c>
      <c r="M27" s="155">
        <f>L17</f>
        <v>704906927.65439999</v>
      </c>
      <c r="N27" s="150" t="s">
        <v>100</v>
      </c>
      <c r="O27" s="155">
        <f>N17</f>
        <v>26550.083383191097</v>
      </c>
      <c r="P27" s="123" t="s">
        <v>100</v>
      </c>
    </row>
    <row r="28" spans="1:16" x14ac:dyDescent="0.3">
      <c r="A28" s="144"/>
      <c r="B28" s="156">
        <f>+SUM(B25:B27)</f>
        <v>210000</v>
      </c>
      <c r="C28" s="156">
        <f>+SUM(C25:C27)</f>
        <v>127024.2773861662</v>
      </c>
      <c r="D28" s="144"/>
      <c r="E28" s="157"/>
      <c r="F28" s="144"/>
      <c r="G28" s="144"/>
      <c r="H28" s="144"/>
      <c r="I28" s="144"/>
      <c r="J28" s="144"/>
      <c r="K28" s="145"/>
      <c r="L28" s="145"/>
      <c r="M28" s="145"/>
      <c r="N28" s="145"/>
      <c r="O28" s="145"/>
      <c r="P28" s="145"/>
    </row>
    <row r="29" spans="1:16" ht="19.5" thickBot="1" x14ac:dyDescent="0.35"/>
    <row r="30" spans="1:16" ht="31.5" customHeight="1" x14ac:dyDescent="0.3">
      <c r="A30" s="158" t="str">
        <f>A25</f>
        <v>Projeto DAMA</v>
      </c>
      <c r="B30" s="159" t="s">
        <v>115</v>
      </c>
      <c r="C30" s="160"/>
      <c r="D30" s="161"/>
      <c r="E30" s="162" t="str">
        <f>+A25</f>
        <v>Projeto DAMA</v>
      </c>
      <c r="F30" s="163" t="str">
        <f>+A27</f>
        <v>Projeto SAL</v>
      </c>
      <c r="G30" s="164" t="s">
        <v>116</v>
      </c>
      <c r="H30" s="165"/>
      <c r="I30" s="166"/>
    </row>
    <row r="31" spans="1:16" x14ac:dyDescent="0.3">
      <c r="A31" s="167" t="str">
        <f>A25</f>
        <v>Projeto DAMA</v>
      </c>
      <c r="B31" s="168" t="s">
        <v>117</v>
      </c>
      <c r="C31" s="169"/>
      <c r="D31" s="170"/>
      <c r="E31" s="171" t="str">
        <f>+A27</f>
        <v>Projeto SAL</v>
      </c>
      <c r="F31" s="171"/>
      <c r="G31" s="172" t="s">
        <v>118</v>
      </c>
      <c r="H31" s="173"/>
      <c r="I31" s="174"/>
    </row>
    <row r="32" spans="1:16" x14ac:dyDescent="0.3">
      <c r="A32" s="175" t="str">
        <f>A26</f>
        <v>Projeto PRAIA</v>
      </c>
      <c r="B32" s="172" t="s">
        <v>119</v>
      </c>
      <c r="C32" s="173"/>
      <c r="D32" s="174"/>
      <c r="E32" s="171" t="str">
        <f>+A27</f>
        <v>Projeto SAL</v>
      </c>
      <c r="F32" s="171"/>
      <c r="G32" s="172" t="s">
        <v>120</v>
      </c>
      <c r="H32" s="173"/>
      <c r="I32" s="174"/>
    </row>
    <row r="33" spans="1:13" x14ac:dyDescent="0.3">
      <c r="A33" s="175" t="str">
        <f>A25</f>
        <v>Projeto DAMA</v>
      </c>
      <c r="B33" s="172" t="s">
        <v>121</v>
      </c>
      <c r="C33" s="173"/>
      <c r="D33" s="174"/>
      <c r="E33" s="171" t="str">
        <f>+A27</f>
        <v>Projeto SAL</v>
      </c>
      <c r="F33" s="171"/>
      <c r="G33" s="172" t="s">
        <v>122</v>
      </c>
      <c r="H33" s="173"/>
      <c r="I33" s="174"/>
    </row>
    <row r="34" spans="1:13" ht="19.5" thickBot="1" x14ac:dyDescent="0.35">
      <c r="A34" s="176" t="str">
        <f>A27</f>
        <v>Projeto SAL</v>
      </c>
      <c r="B34" s="177" t="s">
        <v>123</v>
      </c>
      <c r="C34" s="178"/>
      <c r="D34" s="179"/>
      <c r="E34" s="180" t="str">
        <f>A26</f>
        <v>Projeto PRAIA</v>
      </c>
      <c r="F34" s="180"/>
      <c r="G34" s="177" t="s">
        <v>124</v>
      </c>
      <c r="H34" s="178"/>
      <c r="I34" s="179"/>
    </row>
    <row r="36" spans="1:13" ht="26.25" x14ac:dyDescent="0.4">
      <c r="C36" s="348"/>
      <c r="D36" s="95" t="s">
        <v>142</v>
      </c>
    </row>
    <row r="37" spans="1:13" x14ac:dyDescent="0.3">
      <c r="C37" s="348"/>
      <c r="E37" s="181" t="str">
        <f>B24</f>
        <v>Invest</v>
      </c>
      <c r="F37" s="181" t="s">
        <v>141</v>
      </c>
      <c r="G37" s="181" t="s">
        <v>9</v>
      </c>
      <c r="H37" s="181" t="str">
        <f>D10</f>
        <v>IR</v>
      </c>
      <c r="I37" s="181" t="str">
        <f>F10</f>
        <v>TIR</v>
      </c>
      <c r="J37" s="181" t="str">
        <f>H10</f>
        <v>PBP (anos)</v>
      </c>
      <c r="K37" s="181" t="str">
        <f>J10</f>
        <v>VAL-CIP</v>
      </c>
      <c r="L37" s="181" t="str">
        <f>L10</f>
        <v>VAR(X)</v>
      </c>
      <c r="M37" s="181" t="str">
        <f>N10</f>
        <v>DP(VAR)</v>
      </c>
    </row>
    <row r="38" spans="1:13" x14ac:dyDescent="0.3">
      <c r="C38" s="348"/>
      <c r="D38" s="182" t="str">
        <f>A25</f>
        <v>Projeto DAMA</v>
      </c>
      <c r="E38" s="183">
        <f>B25</f>
        <v>75000</v>
      </c>
      <c r="F38" s="403">
        <f>SUM(E38:E39)</f>
        <v>75000</v>
      </c>
      <c r="G38" s="184">
        <f>C25</f>
        <v>51720.267544540562</v>
      </c>
      <c r="H38" s="185">
        <f>E25</f>
        <v>2.216292366471877</v>
      </c>
      <c r="I38" s="186">
        <f>G25</f>
        <v>0.13251736255724733</v>
      </c>
      <c r="J38" s="187">
        <f>I25</f>
        <v>2.6363636363636362</v>
      </c>
      <c r="K38" s="188">
        <f>K25</f>
        <v>27243.45194749962</v>
      </c>
      <c r="L38" s="183">
        <f>M25</f>
        <v>2303854400</v>
      </c>
      <c r="M38" s="183">
        <f>O25</f>
        <v>47998.483309371346</v>
      </c>
    </row>
    <row r="39" spans="1:13" x14ac:dyDescent="0.3">
      <c r="C39" s="348"/>
      <c r="D39" s="182"/>
      <c r="E39" s="183"/>
      <c r="F39" s="403"/>
      <c r="G39" s="184"/>
      <c r="H39" s="185"/>
      <c r="I39" s="186"/>
      <c r="J39" s="187"/>
      <c r="K39" s="183"/>
      <c r="L39" s="188">
        <f>N11</f>
        <v>0</v>
      </c>
      <c r="M39" s="188">
        <f>N11</f>
        <v>0</v>
      </c>
    </row>
    <row r="40" spans="1:13" x14ac:dyDescent="0.3">
      <c r="C40" s="348"/>
    </row>
    <row r="41" spans="1:13" x14ac:dyDescent="0.3">
      <c r="C41" s="348"/>
    </row>
  </sheetData>
  <sortState ref="C36:C45">
    <sortCondition ref="C43"/>
  </sortState>
  <mergeCells count="5">
    <mergeCell ref="A5:O6"/>
    <mergeCell ref="A8:O8"/>
    <mergeCell ref="A23:I23"/>
    <mergeCell ref="F38:F39"/>
    <mergeCell ref="B22:J22"/>
  </mergeCells>
  <pageMargins left="0.511811024" right="0.511811024" top="0.78740157499999996" bottom="0.78740157499999996" header="0.31496062000000002" footer="0.31496062000000002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4</vt:i4>
      </vt:variant>
    </vt:vector>
  </HeadingPairs>
  <TitlesOfParts>
    <vt:vector size="11" baseType="lpstr">
      <vt:lpstr>Programa de Invest</vt:lpstr>
      <vt:lpstr>VAL Unica Sem Inflação</vt:lpstr>
      <vt:lpstr>Multipla sem inflação</vt:lpstr>
      <vt:lpstr>Classificação VAL CIP </vt:lpstr>
      <vt:lpstr>VAR(X) e DP</vt:lpstr>
      <vt:lpstr>Classificação VAL CIP 2 (2)</vt:lpstr>
      <vt:lpstr>Resumo Geral</vt:lpstr>
      <vt:lpstr>'Classificação VAL CIP '!Área_de_Impressão</vt:lpstr>
      <vt:lpstr>'Programa de Invest'!Área_de_Impressão</vt:lpstr>
      <vt:lpstr>'Resumo Geral'!Área_de_Impressão</vt:lpstr>
      <vt:lpstr>'VAR(X) e DP'!Área_de_Impressão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inacio.veracruz</dc:creator>
  <cp:lastModifiedBy>IPR</cp:lastModifiedBy>
  <cp:lastPrinted>2002-01-01T03:55:20Z</cp:lastPrinted>
  <dcterms:created xsi:type="dcterms:W3CDTF">2012-12-11T12:35:34Z</dcterms:created>
  <dcterms:modified xsi:type="dcterms:W3CDTF">2002-01-01T02:02:50Z</dcterms:modified>
</cp:coreProperties>
</file>