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embeddings/oleObject1.bin" ContentType="application/vnd.openxmlformats-officedocument.oleObject"/>
  <Override PartName="/xl/drawings/drawing10.xml" ContentType="application/vnd.openxmlformats-officedocument.drawing+xml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drawings/drawing12.xml" ContentType="application/vnd.openxmlformats-officedocument.drawing+xml"/>
  <Override PartName="/xl/charts/chart2.xml" ContentType="application/vnd.openxmlformats-officedocument.drawingml.chart+xml"/>
  <Override PartName="/xl/drawings/drawing13.xml" ContentType="application/vnd.openxmlformats-officedocument.drawing+xml"/>
  <Override PartName="/xl/charts/chart3.xml" ContentType="application/vnd.openxmlformats-officedocument.drawingml.chart+xml"/>
  <Override PartName="/xl/drawings/drawing1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workbookProtection workbookPassword="ED12" lockStructure="1"/>
  <bookViews>
    <workbookView xWindow="240" yWindow="105" windowWidth="14805" windowHeight="8010" firstSheet="1" activeTab="9"/>
  </bookViews>
  <sheets>
    <sheet name="BALANÇO INCIAL" sheetId="5" r:id="rId1"/>
    <sheet name="Amortização Emprestimo taxa 8,7" sheetId="17" r:id="rId2"/>
    <sheet name="Diario" sheetId="1" r:id="rId3"/>
    <sheet name="Razão" sheetId="2" r:id="rId4"/>
    <sheet name="Balancete" sheetId="6" r:id="rId5"/>
    <sheet name="DRE" sheetId="12" state="hidden" r:id="rId6"/>
    <sheet name="BALANÇO FINAL" sheetId="7" state="hidden" r:id="rId7"/>
    <sheet name="Fluxo de Caixa" sheetId="15" state="hidden" r:id="rId8"/>
    <sheet name="Balanço " sheetId="19" r:id="rId9"/>
    <sheet name="DRN " sheetId="20" r:id="rId10"/>
    <sheet name="Pesquisar Contas" sheetId="11" state="hidden" r:id="rId11"/>
    <sheet name="DFC" sheetId="16" r:id="rId12"/>
    <sheet name="DACP" sheetId="21" r:id="rId13"/>
    <sheet name="Modelo 1B" sheetId="31" r:id="rId14"/>
    <sheet name="Modelo 106" sheetId="32" r:id="rId15"/>
    <sheet name="ANEXO 1" sheetId="18" r:id="rId16"/>
    <sheet name="ANEXO 2" sheetId="29" r:id="rId17"/>
    <sheet name="ANEXO 3" sheetId="22" r:id="rId18"/>
    <sheet name="ANEXO 4" sheetId="28" r:id="rId19"/>
    <sheet name="ANEXO 5" sheetId="25" r:id="rId20"/>
    <sheet name="Grafico Gastos com Pesoal" sheetId="34" r:id="rId21"/>
    <sheet name="Folha2" sheetId="35" r:id="rId22"/>
    <sheet name="Produção Anual" sheetId="36" r:id="rId23"/>
    <sheet name="grafico materia prima consumida" sheetId="37" r:id="rId24"/>
    <sheet name="Folha4" sheetId="38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\a" localSheetId="1">#REF!</definedName>
    <definedName name="\a" localSheetId="6">#REF!</definedName>
    <definedName name="\a">#REF!</definedName>
    <definedName name="\b" localSheetId="6">#REF!</definedName>
    <definedName name="\b">#REF!</definedName>
    <definedName name="\d" localSheetId="6">#REF!</definedName>
    <definedName name="\d">#REF!</definedName>
    <definedName name="_xlnm._FilterDatabase" localSheetId="4" hidden="1">Balancete!$E$1:$L$131</definedName>
    <definedName name="_xlnm._FilterDatabase" localSheetId="2" hidden="1">Diario!$F$318:$J$321</definedName>
    <definedName name="_xlnm._FilterDatabase" localSheetId="10" hidden="1">'Pesquisar Contas'!$A$1:$WVV$371</definedName>
    <definedName name="_xlnm.Print_Area" localSheetId="15">'ANEXO 1'!$A$1:$N$28</definedName>
    <definedName name="_xlnm.Print_Area" localSheetId="17">'ANEXO 3'!$A$1:$J$13</definedName>
    <definedName name="_xlnm.Print_Area" localSheetId="18">'ANEXO 4'!$A$1:$M$26</definedName>
    <definedName name="_xlnm.Print_Area" localSheetId="19">'ANEXO 5'!$A$1:$E$9</definedName>
    <definedName name="_xlnm.Print_Area" localSheetId="4">Balancete!$J$1:$N$39</definedName>
    <definedName name="_xlnm.Print_Area" localSheetId="8">'Balanço '!$A$1:$E$73</definedName>
    <definedName name="_xlnm.Print_Area" localSheetId="11">DFC!$A$1:$F$48</definedName>
    <definedName name="_xlnm.Print_Area" localSheetId="2">Diario!$A$1:$M$430</definedName>
    <definedName name="_xlnm.Print_Area" localSheetId="9">'DRN '!$A$1:$F$30</definedName>
    <definedName name="_xlnm.Print_Area" localSheetId="7">'Fluxo de Caixa'!$A$1:$G$78</definedName>
    <definedName name="_xlnm.Print_Area" localSheetId="10">'Pesquisar Contas'!$A$1:$K$377</definedName>
    <definedName name="_xlnm.Print_Area" localSheetId="3">Razão!$A$1:$AD$155</definedName>
    <definedName name="AS2DocOpenMode" hidden="1">"AS2DocumentEdit"</definedName>
    <definedName name="AS2ReportLS" hidden="1">1</definedName>
    <definedName name="AS2SyncStepLS" hidden="1">0</definedName>
    <definedName name="AS2TickmarkLS" localSheetId="15" hidden="1">#REF!</definedName>
    <definedName name="AS2TickmarkLS" localSheetId="17" hidden="1">#REF!</definedName>
    <definedName name="AS2TickmarkLS" localSheetId="18" hidden="1">#REF!</definedName>
    <definedName name="AS2TickmarkLS" localSheetId="19" hidden="1">#REF!</definedName>
    <definedName name="AS2TickmarkLS" localSheetId="8" hidden="1">#REF!</definedName>
    <definedName name="AS2TickmarkLS" localSheetId="12" hidden="1">#REF!</definedName>
    <definedName name="AS2TickmarkLS" localSheetId="9" hidden="1">#REF!</definedName>
    <definedName name="AS2TickmarkLS" hidden="1">#REF!</definedName>
    <definedName name="AS2VersionLS" hidden="1">300</definedName>
    <definedName name="BALANCO" localSheetId="6">#REF!</definedName>
    <definedName name="BALANCO">#REF!</definedName>
    <definedName name="BG_Del" hidden="1">15</definedName>
    <definedName name="BG_Ins" hidden="1">4</definedName>
    <definedName name="BG_Mod" hidden="1">6</definedName>
    <definedName name="COMBAL" localSheetId="6">#REF!</definedName>
    <definedName name="COMBAL">#REF!</definedName>
    <definedName name="COMBAL2" localSheetId="6">#REF!</definedName>
    <definedName name="COMBAL2">#REF!</definedName>
    <definedName name="DR" localSheetId="6">#REF!</definedName>
    <definedName name="DR">#REF!</definedName>
    <definedName name="DREA" localSheetId="6">#REF!</definedName>
    <definedName name="DREA">#REF!</definedName>
    <definedName name="DREE" localSheetId="6">#REF!</definedName>
    <definedName name="DREE">#REF!</definedName>
    <definedName name="IMOB" localSheetId="6">#REF!</definedName>
    <definedName name="IMOB">#REF!</definedName>
    <definedName name="MOAF" localSheetId="6">#REF!</definedName>
    <definedName name="MOAF">#REF!</definedName>
    <definedName name="NOTA17" localSheetId="6">#REF!</definedName>
    <definedName name="NOTA17">#REF!</definedName>
    <definedName name="NOTA18" localSheetId="6">#REF!</definedName>
    <definedName name="NOTA18">#REF!</definedName>
    <definedName name="NOTA19" localSheetId="6">#REF!</definedName>
    <definedName name="NOTA19">#REF!</definedName>
    <definedName name="NOTA20" localSheetId="6">#REF!</definedName>
    <definedName name="NOTA20">#REF!</definedName>
    <definedName name="NOTA21" localSheetId="6">#REF!</definedName>
    <definedName name="NOTA21">#REF!</definedName>
    <definedName name="NOTA22" localSheetId="6">#REF!</definedName>
    <definedName name="NOTA22">#REF!</definedName>
    <definedName name="nouvequ" localSheetId="1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15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17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18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19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8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12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localSheetId="9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previous">[1]Liste!$I$1</definedName>
    <definedName name="qq" localSheetId="1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15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17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18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19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8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12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localSheetId="9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UADRO1" localSheetId="6">#REF!</definedName>
    <definedName name="QUADRO1">#REF!</definedName>
    <definedName name="QUADRO2" localSheetId="6">#REF!</definedName>
    <definedName name="QUADRO2">#REF!</definedName>
    <definedName name="TAB" localSheetId="6">#REF!</definedName>
    <definedName name="TAB">#REF!</definedName>
    <definedName name="TextRefCopyRangeCount" hidden="1">6</definedName>
    <definedName name="VEFC" localSheetId="6">#REF!</definedName>
    <definedName name="VEFC">#REF!</definedName>
    <definedName name="wrn.ensemblecaractérisation." localSheetId="1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15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17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18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19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8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12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localSheetId="9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localSheetId="1" hidden="1">{"adiamento",#N/A,FALSE,"Apoio";"amortizaçoes",#N/A,FALSE,"Apoio"}</definedName>
    <definedName name="wrn.ESSAI." localSheetId="15" hidden="1">{"adiamento",#N/A,FALSE,"Apoio";"amortizaçoes",#N/A,FALSE,"Apoio"}</definedName>
    <definedName name="wrn.ESSAI." localSheetId="17" hidden="1">{"adiamento",#N/A,FALSE,"Apoio";"amortizaçoes",#N/A,FALSE,"Apoio"}</definedName>
    <definedName name="wrn.ESSAI." localSheetId="18" hidden="1">{"adiamento",#N/A,FALSE,"Apoio";"amortizaçoes",#N/A,FALSE,"Apoio"}</definedName>
    <definedName name="wrn.ESSAI." localSheetId="19" hidden="1">{"adiamento",#N/A,FALSE,"Apoio";"amortizaçoes",#N/A,FALSE,"Apoio"}</definedName>
    <definedName name="wrn.ESSAI." localSheetId="8" hidden="1">{"adiamento",#N/A,FALSE,"Apoio";"amortizaçoes",#N/A,FALSE,"Apoio"}</definedName>
    <definedName name="wrn.ESSAI." localSheetId="12" hidden="1">{"adiamento",#N/A,FALSE,"Apoio";"amortizaçoes",#N/A,FALSE,"Apoio"}</definedName>
    <definedName name="wrn.ESSAI." localSheetId="9" hidden="1">{"adiamento",#N/A,FALSE,"Apoio";"amortizaçoes",#N/A,FALSE,"Apoio"}</definedName>
    <definedName name="wrn.ESSAI." hidden="1">{"adiamento",#N/A,FALSE,"Apoio";"amortizaçoes",#N/A,FALSE,"Apoio"}</definedName>
    <definedName name="wrn.ESSAI2." localSheetId="1" hidden="1">{"ADIAMENTO",#N/A,FALSE,"Apoio";"ENCARGOS",#N/A,FALSE,"Apoio"}</definedName>
    <definedName name="wrn.ESSAI2." localSheetId="15" hidden="1">{"ADIAMENTO",#N/A,FALSE,"Apoio";"ENCARGOS",#N/A,FALSE,"Apoio"}</definedName>
    <definedName name="wrn.ESSAI2." localSheetId="17" hidden="1">{"ADIAMENTO",#N/A,FALSE,"Apoio";"ENCARGOS",#N/A,FALSE,"Apoio"}</definedName>
    <definedName name="wrn.ESSAI2." localSheetId="18" hidden="1">{"ADIAMENTO",#N/A,FALSE,"Apoio";"ENCARGOS",#N/A,FALSE,"Apoio"}</definedName>
    <definedName name="wrn.ESSAI2." localSheetId="19" hidden="1">{"ADIAMENTO",#N/A,FALSE,"Apoio";"ENCARGOS",#N/A,FALSE,"Apoio"}</definedName>
    <definedName name="wrn.ESSAI2." localSheetId="8" hidden="1">{"ADIAMENTO",#N/A,FALSE,"Apoio";"ENCARGOS",#N/A,FALSE,"Apoio"}</definedName>
    <definedName name="wrn.ESSAI2." localSheetId="12" hidden="1">{"ADIAMENTO",#N/A,FALSE,"Apoio";"ENCARGOS",#N/A,FALSE,"Apoio"}</definedName>
    <definedName name="wrn.ESSAI2." localSheetId="9" hidden="1">{"ADIAMENTO",#N/A,FALSE,"Apoio";"ENCARGOS",#N/A,FALSE,"Apoio"}</definedName>
    <definedName name="wrn.ESSAI2." hidden="1">{"ADIAMENTO",#N/A,FALSE,"Apoio";"ENCARGOS",#N/A,FALSE,"Apoio"}</definedName>
    <definedName name="wwwwww" localSheetId="1" hidden="1">{"ADIAMENTO",#N/A,FALSE,"Apoio";"ENCARGOS",#N/A,FALSE,"Apoio"}</definedName>
    <definedName name="wwwwww" localSheetId="15" hidden="1">{"ADIAMENTO",#N/A,FALSE,"Apoio";"ENCARGOS",#N/A,FALSE,"Apoio"}</definedName>
    <definedName name="wwwwww" localSheetId="17" hidden="1">{"ADIAMENTO",#N/A,FALSE,"Apoio";"ENCARGOS",#N/A,FALSE,"Apoio"}</definedName>
    <definedName name="wwwwww" localSheetId="18" hidden="1">{"ADIAMENTO",#N/A,FALSE,"Apoio";"ENCARGOS",#N/A,FALSE,"Apoio"}</definedName>
    <definedName name="wwwwww" localSheetId="19" hidden="1">{"ADIAMENTO",#N/A,FALSE,"Apoio";"ENCARGOS",#N/A,FALSE,"Apoio"}</definedName>
    <definedName name="wwwwww" localSheetId="8" hidden="1">{"ADIAMENTO",#N/A,FALSE,"Apoio";"ENCARGOS",#N/A,FALSE,"Apoio"}</definedName>
    <definedName name="wwwwww" localSheetId="12" hidden="1">{"ADIAMENTO",#N/A,FALSE,"Apoio";"ENCARGOS",#N/A,FALSE,"Apoio"}</definedName>
    <definedName name="wwwwww" localSheetId="9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10</definedName>
    <definedName name="XRefPasteRangeCount" hidden="1">9</definedName>
  </definedNames>
  <calcPr calcId="144525"/>
  <fileRecoveryPr autoRecover="0"/>
</workbook>
</file>

<file path=xl/calcChain.xml><?xml version="1.0" encoding="utf-8"?>
<calcChain xmlns="http://schemas.openxmlformats.org/spreadsheetml/2006/main">
  <c r="E10" i="20" l="1"/>
  <c r="J13" i="6"/>
  <c r="C58" i="17"/>
  <c r="C63" i="17"/>
  <c r="D19" i="17"/>
  <c r="G7" i="37" l="1"/>
  <c r="F4" i="37"/>
  <c r="F7" i="37"/>
  <c r="K64" i="31" l="1"/>
  <c r="C35" i="19"/>
  <c r="C30" i="19"/>
  <c r="F45" i="16"/>
  <c r="F44" i="16"/>
  <c r="F36" i="16"/>
  <c r="F35" i="16"/>
  <c r="F7" i="16"/>
  <c r="F8" i="16"/>
  <c r="F6" i="16"/>
  <c r="E3" i="16"/>
  <c r="E4" i="20"/>
  <c r="E4" i="16" s="1"/>
  <c r="F4" i="20"/>
  <c r="F4" i="16" s="1"/>
  <c r="F26" i="20"/>
  <c r="F24" i="20"/>
  <c r="F21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6" i="20"/>
  <c r="F20" i="20" s="1"/>
  <c r="E61" i="19"/>
  <c r="E62" i="19"/>
  <c r="E63" i="19"/>
  <c r="E60" i="19"/>
  <c r="E52" i="19"/>
  <c r="E36" i="19"/>
  <c r="E37" i="19"/>
  <c r="E38" i="19"/>
  <c r="E39" i="19"/>
  <c r="E40" i="19"/>
  <c r="E41" i="19"/>
  <c r="E42" i="19"/>
  <c r="E43" i="19"/>
  <c r="E44" i="19"/>
  <c r="E45" i="19"/>
  <c r="E46" i="19"/>
  <c r="E35" i="19"/>
  <c r="E22" i="19"/>
  <c r="E23" i="19"/>
  <c r="E24" i="19"/>
  <c r="E25" i="19"/>
  <c r="E26" i="19"/>
  <c r="E27" i="19"/>
  <c r="E28" i="19"/>
  <c r="E29" i="19"/>
  <c r="E30" i="19"/>
  <c r="E20" i="19"/>
  <c r="E21" i="19"/>
  <c r="E19" i="19"/>
  <c r="E7" i="19"/>
  <c r="C15" i="36" l="1"/>
  <c r="D15" i="36"/>
  <c r="C14" i="36"/>
  <c r="C13" i="36"/>
  <c r="D13" i="36" s="1"/>
  <c r="C12" i="36"/>
  <c r="D12" i="36"/>
  <c r="D14" i="36"/>
  <c r="F7" i="35" l="1"/>
  <c r="F5" i="35"/>
  <c r="F6" i="35"/>
  <c r="F4" i="35"/>
  <c r="D7" i="35"/>
  <c r="D6" i="34" l="1"/>
  <c r="D4" i="34"/>
  <c r="D5" i="34"/>
  <c r="D3" i="34"/>
  <c r="C6" i="34"/>
  <c r="Z50" i="32" l="1"/>
  <c r="Z47" i="32"/>
  <c r="M60" i="32"/>
  <c r="AF67" i="31" l="1"/>
  <c r="AF70" i="31"/>
  <c r="AF92" i="31"/>
  <c r="AF125" i="31"/>
  <c r="AF113" i="31"/>
  <c r="AF105" i="31"/>
  <c r="K78" i="31"/>
  <c r="AF76" i="31"/>
  <c r="X73" i="31"/>
  <c r="P73" i="31"/>
  <c r="AF72" i="31"/>
  <c r="AF71" i="31"/>
  <c r="AF73" i="31"/>
  <c r="AF104" i="31" s="1"/>
  <c r="AF107" i="31" s="1"/>
  <c r="AF55" i="31"/>
  <c r="AF48" i="31"/>
  <c r="AF34" i="31"/>
  <c r="AF33" i="31"/>
  <c r="B10" i="29" l="1"/>
  <c r="D21" i="19"/>
  <c r="V155" i="2"/>
  <c r="K4" i="6" s="1"/>
  <c r="J4" i="6"/>
  <c r="V145" i="2"/>
  <c r="V154" i="2" s="1"/>
  <c r="V144" i="2"/>
  <c r="L319" i="1"/>
  <c r="L324" i="1"/>
  <c r="J326" i="1"/>
  <c r="J325" i="1" s="1"/>
  <c r="W145" i="2"/>
  <c r="W154" i="2" s="1"/>
  <c r="I85" i="1"/>
  <c r="Y77" i="31" l="1"/>
  <c r="Y78" i="31" s="1"/>
  <c r="E9" i="37"/>
  <c r="J87" i="1"/>
  <c r="J91" i="1"/>
  <c r="I90" i="1" s="1"/>
  <c r="D19" i="19"/>
  <c r="E6" i="37" l="1"/>
  <c r="E4" i="37"/>
  <c r="E5" i="37"/>
  <c r="M8" i="28"/>
  <c r="E7" i="37" l="1"/>
  <c r="K26" i="28"/>
  <c r="J26" i="28"/>
  <c r="I26" i="28"/>
  <c r="F26" i="28"/>
  <c r="E26" i="28"/>
  <c r="D26" i="28"/>
  <c r="M25" i="28"/>
  <c r="M23" i="28"/>
  <c r="M22" i="28"/>
  <c r="M20" i="28"/>
  <c r="M19" i="28"/>
  <c r="M18" i="28"/>
  <c r="M17" i="28"/>
  <c r="M16" i="28"/>
  <c r="L15" i="28"/>
  <c r="K15" i="28"/>
  <c r="J15" i="28"/>
  <c r="I15" i="28"/>
  <c r="H15" i="28"/>
  <c r="G15" i="28"/>
  <c r="F15" i="28"/>
  <c r="E15" i="28"/>
  <c r="D15" i="28"/>
  <c r="M14" i="28"/>
  <c r="M13" i="28"/>
  <c r="M12" i="28"/>
  <c r="M11" i="28"/>
  <c r="M10" i="28"/>
  <c r="M9" i="28"/>
  <c r="M7" i="28"/>
  <c r="M6" i="28"/>
  <c r="M5" i="28"/>
  <c r="D9" i="25"/>
  <c r="D8" i="25"/>
  <c r="D6" i="25"/>
  <c r="J13" i="22"/>
  <c r="I13" i="22"/>
  <c r="H13" i="22"/>
  <c r="F13" i="22"/>
  <c r="J12" i="22"/>
  <c r="I12" i="22"/>
  <c r="H12" i="22"/>
  <c r="G12" i="22"/>
  <c r="F12" i="22"/>
  <c r="E12" i="22"/>
  <c r="J11" i="22"/>
  <c r="G11" i="22"/>
  <c r="J10" i="22"/>
  <c r="I10" i="22"/>
  <c r="H10" i="22"/>
  <c r="F10" i="22"/>
  <c r="J9" i="22"/>
  <c r="G9" i="22"/>
  <c r="J8" i="22"/>
  <c r="G8" i="22"/>
  <c r="J7" i="22"/>
  <c r="J6" i="22"/>
  <c r="I6" i="22"/>
  <c r="H6" i="22"/>
  <c r="F6" i="22"/>
  <c r="J5" i="22"/>
  <c r="G5" i="22"/>
  <c r="J4" i="22"/>
  <c r="M28" i="18"/>
  <c r="L28" i="18"/>
  <c r="K28" i="18"/>
  <c r="G28" i="18"/>
  <c r="F28" i="18"/>
  <c r="E28" i="18"/>
  <c r="M27" i="18"/>
  <c r="L27" i="18"/>
  <c r="K27" i="18"/>
  <c r="G27" i="18"/>
  <c r="F27" i="18"/>
  <c r="E27" i="18"/>
  <c r="M26" i="18"/>
  <c r="L26" i="18"/>
  <c r="K26" i="18"/>
  <c r="G26" i="18"/>
  <c r="F26" i="18"/>
  <c r="E26" i="18"/>
  <c r="N25" i="18"/>
  <c r="N24" i="18"/>
  <c r="N23" i="18"/>
  <c r="N22" i="18"/>
  <c r="N21" i="18"/>
  <c r="N20" i="18"/>
  <c r="N19" i="18"/>
  <c r="N18" i="18"/>
  <c r="M17" i="18"/>
  <c r="L17" i="18"/>
  <c r="K17" i="18"/>
  <c r="G17" i="18"/>
  <c r="F17" i="18"/>
  <c r="E17" i="18"/>
  <c r="M16" i="18"/>
  <c r="L16" i="18"/>
  <c r="K16" i="18"/>
  <c r="G16" i="18"/>
  <c r="F16" i="18"/>
  <c r="E16" i="18"/>
  <c r="M15" i="18"/>
  <c r="L15" i="18"/>
  <c r="K15" i="18"/>
  <c r="G15" i="18"/>
  <c r="F15" i="18"/>
  <c r="E15" i="18"/>
  <c r="N14" i="18"/>
  <c r="N12" i="18"/>
  <c r="N11" i="18"/>
  <c r="N10" i="18"/>
  <c r="N9" i="18"/>
  <c r="N8" i="18"/>
  <c r="N7" i="18"/>
  <c r="M6" i="18"/>
  <c r="L6" i="18"/>
  <c r="K6" i="18"/>
  <c r="G6" i="18"/>
  <c r="F6" i="18"/>
  <c r="E6" i="18"/>
  <c r="N5" i="18"/>
  <c r="M26" i="21"/>
  <c r="L26" i="21"/>
  <c r="K26" i="21"/>
  <c r="J26" i="21"/>
  <c r="G26" i="21"/>
  <c r="F26" i="21"/>
  <c r="E26" i="21"/>
  <c r="P25" i="21"/>
  <c r="O25" i="21"/>
  <c r="M25" i="21"/>
  <c r="L25" i="21"/>
  <c r="K25" i="21"/>
  <c r="J25" i="21"/>
  <c r="I25" i="21"/>
  <c r="H25" i="21"/>
  <c r="G25" i="21"/>
  <c r="F25" i="21"/>
  <c r="E25" i="21"/>
  <c r="Q24" i="21"/>
  <c r="Q23" i="21"/>
  <c r="Q22" i="21"/>
  <c r="Q21" i="21"/>
  <c r="Q18" i="21"/>
  <c r="O18" i="21"/>
  <c r="N18" i="21"/>
  <c r="P17" i="21"/>
  <c r="P18" i="21" s="1"/>
  <c r="Q16" i="21"/>
  <c r="P16" i="21"/>
  <c r="O16" i="21"/>
  <c r="N16" i="21"/>
  <c r="M16" i="21"/>
  <c r="L16" i="21"/>
  <c r="K16" i="21"/>
  <c r="J16" i="21"/>
  <c r="I16" i="21"/>
  <c r="H16" i="21"/>
  <c r="G16" i="21"/>
  <c r="F16" i="21"/>
  <c r="E16" i="21"/>
  <c r="D16" i="21"/>
  <c r="Q15" i="21"/>
  <c r="Q14" i="21"/>
  <c r="Q13" i="21"/>
  <c r="Q12" i="21"/>
  <c r="Q11" i="21"/>
  <c r="Q10" i="21"/>
  <c r="Q9" i="21"/>
  <c r="Q7" i="21"/>
  <c r="F40" i="16"/>
  <c r="F26" i="16"/>
  <c r="E26" i="16"/>
  <c r="F9" i="16"/>
  <c r="F12" i="16" s="1"/>
  <c r="E68" i="19"/>
  <c r="E56" i="19"/>
  <c r="E47" i="19"/>
  <c r="E31" i="19"/>
  <c r="E17" i="19"/>
  <c r="H304" i="11"/>
  <c r="H303" i="11"/>
  <c r="I247" i="11"/>
  <c r="G228" i="11"/>
  <c r="G227" i="11"/>
  <c r="H226" i="11"/>
  <c r="G226" i="11"/>
  <c r="H225" i="11"/>
  <c r="G225" i="11"/>
  <c r="H177" i="11"/>
  <c r="I178" i="11" s="1"/>
  <c r="H174" i="11"/>
  <c r="H173" i="11"/>
  <c r="H172" i="11"/>
  <c r="H171" i="11"/>
  <c r="H170" i="11"/>
  <c r="H169" i="11"/>
  <c r="H168" i="11"/>
  <c r="H167" i="11"/>
  <c r="G165" i="11"/>
  <c r="G164" i="11"/>
  <c r="G163" i="11"/>
  <c r="G161" i="11"/>
  <c r="G160" i="11"/>
  <c r="G159" i="11"/>
  <c r="H158" i="11"/>
  <c r="I164" i="11" s="1"/>
  <c r="H163" i="11" s="1"/>
  <c r="G158" i="11"/>
  <c r="G156" i="11"/>
  <c r="G155" i="11"/>
  <c r="H154" i="11"/>
  <c r="G154" i="11"/>
  <c r="H153" i="11"/>
  <c r="G153" i="11"/>
  <c r="G148" i="11"/>
  <c r="H147" i="11"/>
  <c r="H146" i="11"/>
  <c r="G146" i="11"/>
  <c r="G143" i="11"/>
  <c r="G142" i="11"/>
  <c r="G139" i="11"/>
  <c r="G138" i="11"/>
  <c r="G137" i="11"/>
  <c r="G136" i="11"/>
  <c r="G133" i="11"/>
  <c r="G132" i="11"/>
  <c r="G129" i="11"/>
  <c r="G128" i="11"/>
  <c r="G127" i="11"/>
  <c r="G126" i="11"/>
  <c r="G123" i="11"/>
  <c r="H122" i="11"/>
  <c r="H197" i="11" s="1"/>
  <c r="I198" i="11" s="1"/>
  <c r="G122" i="11"/>
  <c r="I119" i="11"/>
  <c r="I118" i="11"/>
  <c r="H137" i="11" s="1"/>
  <c r="H212" i="11" s="1"/>
  <c r="G118" i="11"/>
  <c r="I117" i="11"/>
  <c r="G113" i="11"/>
  <c r="H112" i="11"/>
  <c r="H187" i="11" s="1"/>
  <c r="I109" i="11"/>
  <c r="I108" i="11"/>
  <c r="I183" i="11" s="1"/>
  <c r="I107" i="11"/>
  <c r="I182" i="11" s="1"/>
  <c r="G103" i="11"/>
  <c r="H102" i="11"/>
  <c r="I103" i="11" s="1"/>
  <c r="G99" i="11"/>
  <c r="H98" i="11"/>
  <c r="H97" i="11"/>
  <c r="H96" i="11"/>
  <c r="H94" i="11"/>
  <c r="H93" i="11"/>
  <c r="G93" i="11"/>
  <c r="H92" i="11"/>
  <c r="G92" i="11"/>
  <c r="H91" i="11"/>
  <c r="G91" i="11"/>
  <c r="G88" i="11"/>
  <c r="G87" i="11"/>
  <c r="I84" i="11"/>
  <c r="I83" i="11" s="1"/>
  <c r="G82" i="11"/>
  <c r="G77" i="11"/>
  <c r="H76" i="11"/>
  <c r="G76" i="11"/>
  <c r="H75" i="11"/>
  <c r="G72" i="11"/>
  <c r="I71" i="11"/>
  <c r="I67" i="11"/>
  <c r="G67" i="11"/>
  <c r="G64" i="11"/>
  <c r="H63" i="11"/>
  <c r="I64" i="11" s="1"/>
  <c r="G61" i="11"/>
  <c r="H60" i="11"/>
  <c r="G60" i="11"/>
  <c r="H59" i="11"/>
  <c r="G56" i="11"/>
  <c r="H55" i="11"/>
  <c r="G55" i="11"/>
  <c r="H54" i="11"/>
  <c r="G51" i="11"/>
  <c r="H50" i="11"/>
  <c r="I51" i="11" s="1"/>
  <c r="G47" i="11"/>
  <c r="H46" i="11"/>
  <c r="H45" i="11"/>
  <c r="I42" i="11"/>
  <c r="G42" i="11"/>
  <c r="H41" i="11"/>
  <c r="G38" i="11"/>
  <c r="H37" i="11"/>
  <c r="H34" i="11"/>
  <c r="H31" i="11"/>
  <c r="G28" i="11"/>
  <c r="H27" i="11"/>
  <c r="H23" i="11"/>
  <c r="G17" i="11"/>
  <c r="I13" i="11"/>
  <c r="G13" i="11"/>
  <c r="I12" i="11"/>
  <c r="G12" i="11"/>
  <c r="I11" i="11"/>
  <c r="G11" i="11"/>
  <c r="I10" i="11"/>
  <c r="G10" i="11"/>
  <c r="F22" i="20"/>
  <c r="F25" i="20" s="1"/>
  <c r="F27" i="20" s="1"/>
  <c r="D29" i="15"/>
  <c r="E11" i="15"/>
  <c r="F44" i="7"/>
  <c r="F12" i="7"/>
  <c r="C58" i="12"/>
  <c r="C53" i="12"/>
  <c r="F22" i="7" s="1"/>
  <c r="J37" i="6"/>
  <c r="J36" i="6"/>
  <c r="J35" i="6"/>
  <c r="J34" i="6"/>
  <c r="J33" i="6"/>
  <c r="J32" i="6"/>
  <c r="J31" i="6"/>
  <c r="J30" i="6"/>
  <c r="J28" i="6"/>
  <c r="J27" i="6"/>
  <c r="J26" i="6"/>
  <c r="J25" i="6"/>
  <c r="J24" i="6"/>
  <c r="J23" i="6"/>
  <c r="J22" i="6"/>
  <c r="J20" i="6"/>
  <c r="J19" i="6"/>
  <c r="J18" i="6"/>
  <c r="J17" i="6"/>
  <c r="J16" i="6"/>
  <c r="J15" i="6"/>
  <c r="J14" i="6"/>
  <c r="J12" i="6"/>
  <c r="J11" i="6"/>
  <c r="J9" i="6"/>
  <c r="J8" i="6"/>
  <c r="J7" i="6"/>
  <c r="J6" i="6"/>
  <c r="J5" i="6"/>
  <c r="J3" i="6"/>
  <c r="J2" i="6"/>
  <c r="F148" i="2"/>
  <c r="R147" i="2"/>
  <c r="V143" i="2"/>
  <c r="V128" i="2"/>
  <c r="R111" i="2"/>
  <c r="J111" i="2"/>
  <c r="R110" i="2"/>
  <c r="J110" i="2"/>
  <c r="R107" i="2"/>
  <c r="O107" i="2"/>
  <c r="O115" i="2" s="1"/>
  <c r="N119" i="2" s="1"/>
  <c r="N128" i="2" s="1"/>
  <c r="I410" i="1" s="1"/>
  <c r="J411" i="1" s="1"/>
  <c r="Z106" i="2"/>
  <c r="V106" i="2"/>
  <c r="R106" i="2"/>
  <c r="N106" i="2"/>
  <c r="J106" i="2"/>
  <c r="F106" i="2"/>
  <c r="B106" i="2"/>
  <c r="R98" i="2"/>
  <c r="N98" i="2"/>
  <c r="B98" i="2"/>
  <c r="V97" i="2"/>
  <c r="R97" i="2"/>
  <c r="N97" i="2"/>
  <c r="G97" i="2"/>
  <c r="B97" i="2"/>
  <c r="V96" i="2"/>
  <c r="G96" i="2"/>
  <c r="N95" i="2"/>
  <c r="R94" i="2"/>
  <c r="B94" i="2"/>
  <c r="Z93" i="2"/>
  <c r="V93" i="2"/>
  <c r="R93" i="2"/>
  <c r="N93" i="2"/>
  <c r="J93" i="2"/>
  <c r="F93" i="2"/>
  <c r="B93" i="2"/>
  <c r="V85" i="2"/>
  <c r="R85" i="2"/>
  <c r="V84" i="2"/>
  <c r="R84" i="2"/>
  <c r="N82" i="2"/>
  <c r="N90" i="2" s="1"/>
  <c r="Z81" i="2"/>
  <c r="V81" i="2"/>
  <c r="J21" i="6" s="1"/>
  <c r="R81" i="2"/>
  <c r="N81" i="2"/>
  <c r="J81" i="2"/>
  <c r="F81" i="2"/>
  <c r="B81" i="2"/>
  <c r="R48" i="2"/>
  <c r="R47" i="2"/>
  <c r="K45" i="2"/>
  <c r="K62" i="2" s="1"/>
  <c r="Z44" i="2"/>
  <c r="V44" i="2"/>
  <c r="R44" i="2"/>
  <c r="G35" i="2"/>
  <c r="G10" i="2"/>
  <c r="G5" i="2"/>
  <c r="B2" i="2" s="1"/>
  <c r="G4" i="2"/>
  <c r="C2" i="2"/>
  <c r="Z1" i="2"/>
  <c r="V1" i="2"/>
  <c r="R1" i="2"/>
  <c r="J1" i="2"/>
  <c r="H407" i="1" s="1"/>
  <c r="H415" i="1"/>
  <c r="H411" i="1"/>
  <c r="H410" i="1"/>
  <c r="H406" i="1"/>
  <c r="H414" i="1" s="1"/>
  <c r="H403" i="1"/>
  <c r="H402" i="1"/>
  <c r="H398" i="1"/>
  <c r="H394" i="1"/>
  <c r="H399" i="1" s="1"/>
  <c r="H392" i="1"/>
  <c r="H391" i="1"/>
  <c r="H389" i="1"/>
  <c r="H388" i="1"/>
  <c r="B6" i="2"/>
  <c r="C7" i="2" s="1"/>
  <c r="F7" i="2" s="1"/>
  <c r="J320" i="1"/>
  <c r="G34" i="2" s="1"/>
  <c r="J257" i="1"/>
  <c r="G28" i="2" s="1"/>
  <c r="I240" i="1"/>
  <c r="B5" i="2" s="1"/>
  <c r="C6" i="2" s="1"/>
  <c r="F6" i="2" s="1"/>
  <c r="J237" i="1"/>
  <c r="G26" i="2" s="1"/>
  <c r="I188" i="1"/>
  <c r="R46" i="2" s="1"/>
  <c r="I184" i="1"/>
  <c r="J109" i="2" s="1"/>
  <c r="I183" i="1"/>
  <c r="V83" i="2" s="1"/>
  <c r="I182" i="1"/>
  <c r="V95" i="2" s="1"/>
  <c r="I181" i="1"/>
  <c r="N96" i="2" s="1"/>
  <c r="I180" i="1"/>
  <c r="R83" i="2" s="1"/>
  <c r="I179" i="1"/>
  <c r="B96" i="2" s="1"/>
  <c r="I178" i="1"/>
  <c r="R109" i="2" s="1"/>
  <c r="I177" i="1"/>
  <c r="R96" i="2" s="1"/>
  <c r="H175" i="1"/>
  <c r="H171" i="1"/>
  <c r="H170" i="1"/>
  <c r="H169" i="1"/>
  <c r="I168" i="1"/>
  <c r="B4" i="2" s="1"/>
  <c r="C5" i="2" s="1"/>
  <c r="F5" i="2" s="1"/>
  <c r="H166" i="1"/>
  <c r="H238" i="1" s="1"/>
  <c r="J165" i="1"/>
  <c r="G27" i="2" s="1"/>
  <c r="H163" i="1"/>
  <c r="H235" i="1" s="1"/>
  <c r="H160" i="1"/>
  <c r="H159" i="1"/>
  <c r="H306" i="1" s="1"/>
  <c r="H390" i="1" s="1"/>
  <c r="H157" i="1"/>
  <c r="H141" i="1"/>
  <c r="H139" i="1"/>
  <c r="H131" i="1"/>
  <c r="H130" i="1"/>
  <c r="H129" i="1"/>
  <c r="I125" i="1"/>
  <c r="Z95" i="2" s="1"/>
  <c r="H125" i="1"/>
  <c r="J122" i="1"/>
  <c r="AA47" i="2" s="1"/>
  <c r="Z47" i="2" s="1"/>
  <c r="J121" i="1"/>
  <c r="W46" i="2" s="1"/>
  <c r="H121" i="1"/>
  <c r="H140" i="1" s="1"/>
  <c r="J120" i="1"/>
  <c r="AA107" i="2" s="1"/>
  <c r="H116" i="1"/>
  <c r="H135" i="1" s="1"/>
  <c r="I115" i="1"/>
  <c r="Z94" i="2" s="1"/>
  <c r="J112" i="1"/>
  <c r="AA45" i="2" s="1"/>
  <c r="J111" i="1"/>
  <c r="W45" i="2" s="1"/>
  <c r="J110" i="1"/>
  <c r="J193" i="1" s="1"/>
  <c r="H106" i="1"/>
  <c r="I105" i="1"/>
  <c r="R45" i="2" s="1"/>
  <c r="I101" i="1"/>
  <c r="J108" i="2" s="1"/>
  <c r="I100" i="1"/>
  <c r="V82" i="2" s="1"/>
  <c r="I99" i="1"/>
  <c r="V94" i="2" s="1"/>
  <c r="I97" i="1"/>
  <c r="R82" i="2" s="1"/>
  <c r="R90" i="2" s="1"/>
  <c r="S90" i="2" s="1"/>
  <c r="J126" i="2" s="1"/>
  <c r="I96" i="1"/>
  <c r="B95" i="2" s="1"/>
  <c r="B102" i="2" s="1"/>
  <c r="H96" i="1"/>
  <c r="I95" i="1"/>
  <c r="R108" i="2" s="1"/>
  <c r="H95" i="1"/>
  <c r="I94" i="1"/>
  <c r="R95" i="2" s="1"/>
  <c r="R102" i="2" s="1"/>
  <c r="H94" i="1"/>
  <c r="B3" i="2"/>
  <c r="J77" i="1"/>
  <c r="G14" i="2" s="1"/>
  <c r="J71" i="1"/>
  <c r="G13" i="2" s="1"/>
  <c r="J67" i="1"/>
  <c r="G12" i="2" s="1"/>
  <c r="I62" i="1"/>
  <c r="J107" i="2" s="1"/>
  <c r="J59" i="1"/>
  <c r="C3" i="2" s="1"/>
  <c r="H53" i="1"/>
  <c r="H58" i="1" s="1"/>
  <c r="I52" i="1"/>
  <c r="B107" i="2" s="1"/>
  <c r="B115" i="2" s="1"/>
  <c r="I48" i="1"/>
  <c r="N94" i="2" s="1"/>
  <c r="H45" i="1"/>
  <c r="H59" i="1" s="1"/>
  <c r="H85" i="1" s="1"/>
  <c r="I43" i="1"/>
  <c r="J94" i="2" s="1"/>
  <c r="J102" i="2" s="1"/>
  <c r="J40" i="1"/>
  <c r="G8" i="2" s="1"/>
  <c r="F94" i="2" s="1"/>
  <c r="F102" i="2" s="1"/>
  <c r="I35" i="1"/>
  <c r="I31" i="1"/>
  <c r="J82" i="2" s="1"/>
  <c r="I27" i="1"/>
  <c r="F82" i="2" s="1"/>
  <c r="H24" i="1"/>
  <c r="H36" i="1" s="1"/>
  <c r="H40" i="1" s="1"/>
  <c r="H49" i="1" s="1"/>
  <c r="H54" i="1" s="1"/>
  <c r="H63" i="1" s="1"/>
  <c r="I23" i="1"/>
  <c r="I15" i="1"/>
  <c r="H13" i="1"/>
  <c r="J9" i="1"/>
  <c r="H9" i="1"/>
  <c r="J8" i="1"/>
  <c r="H8" i="1"/>
  <c r="I7" i="1"/>
  <c r="J4" i="1"/>
  <c r="O2" i="2" s="1"/>
  <c r="N45" i="2" s="1"/>
  <c r="A327" i="17"/>
  <c r="A326" i="17"/>
  <c r="A325" i="17"/>
  <c r="A324" i="17"/>
  <c r="A323" i="17"/>
  <c r="A322" i="17"/>
  <c r="A321" i="17"/>
  <c r="A320" i="17"/>
  <c r="A319" i="17"/>
  <c r="A318" i="17"/>
  <c r="A317" i="17"/>
  <c r="A316" i="17"/>
  <c r="A315" i="17"/>
  <c r="A314" i="17"/>
  <c r="A313" i="17"/>
  <c r="A312" i="17"/>
  <c r="A311" i="17"/>
  <c r="A310" i="17"/>
  <c r="A309" i="17"/>
  <c r="A308" i="17"/>
  <c r="A307" i="17"/>
  <c r="A306" i="17"/>
  <c r="A305" i="17"/>
  <c r="A304" i="17"/>
  <c r="A303" i="17"/>
  <c r="A302" i="17"/>
  <c r="A301" i="17"/>
  <c r="A300" i="17"/>
  <c r="A299" i="17"/>
  <c r="L298" i="17"/>
  <c r="A298" i="17"/>
  <c r="L297" i="17"/>
  <c r="A297" i="17"/>
  <c r="L296" i="17"/>
  <c r="A296" i="17"/>
  <c r="L295" i="17"/>
  <c r="A295" i="17"/>
  <c r="L294" i="17"/>
  <c r="A294" i="17"/>
  <c r="L293" i="17"/>
  <c r="A293" i="17"/>
  <c r="L292" i="17"/>
  <c r="A292" i="17"/>
  <c r="L291" i="17"/>
  <c r="A291" i="17"/>
  <c r="L290" i="17"/>
  <c r="A290" i="17"/>
  <c r="L289" i="17"/>
  <c r="A289" i="17"/>
  <c r="L288" i="17"/>
  <c r="A288" i="17"/>
  <c r="L287" i="17"/>
  <c r="A287" i="17"/>
  <c r="L286" i="17"/>
  <c r="A286" i="17"/>
  <c r="L285" i="17"/>
  <c r="A285" i="17"/>
  <c r="L284" i="17"/>
  <c r="A284" i="17"/>
  <c r="L283" i="17"/>
  <c r="A283" i="17"/>
  <c r="L282" i="17"/>
  <c r="A282" i="17"/>
  <c r="L281" i="17"/>
  <c r="A281" i="17"/>
  <c r="L280" i="17"/>
  <c r="A280" i="17"/>
  <c r="L279" i="17"/>
  <c r="A279" i="17"/>
  <c r="L278" i="17"/>
  <c r="A278" i="17"/>
  <c r="L277" i="17"/>
  <c r="A277" i="17"/>
  <c r="L276" i="17"/>
  <c r="A276" i="17"/>
  <c r="L275" i="17"/>
  <c r="A275" i="17"/>
  <c r="L274" i="17"/>
  <c r="A274" i="17"/>
  <c r="L273" i="17"/>
  <c r="A273" i="17"/>
  <c r="L272" i="17"/>
  <c r="A272" i="17"/>
  <c r="L271" i="17"/>
  <c r="A271" i="17"/>
  <c r="L270" i="17"/>
  <c r="A270" i="17"/>
  <c r="L269" i="17"/>
  <c r="A269" i="17"/>
  <c r="L268" i="17"/>
  <c r="A268" i="17"/>
  <c r="L267" i="17"/>
  <c r="A267" i="17"/>
  <c r="L266" i="17"/>
  <c r="A266" i="17"/>
  <c r="L265" i="17"/>
  <c r="A265" i="17"/>
  <c r="L264" i="17"/>
  <c r="A264" i="17"/>
  <c r="L263" i="17"/>
  <c r="A263" i="17"/>
  <c r="L262" i="17"/>
  <c r="A262" i="17"/>
  <c r="L261" i="17"/>
  <c r="A261" i="17"/>
  <c r="L260" i="17"/>
  <c r="A260" i="17"/>
  <c r="L259" i="17"/>
  <c r="A259" i="17"/>
  <c r="L258" i="17"/>
  <c r="A258" i="17"/>
  <c r="L257" i="17"/>
  <c r="A257" i="17"/>
  <c r="L256" i="17"/>
  <c r="A256" i="17"/>
  <c r="L255" i="17"/>
  <c r="A255" i="17"/>
  <c r="L254" i="17"/>
  <c r="A254" i="17"/>
  <c r="L253" i="17"/>
  <c r="A253" i="17"/>
  <c r="L252" i="17"/>
  <c r="A252" i="17"/>
  <c r="L251" i="17"/>
  <c r="A251" i="17"/>
  <c r="L250" i="17"/>
  <c r="A250" i="17"/>
  <c r="L249" i="17"/>
  <c r="A249" i="17"/>
  <c r="L248" i="17"/>
  <c r="A248" i="17"/>
  <c r="L247" i="17"/>
  <c r="A247" i="17"/>
  <c r="L246" i="17"/>
  <c r="A246" i="17"/>
  <c r="L245" i="17"/>
  <c r="A245" i="17"/>
  <c r="L244" i="17"/>
  <c r="A244" i="17"/>
  <c r="L243" i="17"/>
  <c r="A243" i="17"/>
  <c r="L242" i="17"/>
  <c r="A242" i="17"/>
  <c r="L241" i="17"/>
  <c r="A241" i="17"/>
  <c r="L240" i="17"/>
  <c r="A240" i="17"/>
  <c r="L239" i="17"/>
  <c r="A239" i="17"/>
  <c r="L238" i="17"/>
  <c r="A238" i="17"/>
  <c r="L237" i="17"/>
  <c r="A237" i="17"/>
  <c r="L236" i="17"/>
  <c r="A236" i="17"/>
  <c r="L235" i="17"/>
  <c r="A235" i="17"/>
  <c r="L234" i="17"/>
  <c r="A234" i="17"/>
  <c r="L233" i="17"/>
  <c r="A233" i="17"/>
  <c r="L232" i="17"/>
  <c r="A232" i="17"/>
  <c r="L231" i="17"/>
  <c r="A231" i="17"/>
  <c r="L230" i="17"/>
  <c r="A230" i="17"/>
  <c r="L229" i="17"/>
  <c r="A229" i="17"/>
  <c r="L228" i="17"/>
  <c r="A228" i="17"/>
  <c r="L227" i="17"/>
  <c r="A227" i="17"/>
  <c r="L226" i="17"/>
  <c r="A226" i="17"/>
  <c r="L225" i="17"/>
  <c r="A225" i="17"/>
  <c r="L224" i="17"/>
  <c r="A224" i="17"/>
  <c r="L223" i="17"/>
  <c r="A223" i="17"/>
  <c r="L222" i="17"/>
  <c r="A222" i="17"/>
  <c r="L221" i="17"/>
  <c r="A221" i="17"/>
  <c r="L220" i="17"/>
  <c r="A220" i="17"/>
  <c r="L219" i="17"/>
  <c r="A219" i="17"/>
  <c r="L218" i="17"/>
  <c r="A218" i="17"/>
  <c r="L217" i="17"/>
  <c r="A217" i="17"/>
  <c r="L216" i="17"/>
  <c r="A216" i="17"/>
  <c r="L215" i="17"/>
  <c r="A215" i="17"/>
  <c r="L214" i="17"/>
  <c r="A214" i="17"/>
  <c r="L213" i="17"/>
  <c r="A213" i="17"/>
  <c r="L212" i="17"/>
  <c r="A212" i="17"/>
  <c r="L211" i="17"/>
  <c r="A211" i="17"/>
  <c r="L210" i="17"/>
  <c r="A210" i="17"/>
  <c r="L209" i="17"/>
  <c r="A209" i="17"/>
  <c r="L208" i="17"/>
  <c r="A208" i="17"/>
  <c r="L207" i="17"/>
  <c r="A207" i="17"/>
  <c r="L206" i="17"/>
  <c r="A206" i="17"/>
  <c r="L205" i="17"/>
  <c r="A205" i="17"/>
  <c r="L204" i="17"/>
  <c r="A204" i="17"/>
  <c r="L203" i="17"/>
  <c r="A203" i="17"/>
  <c r="L202" i="17"/>
  <c r="A202" i="17"/>
  <c r="L201" i="17"/>
  <c r="A201" i="17"/>
  <c r="L200" i="17"/>
  <c r="A200" i="17"/>
  <c r="L199" i="17"/>
  <c r="A199" i="17"/>
  <c r="L198" i="17"/>
  <c r="A198" i="17"/>
  <c r="L197" i="17"/>
  <c r="A197" i="17"/>
  <c r="L196" i="17"/>
  <c r="A196" i="17"/>
  <c r="L195" i="17"/>
  <c r="A195" i="17"/>
  <c r="L194" i="17"/>
  <c r="A194" i="17"/>
  <c r="L193" i="17"/>
  <c r="A193" i="17"/>
  <c r="L192" i="17"/>
  <c r="A192" i="17"/>
  <c r="L191" i="17"/>
  <c r="A191" i="17"/>
  <c r="L190" i="17"/>
  <c r="A190" i="17"/>
  <c r="L189" i="17"/>
  <c r="A189" i="17"/>
  <c r="L188" i="17"/>
  <c r="A188" i="17"/>
  <c r="L187" i="17"/>
  <c r="A187" i="17"/>
  <c r="L186" i="17"/>
  <c r="A186" i="17"/>
  <c r="L185" i="17"/>
  <c r="A185" i="17"/>
  <c r="L184" i="17"/>
  <c r="A184" i="17"/>
  <c r="L183" i="17"/>
  <c r="A183" i="17"/>
  <c r="L182" i="17"/>
  <c r="A182" i="17"/>
  <c r="L181" i="17"/>
  <c r="A181" i="17"/>
  <c r="L180" i="17"/>
  <c r="A180" i="17"/>
  <c r="L179" i="17"/>
  <c r="A179" i="17"/>
  <c r="L178" i="17"/>
  <c r="A178" i="17"/>
  <c r="L177" i="17"/>
  <c r="A177" i="17"/>
  <c r="L176" i="17"/>
  <c r="A176" i="17"/>
  <c r="L175" i="17"/>
  <c r="A175" i="17"/>
  <c r="L174" i="17"/>
  <c r="A174" i="17"/>
  <c r="L173" i="17"/>
  <c r="A173" i="17"/>
  <c r="L172" i="17"/>
  <c r="A172" i="17"/>
  <c r="L171" i="17"/>
  <c r="A171" i="17"/>
  <c r="L170" i="17"/>
  <c r="A170" i="17"/>
  <c r="L169" i="17"/>
  <c r="A169" i="17"/>
  <c r="L168" i="17"/>
  <c r="A168" i="17"/>
  <c r="L167" i="17"/>
  <c r="A167" i="17"/>
  <c r="L166" i="17"/>
  <c r="A166" i="17"/>
  <c r="L165" i="17"/>
  <c r="A165" i="17"/>
  <c r="L164" i="17"/>
  <c r="A164" i="17"/>
  <c r="L163" i="17"/>
  <c r="A163" i="17"/>
  <c r="L162" i="17"/>
  <c r="A162" i="17"/>
  <c r="L161" i="17"/>
  <c r="A161" i="17"/>
  <c r="L160" i="17"/>
  <c r="A160" i="17"/>
  <c r="L159" i="17"/>
  <c r="A159" i="17"/>
  <c r="L158" i="17"/>
  <c r="A158" i="17"/>
  <c r="L157" i="17"/>
  <c r="A157" i="17"/>
  <c r="L156" i="17"/>
  <c r="A156" i="17"/>
  <c r="L155" i="17"/>
  <c r="A155" i="17"/>
  <c r="L154" i="17"/>
  <c r="A154" i="17"/>
  <c r="L153" i="17"/>
  <c r="A153" i="17"/>
  <c r="L152" i="17"/>
  <c r="A152" i="17"/>
  <c r="L151" i="17"/>
  <c r="A151" i="17"/>
  <c r="L150" i="17"/>
  <c r="A150" i="17"/>
  <c r="L149" i="17"/>
  <c r="A149" i="17"/>
  <c r="L148" i="17"/>
  <c r="A148" i="17"/>
  <c r="L147" i="17"/>
  <c r="A147" i="17"/>
  <c r="L146" i="17"/>
  <c r="A146" i="17"/>
  <c r="L145" i="17"/>
  <c r="A145" i="17"/>
  <c r="L144" i="17"/>
  <c r="A144" i="17"/>
  <c r="L143" i="17"/>
  <c r="A143" i="17"/>
  <c r="L142" i="17"/>
  <c r="A142" i="17"/>
  <c r="L141" i="17"/>
  <c r="A141" i="17"/>
  <c r="L140" i="17"/>
  <c r="A140" i="17"/>
  <c r="L139" i="17"/>
  <c r="A139" i="17"/>
  <c r="L138" i="17"/>
  <c r="A138" i="17"/>
  <c r="L137" i="17"/>
  <c r="A137" i="17"/>
  <c r="L136" i="17"/>
  <c r="A136" i="17"/>
  <c r="L135" i="17"/>
  <c r="A135" i="17"/>
  <c r="L134" i="17"/>
  <c r="A134" i="17"/>
  <c r="L133" i="17"/>
  <c r="A133" i="17"/>
  <c r="L132" i="17"/>
  <c r="A132" i="17"/>
  <c r="L131" i="17"/>
  <c r="A131" i="17"/>
  <c r="L130" i="17"/>
  <c r="A130" i="17"/>
  <c r="L129" i="17"/>
  <c r="A129" i="17"/>
  <c r="L128" i="17"/>
  <c r="A128" i="17"/>
  <c r="L127" i="17"/>
  <c r="A127" i="17"/>
  <c r="L126" i="17"/>
  <c r="A126" i="17"/>
  <c r="L125" i="17"/>
  <c r="A125" i="17"/>
  <c r="L124" i="17"/>
  <c r="A124" i="17"/>
  <c r="L123" i="17"/>
  <c r="A123" i="17"/>
  <c r="L122" i="17"/>
  <c r="A122" i="17"/>
  <c r="L121" i="17"/>
  <c r="A121" i="17"/>
  <c r="L120" i="17"/>
  <c r="A120" i="17"/>
  <c r="L119" i="17"/>
  <c r="A119" i="17"/>
  <c r="L118" i="17"/>
  <c r="A118" i="17"/>
  <c r="L117" i="17"/>
  <c r="A117" i="17"/>
  <c r="L116" i="17"/>
  <c r="A116" i="17"/>
  <c r="L115" i="17"/>
  <c r="A115" i="17"/>
  <c r="L114" i="17"/>
  <c r="A114" i="17"/>
  <c r="L113" i="17"/>
  <c r="A113" i="17"/>
  <c r="L112" i="17"/>
  <c r="A112" i="17"/>
  <c r="L111" i="17"/>
  <c r="A111" i="17"/>
  <c r="L110" i="17"/>
  <c r="A110" i="17"/>
  <c r="L109" i="17"/>
  <c r="A109" i="17"/>
  <c r="L108" i="17"/>
  <c r="A108" i="17"/>
  <c r="L107" i="17"/>
  <c r="A107" i="17"/>
  <c r="L106" i="17"/>
  <c r="A106" i="17"/>
  <c r="L105" i="17"/>
  <c r="A105" i="17"/>
  <c r="L104" i="17"/>
  <c r="A104" i="17"/>
  <c r="L103" i="17"/>
  <c r="A103" i="17"/>
  <c r="L102" i="17"/>
  <c r="A102" i="17"/>
  <c r="L101" i="17"/>
  <c r="A101" i="17"/>
  <c r="L100" i="17"/>
  <c r="A100" i="17"/>
  <c r="L99" i="17"/>
  <c r="A99" i="17"/>
  <c r="L98" i="17"/>
  <c r="A98" i="17"/>
  <c r="L97" i="17"/>
  <c r="A97" i="17"/>
  <c r="L96" i="17"/>
  <c r="A96" i="17"/>
  <c r="L95" i="17"/>
  <c r="A95" i="17"/>
  <c r="L94" i="17"/>
  <c r="A94" i="17"/>
  <c r="L93" i="17"/>
  <c r="A93" i="17"/>
  <c r="L92" i="17"/>
  <c r="A92" i="17"/>
  <c r="L91" i="17"/>
  <c r="A91" i="17"/>
  <c r="L90" i="17"/>
  <c r="A90" i="17"/>
  <c r="L89" i="17"/>
  <c r="A89" i="17"/>
  <c r="L88" i="17"/>
  <c r="A88" i="17"/>
  <c r="L87" i="17"/>
  <c r="A87" i="17"/>
  <c r="L86" i="17"/>
  <c r="A86" i="17"/>
  <c r="L85" i="17"/>
  <c r="A85" i="17"/>
  <c r="L84" i="17"/>
  <c r="A84" i="17"/>
  <c r="L83" i="17"/>
  <c r="A83" i="17"/>
  <c r="L82" i="17"/>
  <c r="A82" i="17"/>
  <c r="L81" i="17"/>
  <c r="A81" i="17"/>
  <c r="L80" i="17"/>
  <c r="A80" i="17"/>
  <c r="L79" i="17"/>
  <c r="A79" i="17"/>
  <c r="L78" i="17"/>
  <c r="A78" i="17"/>
  <c r="L77" i="17"/>
  <c r="A77" i="17"/>
  <c r="L75" i="17"/>
  <c r="D75" i="17"/>
  <c r="A75" i="17"/>
  <c r="L74" i="17"/>
  <c r="A74" i="17"/>
  <c r="L73" i="17"/>
  <c r="A73" i="17"/>
  <c r="L72" i="17"/>
  <c r="A72" i="17"/>
  <c r="L71" i="17"/>
  <c r="A71" i="17"/>
  <c r="L70" i="17"/>
  <c r="A70" i="17"/>
  <c r="L69" i="17"/>
  <c r="A69" i="17"/>
  <c r="L68" i="17"/>
  <c r="A68" i="17"/>
  <c r="L67" i="17"/>
  <c r="A67" i="17"/>
  <c r="L66" i="17"/>
  <c r="A66" i="17"/>
  <c r="L65" i="17"/>
  <c r="A65" i="17"/>
  <c r="L64" i="17"/>
  <c r="A64" i="17"/>
  <c r="L63" i="17"/>
  <c r="A63" i="17"/>
  <c r="L62" i="17"/>
  <c r="A62" i="17"/>
  <c r="L61" i="17"/>
  <c r="A61" i="17"/>
  <c r="L60" i="17"/>
  <c r="A60" i="17"/>
  <c r="L59" i="17"/>
  <c r="A59" i="17"/>
  <c r="L58" i="17"/>
  <c r="A58" i="17"/>
  <c r="L57" i="17"/>
  <c r="A57" i="17"/>
  <c r="L56" i="17"/>
  <c r="A56" i="17"/>
  <c r="L55" i="17"/>
  <c r="A55" i="17"/>
  <c r="L54" i="17"/>
  <c r="A54" i="17"/>
  <c r="L53" i="17"/>
  <c r="A53" i="17"/>
  <c r="L52" i="17"/>
  <c r="A52" i="17"/>
  <c r="L51" i="17"/>
  <c r="A51" i="17"/>
  <c r="L50" i="17"/>
  <c r="A50" i="17"/>
  <c r="L49" i="17"/>
  <c r="A49" i="17"/>
  <c r="L48" i="17"/>
  <c r="A48" i="17"/>
  <c r="L47" i="17"/>
  <c r="A47" i="17"/>
  <c r="L46" i="17"/>
  <c r="A46" i="17"/>
  <c r="L45" i="17"/>
  <c r="A45" i="17"/>
  <c r="L44" i="17"/>
  <c r="A44" i="17"/>
  <c r="L43" i="17"/>
  <c r="A43" i="17"/>
  <c r="L42" i="17"/>
  <c r="A42" i="17"/>
  <c r="L41" i="17"/>
  <c r="A41" i="17"/>
  <c r="L40" i="17"/>
  <c r="A40" i="17"/>
  <c r="L39" i="17"/>
  <c r="A39" i="17"/>
  <c r="L38" i="17"/>
  <c r="A38" i="17"/>
  <c r="L37" i="17"/>
  <c r="A37" i="17"/>
  <c r="L36" i="17"/>
  <c r="A36" i="17"/>
  <c r="L35" i="17"/>
  <c r="A35" i="17"/>
  <c r="L34" i="17"/>
  <c r="A34" i="17"/>
  <c r="L33" i="17"/>
  <c r="A33" i="17"/>
  <c r="L32" i="17"/>
  <c r="A32" i="17"/>
  <c r="L31" i="17"/>
  <c r="A31" i="17"/>
  <c r="L30" i="17"/>
  <c r="A30" i="17"/>
  <c r="L29" i="17"/>
  <c r="A29" i="17"/>
  <c r="L28" i="17"/>
  <c r="A28" i="17"/>
  <c r="L27" i="17"/>
  <c r="A27" i="17"/>
  <c r="L26" i="17"/>
  <c r="A26" i="17"/>
  <c r="L25" i="17"/>
  <c r="A25" i="17"/>
  <c r="L24" i="17"/>
  <c r="A24" i="17"/>
  <c r="L23" i="17"/>
  <c r="A23" i="17"/>
  <c r="L22" i="17"/>
  <c r="A22" i="17"/>
  <c r="L21" i="17"/>
  <c r="A21" i="17"/>
  <c r="L20" i="17"/>
  <c r="A20" i="17"/>
  <c r="L19" i="17"/>
  <c r="A19" i="17"/>
  <c r="L18" i="17"/>
  <c r="A18" i="17"/>
  <c r="L17" i="17"/>
  <c r="A17" i="17"/>
  <c r="L16" i="17"/>
  <c r="A16" i="17"/>
  <c r="L15" i="17"/>
  <c r="A15" i="17"/>
  <c r="L14" i="17"/>
  <c r="A14" i="17"/>
  <c r="L13" i="17"/>
  <c r="A13" i="17"/>
  <c r="M12" i="17"/>
  <c r="L12" i="17"/>
  <c r="A12" i="17"/>
  <c r="M11" i="17"/>
  <c r="L11" i="17"/>
  <c r="A11" i="17"/>
  <c r="L10" i="17"/>
  <c r="A10" i="17"/>
  <c r="L9" i="17"/>
  <c r="A9" i="17"/>
  <c r="L8" i="17"/>
  <c r="A8" i="17"/>
  <c r="J5" i="17"/>
  <c r="E3" i="17"/>
  <c r="D72" i="17" s="1"/>
  <c r="F52" i="5"/>
  <c r="F58" i="5" s="1"/>
  <c r="F71" i="5" s="1"/>
  <c r="F36" i="5"/>
  <c r="D35" i="19" s="1"/>
  <c r="D20" i="21" s="1"/>
  <c r="C4" i="28" s="1"/>
  <c r="C15" i="28" s="1"/>
  <c r="C26" i="28" s="1"/>
  <c r="F10" i="5"/>
  <c r="F7" i="5"/>
  <c r="F42" i="16" l="1"/>
  <c r="F48" i="16" s="1"/>
  <c r="E69" i="19"/>
  <c r="E70" i="19" s="1"/>
  <c r="E32" i="19"/>
  <c r="R115" i="2"/>
  <c r="V102" i="2"/>
  <c r="I99" i="11"/>
  <c r="H106" i="11"/>
  <c r="H116" i="11"/>
  <c r="I148" i="11"/>
  <c r="I39" i="1"/>
  <c r="H67" i="1"/>
  <c r="H72" i="1" s="1"/>
  <c r="H77" i="1"/>
  <c r="H395" i="1"/>
  <c r="H76" i="1"/>
  <c r="H164" i="1" s="1"/>
  <c r="H236" i="1" s="1"/>
  <c r="H168" i="1"/>
  <c r="H91" i="1"/>
  <c r="H174" i="1" s="1"/>
  <c r="I44" i="1"/>
  <c r="B82" i="2" s="1"/>
  <c r="I53" i="1"/>
  <c r="B83" i="2" s="1"/>
  <c r="H126" i="1"/>
  <c r="H145" i="1" s="1"/>
  <c r="I318" i="1"/>
  <c r="N110" i="2" s="1"/>
  <c r="J174" i="1"/>
  <c r="I173" i="1" s="1"/>
  <c r="C20" i="12"/>
  <c r="K35" i="6"/>
  <c r="E19" i="20" s="1"/>
  <c r="O90" i="2"/>
  <c r="J135" i="2" s="1"/>
  <c r="K102" i="2"/>
  <c r="J136" i="2" s="1"/>
  <c r="K23" i="6"/>
  <c r="C115" i="2"/>
  <c r="J129" i="2" s="1"/>
  <c r="K22" i="6"/>
  <c r="N62" i="2"/>
  <c r="O45" i="2"/>
  <c r="F48" i="5"/>
  <c r="F72" i="5" s="1"/>
  <c r="J28" i="1"/>
  <c r="J32" i="1"/>
  <c r="G3" i="2" s="1"/>
  <c r="O41" i="2"/>
  <c r="L18" i="6" s="1"/>
  <c r="F38" i="7" s="1"/>
  <c r="D25" i="21"/>
  <c r="D26" i="21" s="1"/>
  <c r="I57" i="1"/>
  <c r="F107" i="2" s="1"/>
  <c r="F115" i="2" s="1"/>
  <c r="G115" i="2" s="1"/>
  <c r="J124" i="2" s="1"/>
  <c r="J115" i="2"/>
  <c r="K30" i="6" s="1"/>
  <c r="AF126" i="31" s="1"/>
  <c r="I75" i="1"/>
  <c r="N107" i="2" s="1"/>
  <c r="V90" i="2"/>
  <c r="W90" i="2" s="1"/>
  <c r="J127" i="2" s="1"/>
  <c r="I119" i="1"/>
  <c r="V107" i="2" s="1"/>
  <c r="I163" i="1"/>
  <c r="N108" i="2" s="1"/>
  <c r="J189" i="1"/>
  <c r="G95" i="2" s="1"/>
  <c r="I235" i="1"/>
  <c r="N109" i="2" s="1"/>
  <c r="J241" i="1"/>
  <c r="S4" i="2" s="1"/>
  <c r="F3" i="2"/>
  <c r="M4" i="28"/>
  <c r="M15" i="28" s="1"/>
  <c r="P26" i="21"/>
  <c r="I8" i="17"/>
  <c r="M8" i="17"/>
  <c r="M9" i="17" s="1"/>
  <c r="F18" i="5"/>
  <c r="C8" i="17"/>
  <c r="B41" i="2"/>
  <c r="C4" i="2"/>
  <c r="F4" i="2" s="1"/>
  <c r="AA3" i="2"/>
  <c r="J265" i="1"/>
  <c r="I212" i="1"/>
  <c r="I4" i="18"/>
  <c r="G82" i="2"/>
  <c r="F90" i="2"/>
  <c r="J4" i="18"/>
  <c r="K82" i="2"/>
  <c r="J90" i="2"/>
  <c r="N102" i="2"/>
  <c r="G9" i="2"/>
  <c r="J49" i="1"/>
  <c r="K115" i="2"/>
  <c r="J123" i="2" s="1"/>
  <c r="J63" i="1"/>
  <c r="G11" i="2" s="1"/>
  <c r="K21" i="6"/>
  <c r="G94" i="2"/>
  <c r="R62" i="2"/>
  <c r="J106" i="1"/>
  <c r="V109" i="2"/>
  <c r="V110" i="2" s="1"/>
  <c r="J126" i="1"/>
  <c r="I129" i="1"/>
  <c r="I130" i="1"/>
  <c r="V45" i="2" s="1"/>
  <c r="I131" i="1"/>
  <c r="Z45" i="2" s="1"/>
  <c r="I139" i="1"/>
  <c r="I140" i="1"/>
  <c r="I141" i="1"/>
  <c r="J169" i="1"/>
  <c r="S3" i="2" s="1"/>
  <c r="J194" i="1"/>
  <c r="I198" i="1"/>
  <c r="J204" i="1"/>
  <c r="AA2" i="2"/>
  <c r="B45" i="2"/>
  <c r="G7" i="2"/>
  <c r="J24" i="1"/>
  <c r="K29" i="6"/>
  <c r="I58" i="1"/>
  <c r="B84" i="2" s="1"/>
  <c r="K19" i="6"/>
  <c r="AF119" i="31" s="1"/>
  <c r="S102" i="2"/>
  <c r="J120" i="2" s="1"/>
  <c r="K20" i="6"/>
  <c r="AF120" i="31" s="1"/>
  <c r="S115" i="2"/>
  <c r="J122" i="2" s="1"/>
  <c r="K26" i="6"/>
  <c r="AF130" i="31" s="1"/>
  <c r="C102" i="2"/>
  <c r="J138" i="2" s="1"/>
  <c r="K28" i="6"/>
  <c r="AF128" i="31" s="1"/>
  <c r="W102" i="2"/>
  <c r="J121" i="2" s="1"/>
  <c r="J102" i="1"/>
  <c r="G15" i="2" s="1"/>
  <c r="I109" i="1"/>
  <c r="V2" i="2" s="1"/>
  <c r="W49" i="2"/>
  <c r="W51" i="2" s="1"/>
  <c r="Z98" i="2"/>
  <c r="AA46" i="2"/>
  <c r="J116" i="1"/>
  <c r="I135" i="1" s="1"/>
  <c r="Z107" i="2"/>
  <c r="AA109" i="2"/>
  <c r="Z109" i="2" s="1"/>
  <c r="W50" i="2"/>
  <c r="W52" i="2" s="1"/>
  <c r="V46" i="2"/>
  <c r="V50" i="2" s="1"/>
  <c r="J185" i="1"/>
  <c r="G20" i="2" s="1"/>
  <c r="J195" i="1"/>
  <c r="J203" i="1"/>
  <c r="J205" i="1"/>
  <c r="I236" i="1"/>
  <c r="B87" i="2" s="1"/>
  <c r="J242" i="1"/>
  <c r="K4" i="2" s="1"/>
  <c r="J246" i="1"/>
  <c r="I245" i="1" s="1"/>
  <c r="I319" i="1"/>
  <c r="B88" i="2" s="1"/>
  <c r="J330" i="1"/>
  <c r="I329" i="1" s="1"/>
  <c r="H82" i="11"/>
  <c r="I88" i="11" s="1"/>
  <c r="H87" i="11" s="1"/>
  <c r="I184" i="11"/>
  <c r="H181" i="11" s="1"/>
  <c r="H128" i="11"/>
  <c r="H203" i="11" s="1"/>
  <c r="I194" i="11"/>
  <c r="H138" i="11"/>
  <c r="H213" i="11" s="1"/>
  <c r="I123" i="11"/>
  <c r="H142" i="11" s="1"/>
  <c r="H126" i="11"/>
  <c r="H127" i="11"/>
  <c r="H202" i="11" s="1"/>
  <c r="I175" i="11"/>
  <c r="I24" i="11"/>
  <c r="I113" i="11"/>
  <c r="I192" i="11"/>
  <c r="H136" i="11"/>
  <c r="I159" i="11"/>
  <c r="I375" i="11" s="1"/>
  <c r="I193" i="11"/>
  <c r="E73" i="19" l="1"/>
  <c r="AF121" i="31"/>
  <c r="I76" i="1"/>
  <c r="B85" i="2" s="1"/>
  <c r="G102" i="2"/>
  <c r="G103" i="2" s="1"/>
  <c r="H165" i="1"/>
  <c r="H237" i="1" s="1"/>
  <c r="H90" i="1"/>
  <c r="I164" i="1"/>
  <c r="B86" i="2" s="1"/>
  <c r="N115" i="2"/>
  <c r="O62" i="2"/>
  <c r="N63" i="2" s="1"/>
  <c r="K10" i="6" s="1"/>
  <c r="F2" i="2"/>
  <c r="F41" i="2" s="1"/>
  <c r="H191" i="11"/>
  <c r="I160" i="11"/>
  <c r="I139" i="11"/>
  <c r="H211" i="11"/>
  <c r="I214" i="11" s="1"/>
  <c r="I188" i="11"/>
  <c r="I373" i="11" s="1"/>
  <c r="H132" i="11"/>
  <c r="I129" i="11"/>
  <c r="H201" i="11"/>
  <c r="I204" i="11" s="1"/>
  <c r="K5" i="2"/>
  <c r="S5" i="2"/>
  <c r="AA108" i="2"/>
  <c r="J275" i="1"/>
  <c r="I222" i="1"/>
  <c r="I202" i="1"/>
  <c r="V108" i="2" s="1"/>
  <c r="V115" i="2" s="1"/>
  <c r="AA54" i="2"/>
  <c r="Z100" i="2"/>
  <c r="K2" i="2"/>
  <c r="J86" i="1"/>
  <c r="S2" i="2" s="1"/>
  <c r="S41" i="2" s="1"/>
  <c r="B89" i="2"/>
  <c r="AA4" i="2"/>
  <c r="Z4" i="2" s="1"/>
  <c r="Z2" i="2"/>
  <c r="Z96" i="2"/>
  <c r="J199" i="1"/>
  <c r="AA50" i="2" s="1"/>
  <c r="I218" i="1"/>
  <c r="J170" i="1"/>
  <c r="K3" i="2" s="1"/>
  <c r="J142" i="1"/>
  <c r="G18" i="2" s="1"/>
  <c r="V49" i="2"/>
  <c r="AA48" i="2"/>
  <c r="Z48" i="2" s="1"/>
  <c r="J209" i="1"/>
  <c r="I145" i="1"/>
  <c r="J146" i="1" s="1"/>
  <c r="G19" i="2" s="1"/>
  <c r="F29" i="7"/>
  <c r="L11" i="6"/>
  <c r="K25" i="6"/>
  <c r="AF127" i="31" s="1"/>
  <c r="O102" i="2"/>
  <c r="J125" i="2" s="1"/>
  <c r="J13" i="18"/>
  <c r="J16" i="18" s="1"/>
  <c r="J27" i="18" s="1"/>
  <c r="K90" i="2"/>
  <c r="N135" i="2" s="1"/>
  <c r="K16" i="6"/>
  <c r="I15" i="18"/>
  <c r="I6" i="18"/>
  <c r="Z3" i="2"/>
  <c r="J8" i="17"/>
  <c r="M13" i="17" s="1"/>
  <c r="E8" i="17"/>
  <c r="F31" i="5"/>
  <c r="I9" i="17"/>
  <c r="E5" i="17"/>
  <c r="M10" i="17" s="1"/>
  <c r="I143" i="11"/>
  <c r="H217" i="11"/>
  <c r="AA51" i="2"/>
  <c r="AA55" i="2" s="1"/>
  <c r="J277" i="1"/>
  <c r="I224" i="1"/>
  <c r="Z51" i="2" s="1"/>
  <c r="AA49" i="2"/>
  <c r="AA53" i="2" s="1"/>
  <c r="J267" i="1"/>
  <c r="I214" i="1"/>
  <c r="Z49" i="2" s="1"/>
  <c r="Z46" i="2"/>
  <c r="J136" i="1"/>
  <c r="G17" i="2" s="1"/>
  <c r="V4" i="2"/>
  <c r="H4" i="18"/>
  <c r="H15" i="18" s="1"/>
  <c r="B63" i="2"/>
  <c r="C45" i="2"/>
  <c r="W48" i="2"/>
  <c r="J276" i="1"/>
  <c r="I223" i="1"/>
  <c r="V48" i="2" s="1"/>
  <c r="W47" i="2"/>
  <c r="J266" i="1"/>
  <c r="I213" i="1"/>
  <c r="V47" i="2" s="1"/>
  <c r="J132" i="1"/>
  <c r="G16" i="2" s="1"/>
  <c r="K27" i="6"/>
  <c r="AF131" i="31" s="1"/>
  <c r="K24" i="6"/>
  <c r="AF124" i="31" s="1"/>
  <c r="S62" i="2"/>
  <c r="J134" i="2" s="1"/>
  <c r="N152" i="2" s="1"/>
  <c r="K17" i="6"/>
  <c r="J6" i="18"/>
  <c r="J15" i="18"/>
  <c r="I13" i="18"/>
  <c r="I16" i="18" s="1"/>
  <c r="I27" i="18" s="1"/>
  <c r="G90" i="2"/>
  <c r="N134" i="2" s="1"/>
  <c r="I192" i="1"/>
  <c r="V3" i="2" s="1"/>
  <c r="J349" i="1"/>
  <c r="I284" i="1"/>
  <c r="C41" i="2"/>
  <c r="B42" i="2" s="1"/>
  <c r="AF145" i="31" l="1"/>
  <c r="AQ130" i="31"/>
  <c r="E11" i="20"/>
  <c r="AF83" i="31" s="1"/>
  <c r="H173" i="1"/>
  <c r="H102" i="1"/>
  <c r="H132" i="1" s="1"/>
  <c r="N116" i="2"/>
  <c r="O116" i="2" s="1"/>
  <c r="J119" i="2" s="1"/>
  <c r="I414" i="1" s="1"/>
  <c r="J415" i="1" s="1"/>
  <c r="K14" i="6"/>
  <c r="C50" i="12" s="1"/>
  <c r="B7" i="29" s="1"/>
  <c r="C9" i="37" s="1"/>
  <c r="C12" i="12"/>
  <c r="F91" i="2"/>
  <c r="E4" i="22"/>
  <c r="K2" i="6"/>
  <c r="J350" i="1"/>
  <c r="I369" i="1" s="1"/>
  <c r="V51" i="2" s="1"/>
  <c r="I285" i="1"/>
  <c r="K15" i="6"/>
  <c r="AA57" i="2"/>
  <c r="Z53" i="2"/>
  <c r="J361" i="1"/>
  <c r="I380" i="1" s="1"/>
  <c r="Z59" i="2" s="1"/>
  <c r="I296" i="1"/>
  <c r="I10" i="17"/>
  <c r="E44" i="16"/>
  <c r="D47" i="15"/>
  <c r="F32" i="5"/>
  <c r="F33" i="5" s="1"/>
  <c r="K8" i="17"/>
  <c r="L8" i="6"/>
  <c r="P38" i="32" s="1"/>
  <c r="R41" i="2"/>
  <c r="Z108" i="2"/>
  <c r="J225" i="1"/>
  <c r="G24" i="2" s="1"/>
  <c r="I133" i="11"/>
  <c r="H207" i="11"/>
  <c r="I208" i="11" s="1"/>
  <c r="I264" i="1"/>
  <c r="AA5" i="2"/>
  <c r="AA41" i="2" s="1"/>
  <c r="I368" i="1"/>
  <c r="J26" i="18"/>
  <c r="J28" i="18" s="1"/>
  <c r="J17" i="18"/>
  <c r="J91" i="2"/>
  <c r="R63" i="2"/>
  <c r="W62" i="2"/>
  <c r="J360" i="1"/>
  <c r="I379" i="1" s="1"/>
  <c r="V52" i="2" s="1"/>
  <c r="I295" i="1"/>
  <c r="H13" i="18"/>
  <c r="C63" i="2"/>
  <c r="B64" i="2" s="1"/>
  <c r="N133" i="2"/>
  <c r="N147" i="2" s="1"/>
  <c r="E21" i="20" s="1"/>
  <c r="AF90" i="31" s="1"/>
  <c r="H6" i="18"/>
  <c r="N6" i="18" s="1"/>
  <c r="N4" i="18"/>
  <c r="J351" i="1"/>
  <c r="I370" i="1" s="1"/>
  <c r="Z57" i="2" s="1"/>
  <c r="I286" i="1"/>
  <c r="AA59" i="2"/>
  <c r="Z55" i="2"/>
  <c r="H373" i="11"/>
  <c r="I374" i="11" s="1"/>
  <c r="I218" i="11"/>
  <c r="G8" i="17"/>
  <c r="I157" i="1"/>
  <c r="J215" i="1"/>
  <c r="G22" i="2" s="1"/>
  <c r="I26" i="18"/>
  <c r="I28" i="18" s="1"/>
  <c r="I17" i="18"/>
  <c r="AA52" i="2"/>
  <c r="AA56" i="2" s="1"/>
  <c r="Z56" i="2" s="1"/>
  <c r="I208" i="1"/>
  <c r="Z50" i="2"/>
  <c r="I270" i="1"/>
  <c r="J219" i="1"/>
  <c r="G23" i="2" s="1"/>
  <c r="K7" i="6"/>
  <c r="C89" i="2"/>
  <c r="B119" i="2" s="1"/>
  <c r="K41" i="2"/>
  <c r="AA58" i="2"/>
  <c r="Z54" i="2"/>
  <c r="K31" i="6"/>
  <c r="AF147" i="31" s="1"/>
  <c r="W115" i="2"/>
  <c r="J130" i="2" s="1"/>
  <c r="J359" i="1"/>
  <c r="I294" i="1"/>
  <c r="J297" i="1" s="1"/>
  <c r="G31" i="2" s="1"/>
  <c r="I274" i="1"/>
  <c r="H371" i="11"/>
  <c r="C6" i="37" l="1"/>
  <c r="C5" i="37"/>
  <c r="C4" i="37"/>
  <c r="D9" i="37"/>
  <c r="B12" i="29"/>
  <c r="R77" i="31"/>
  <c r="H142" i="1"/>
  <c r="H136" i="1"/>
  <c r="H146" i="1" s="1"/>
  <c r="V62" i="2"/>
  <c r="I348" i="1"/>
  <c r="V5" i="2" s="1"/>
  <c r="V41" i="2" s="1"/>
  <c r="W41" i="2" s="1"/>
  <c r="J133" i="2" s="1"/>
  <c r="J287" i="1"/>
  <c r="G29" i="2" s="1"/>
  <c r="C55" i="12"/>
  <c r="C11" i="12" s="1"/>
  <c r="I371" i="11"/>
  <c r="C119" i="2"/>
  <c r="C148" i="2" s="1"/>
  <c r="I398" i="1"/>
  <c r="J399" i="1" s="1"/>
  <c r="L37" i="6"/>
  <c r="K119" i="2"/>
  <c r="K148" i="2" s="1"/>
  <c r="J41" i="2"/>
  <c r="E6" i="16" s="1"/>
  <c r="I406" i="1"/>
  <c r="J407" i="1" s="1"/>
  <c r="I290" i="1"/>
  <c r="J291" i="1" s="1"/>
  <c r="G30" i="2" s="1"/>
  <c r="I354" i="1"/>
  <c r="J355" i="1" s="1"/>
  <c r="I374" i="1" s="1"/>
  <c r="J271" i="1"/>
  <c r="Z97" i="2"/>
  <c r="I280" i="1"/>
  <c r="I228" i="1"/>
  <c r="J45" i="2"/>
  <c r="H26" i="18"/>
  <c r="N15" i="18"/>
  <c r="C24" i="12"/>
  <c r="O147" i="2"/>
  <c r="J137" i="2" s="1"/>
  <c r="N13" i="18"/>
  <c r="H16" i="18"/>
  <c r="H17" i="18" s="1"/>
  <c r="AA110" i="2"/>
  <c r="AA115" i="2" s="1"/>
  <c r="I378" i="1"/>
  <c r="I358" i="1"/>
  <c r="B148" i="2"/>
  <c r="I394" i="1"/>
  <c r="J395" i="1" s="1"/>
  <c r="C9" i="17"/>
  <c r="W63" i="2"/>
  <c r="L6" i="6" s="1"/>
  <c r="Z5" i="2"/>
  <c r="Z41" i="2" s="1"/>
  <c r="AA42" i="2" s="1"/>
  <c r="L13" i="6" s="1"/>
  <c r="J371" i="1"/>
  <c r="G36" i="2" s="1"/>
  <c r="I11" i="17"/>
  <c r="E6" i="22"/>
  <c r="G4" i="22"/>
  <c r="C7" i="37" l="1"/>
  <c r="F5" i="37"/>
  <c r="F6" i="37"/>
  <c r="D4" i="37"/>
  <c r="D6" i="37"/>
  <c r="D5" i="37"/>
  <c r="K32" i="6"/>
  <c r="AF148" i="31" s="1"/>
  <c r="R78" i="31"/>
  <c r="AF78" i="31" s="1"/>
  <c r="AF81" i="31" s="1"/>
  <c r="AF85" i="31" s="1"/>
  <c r="AF77" i="31"/>
  <c r="N17" i="18"/>
  <c r="E6" i="20"/>
  <c r="E7" i="35" s="1"/>
  <c r="C6" i="12"/>
  <c r="D7" i="19"/>
  <c r="F9" i="7"/>
  <c r="E9" i="17"/>
  <c r="J9" i="17"/>
  <c r="M14" i="17" s="1"/>
  <c r="I300" i="1"/>
  <c r="J281" i="1"/>
  <c r="D8" i="15"/>
  <c r="G6" i="22"/>
  <c r="I12" i="17"/>
  <c r="Z110" i="2"/>
  <c r="Z115" i="2" s="1"/>
  <c r="AA116" i="2" s="1"/>
  <c r="L12" i="6" s="1"/>
  <c r="J381" i="1"/>
  <c r="G38" i="2" s="1"/>
  <c r="H27" i="18"/>
  <c r="N27" i="18" s="1"/>
  <c r="N16" i="18"/>
  <c r="H28" i="18"/>
  <c r="N28" i="18" s="1"/>
  <c r="N26" i="18"/>
  <c r="Z52" i="2"/>
  <c r="J229" i="1"/>
  <c r="G25" i="2" s="1"/>
  <c r="Z99" i="2"/>
  <c r="Z58" i="2"/>
  <c r="J375" i="1"/>
  <c r="G37" i="2" s="1"/>
  <c r="C149" i="2"/>
  <c r="B149" i="2" s="1"/>
  <c r="D7" i="37" l="1"/>
  <c r="E6" i="35"/>
  <c r="E5" i="35"/>
  <c r="E4" i="35"/>
  <c r="Q37" i="32"/>
  <c r="AF100" i="31"/>
  <c r="AF102" i="31" s="1"/>
  <c r="AF115" i="31" s="1"/>
  <c r="G119" i="2"/>
  <c r="G148" i="2" s="1"/>
  <c r="G149" i="2" s="1"/>
  <c r="C83" i="32" s="1"/>
  <c r="AJ82" i="32" s="1"/>
  <c r="I402" i="1"/>
  <c r="J403" i="1" s="1"/>
  <c r="I364" i="1"/>
  <c r="J301" i="1"/>
  <c r="G32" i="2" s="1"/>
  <c r="D17" i="19"/>
  <c r="F20" i="7"/>
  <c r="K9" i="17"/>
  <c r="G9" i="17"/>
  <c r="I13" i="17"/>
  <c r="E8" i="35" l="1"/>
  <c r="Q50" i="32"/>
  <c r="AN38" i="32"/>
  <c r="AN50" i="32" s="1"/>
  <c r="E62" i="32" s="1"/>
  <c r="AL64" i="32" s="1"/>
  <c r="Z101" i="2"/>
  <c r="Z102" i="2" s="1"/>
  <c r="J365" i="1"/>
  <c r="AA60" i="2" s="1"/>
  <c r="AA62" i="2" s="1"/>
  <c r="I384" i="1"/>
  <c r="I14" i="17"/>
  <c r="C10" i="17"/>
  <c r="I15" i="17" l="1"/>
  <c r="Z60" i="2"/>
  <c r="Z62" i="2" s="1"/>
  <c r="J385" i="1"/>
  <c r="G39" i="2" s="1"/>
  <c r="K33" i="6"/>
  <c r="AA102" i="2"/>
  <c r="J131" i="2" s="1"/>
  <c r="J10" i="17"/>
  <c r="M15" i="17" s="1"/>
  <c r="E10" i="17"/>
  <c r="AA63" i="2"/>
  <c r="E8" i="16" l="1"/>
  <c r="AF150" i="31"/>
  <c r="AF151" i="31" s="1"/>
  <c r="AF87" i="31" s="1"/>
  <c r="F64" i="7"/>
  <c r="D60" i="19"/>
  <c r="E12" i="20"/>
  <c r="C13" i="12"/>
  <c r="D10" i="15" s="1"/>
  <c r="L9" i="6"/>
  <c r="K10" i="17"/>
  <c r="G10" i="17"/>
  <c r="I158" i="1"/>
  <c r="I16" i="17"/>
  <c r="I19" i="1" l="1"/>
  <c r="I17" i="17"/>
  <c r="C11" i="17"/>
  <c r="Z82" i="2"/>
  <c r="I18" i="17" l="1"/>
  <c r="F45" i="2"/>
  <c r="J20" i="1"/>
  <c r="E11" i="17"/>
  <c r="J11" i="17"/>
  <c r="M16" i="17" s="1"/>
  <c r="K11" i="17" l="1"/>
  <c r="G11" i="17"/>
  <c r="G2" i="2"/>
  <c r="I19" i="17"/>
  <c r="I304" i="1"/>
  <c r="I20" i="17" l="1"/>
  <c r="I388" i="1"/>
  <c r="J46" i="2"/>
  <c r="C12" i="17"/>
  <c r="J12" i="17" l="1"/>
  <c r="M17" i="17" s="1"/>
  <c r="E12" i="17"/>
  <c r="J47" i="2"/>
  <c r="J62" i="2" s="1"/>
  <c r="I21" i="17"/>
  <c r="D38" i="15" l="1"/>
  <c r="K63" i="2"/>
  <c r="L5" i="6" s="1"/>
  <c r="D52" i="19" s="1"/>
  <c r="I22" i="17"/>
  <c r="K12" i="17"/>
  <c r="G12" i="17"/>
  <c r="F54" i="7" l="1"/>
  <c r="L38" i="6"/>
  <c r="C13" i="17"/>
  <c r="I23" i="17"/>
  <c r="E13" i="17" l="1"/>
  <c r="J13" i="17"/>
  <c r="M18" i="17" s="1"/>
  <c r="I24" i="17"/>
  <c r="F60" i="7"/>
  <c r="D56" i="19" l="1"/>
  <c r="C4" i="25"/>
  <c r="I25" i="17"/>
  <c r="K13" i="17"/>
  <c r="I159" i="1" s="1"/>
  <c r="G13" i="17"/>
  <c r="C14" i="17" s="1"/>
  <c r="F46" i="2" l="1"/>
  <c r="J160" i="1"/>
  <c r="E4" i="25"/>
  <c r="J14" i="17"/>
  <c r="M19" i="17" s="1"/>
  <c r="E14" i="17"/>
  <c r="I26" i="17"/>
  <c r="K14" i="17" l="1"/>
  <c r="G14" i="17"/>
  <c r="C15" i="17" s="1"/>
  <c r="I27" i="17"/>
  <c r="G21" i="2"/>
  <c r="E15" i="17" l="1"/>
  <c r="J15" i="17"/>
  <c r="M20" i="17" s="1"/>
  <c r="I28" i="17"/>
  <c r="I29" i="17" l="1"/>
  <c r="K15" i="17"/>
  <c r="G15" i="17"/>
  <c r="C16" i="17" s="1"/>
  <c r="J16" i="17" l="1"/>
  <c r="M21" i="17" s="1"/>
  <c r="E16" i="17"/>
  <c r="I30" i="17"/>
  <c r="I31" i="17" l="1"/>
  <c r="K16" i="17"/>
  <c r="G16" i="17"/>
  <c r="C17" i="17" s="1"/>
  <c r="I305" i="1"/>
  <c r="Z83" i="2" l="1"/>
  <c r="E17" i="17"/>
  <c r="J17" i="17"/>
  <c r="M22" i="17" s="1"/>
  <c r="I32" i="17"/>
  <c r="K17" i="17" l="1"/>
  <c r="I306" i="1" s="1"/>
  <c r="G17" i="17"/>
  <c r="C18" i="17" s="1"/>
  <c r="I33" i="17"/>
  <c r="J18" i="17" l="1"/>
  <c r="M23" i="17" s="1"/>
  <c r="E18" i="17"/>
  <c r="F47" i="2"/>
  <c r="J307" i="1"/>
  <c r="I34" i="17"/>
  <c r="K18" i="17" l="1"/>
  <c r="G18" i="17"/>
  <c r="C19" i="17" s="1"/>
  <c r="G33" i="2"/>
  <c r="I35" i="17"/>
  <c r="I36" i="17" l="1"/>
  <c r="J19" i="17"/>
  <c r="M24" i="17" s="1"/>
  <c r="E19" i="17"/>
  <c r="K19" i="17" l="1"/>
  <c r="G19" i="17"/>
  <c r="I389" i="1"/>
  <c r="I37" i="17"/>
  <c r="I38" i="17" l="1"/>
  <c r="E73" i="17"/>
  <c r="E76" i="17"/>
  <c r="I390" i="1"/>
  <c r="F48" i="2" s="1"/>
  <c r="F63" i="2" s="1"/>
  <c r="Z84" i="2"/>
  <c r="Z90" i="2" s="1"/>
  <c r="J391" i="1"/>
  <c r="I428" i="1"/>
  <c r="F19" i="17"/>
  <c r="C20" i="17"/>
  <c r="E74" i="17" l="1"/>
  <c r="E72" i="17"/>
  <c r="G40" i="2"/>
  <c r="G41" i="2" s="1"/>
  <c r="F42" i="2" s="1"/>
  <c r="J428" i="1"/>
  <c r="K34" i="6"/>
  <c r="C7" i="25" s="1"/>
  <c r="G63" i="2"/>
  <c r="J128" i="2" s="1"/>
  <c r="H19" i="17"/>
  <c r="E35" i="16" s="1"/>
  <c r="E20" i="17"/>
  <c r="J20" i="17"/>
  <c r="M25" i="17" s="1"/>
  <c r="E36" i="16"/>
  <c r="K36" i="6"/>
  <c r="C30" i="12" s="1"/>
  <c r="E24" i="20" s="1"/>
  <c r="AF88" i="31" s="1"/>
  <c r="AF95" i="31" s="1"/>
  <c r="AF97" i="31" s="1"/>
  <c r="AA90" i="2"/>
  <c r="J132" i="2" s="1"/>
  <c r="E75" i="17"/>
  <c r="I39" i="17"/>
  <c r="J148" i="2" l="1"/>
  <c r="K149" i="2" s="1"/>
  <c r="C5" i="25"/>
  <c r="D39" i="15"/>
  <c r="D43" i="15" s="1"/>
  <c r="I40" i="17"/>
  <c r="K20" i="17"/>
  <c r="G20" i="17"/>
  <c r="E40" i="16"/>
  <c r="C8" i="25"/>
  <c r="E8" i="25" s="1"/>
  <c r="E7" i="25"/>
  <c r="E7" i="22"/>
  <c r="K3" i="6"/>
  <c r="D30" i="19" s="1"/>
  <c r="D31" i="19" s="1"/>
  <c r="D32" i="19" s="1"/>
  <c r="F33" i="7" l="1"/>
  <c r="F34" i="7" s="1"/>
  <c r="K38" i="6"/>
  <c r="L39" i="6" s="1"/>
  <c r="I41" i="17"/>
  <c r="E10" i="22"/>
  <c r="G7" i="22"/>
  <c r="C21" i="17"/>
  <c r="E5" i="25"/>
  <c r="C6" i="25"/>
  <c r="E6" i="25" s="1"/>
  <c r="J149" i="2"/>
  <c r="S133" i="2" s="1"/>
  <c r="S147" i="2" s="1"/>
  <c r="C9" i="25" l="1"/>
  <c r="E9" i="25" s="1"/>
  <c r="J21" i="17"/>
  <c r="M26" i="17" s="1"/>
  <c r="E21" i="17"/>
  <c r="K150" i="2"/>
  <c r="J150" i="2" s="1"/>
  <c r="S119" i="2" s="1"/>
  <c r="R119" i="2" s="1"/>
  <c r="R120" i="2" s="1"/>
  <c r="G10" i="22"/>
  <c r="G13" i="22" s="1"/>
  <c r="E13" i="22"/>
  <c r="I42" i="17"/>
  <c r="E45" i="16"/>
  <c r="F35" i="7"/>
  <c r="I43" i="17" l="1"/>
  <c r="K21" i="17"/>
  <c r="G21" i="17"/>
  <c r="S128" i="2"/>
  <c r="D39" i="19"/>
  <c r="H26" i="21" l="1"/>
  <c r="W119" i="2"/>
  <c r="W128" i="2" s="1"/>
  <c r="F42" i="7" s="1"/>
  <c r="C22" i="17"/>
  <c r="I44" i="17"/>
  <c r="W134" i="2" l="1"/>
  <c r="W143" i="2" s="1"/>
  <c r="F43" i="7" s="1"/>
  <c r="D40" i="19"/>
  <c r="AF57" i="31" s="1"/>
  <c r="I45" i="17"/>
  <c r="E22" i="17"/>
  <c r="J22" i="17"/>
  <c r="M27" i="17" s="1"/>
  <c r="R128" i="2"/>
  <c r="S129" i="2" s="1"/>
  <c r="AF66" i="31" l="1"/>
  <c r="AF60" i="31"/>
  <c r="I26" i="21"/>
  <c r="H21" i="28" s="1"/>
  <c r="H26" i="28" s="1"/>
  <c r="F48" i="7"/>
  <c r="D41" i="19"/>
  <c r="K22" i="17"/>
  <c r="G22" i="17"/>
  <c r="I46" i="17"/>
  <c r="N26" i="21" l="1"/>
  <c r="L24" i="28" s="1"/>
  <c r="F50" i="7"/>
  <c r="I47" i="17"/>
  <c r="C23" i="17"/>
  <c r="L26" i="28" l="1"/>
  <c r="M24" i="28"/>
  <c r="J23" i="17"/>
  <c r="M28" i="17" s="1"/>
  <c r="E23" i="17"/>
  <c r="I48" i="17"/>
  <c r="K23" i="17" l="1"/>
  <c r="G23" i="17"/>
  <c r="I49" i="17"/>
  <c r="I50" i="17" l="1"/>
  <c r="C24" i="17"/>
  <c r="E24" i="17" l="1"/>
  <c r="J24" i="17"/>
  <c r="M29" i="17" s="1"/>
  <c r="I51" i="17"/>
  <c r="I52" i="17" l="1"/>
  <c r="K24" i="17"/>
  <c r="G24" i="17"/>
  <c r="C25" i="17" l="1"/>
  <c r="I53" i="17"/>
  <c r="I54" i="17" l="1"/>
  <c r="J25" i="17"/>
  <c r="M30" i="17" s="1"/>
  <c r="E25" i="17"/>
  <c r="K25" i="17" l="1"/>
  <c r="G25" i="17"/>
  <c r="C26" i="17" s="1"/>
  <c r="I55" i="17"/>
  <c r="I56" i="17" l="1"/>
  <c r="E26" i="17"/>
  <c r="J26" i="17"/>
  <c r="M31" i="17" s="1"/>
  <c r="K26" i="17" l="1"/>
  <c r="G26" i="17"/>
  <c r="C27" i="17" s="1"/>
  <c r="I57" i="17"/>
  <c r="J27" i="17" l="1"/>
  <c r="M32" i="17" s="1"/>
  <c r="E27" i="17"/>
  <c r="I58" i="17"/>
  <c r="I59" i="17" l="1"/>
  <c r="K27" i="17"/>
  <c r="G27" i="17"/>
  <c r="C28" i="17" s="1"/>
  <c r="E28" i="17" l="1"/>
  <c r="J28" i="17"/>
  <c r="M33" i="17" s="1"/>
  <c r="I60" i="17"/>
  <c r="I61" i="17" l="1"/>
  <c r="K28" i="17"/>
  <c r="G28" i="17"/>
  <c r="C29" i="17" s="1"/>
  <c r="I62" i="17" l="1"/>
  <c r="J29" i="17"/>
  <c r="M34" i="17" s="1"/>
  <c r="E29" i="17"/>
  <c r="K29" i="17" l="1"/>
  <c r="G29" i="17"/>
  <c r="C30" i="17" s="1"/>
  <c r="I63" i="17"/>
  <c r="I64" i="17" l="1"/>
  <c r="E30" i="17"/>
  <c r="J30" i="17"/>
  <c r="M35" i="17" s="1"/>
  <c r="K30" i="17" l="1"/>
  <c r="G30" i="17"/>
  <c r="C31" i="17" s="1"/>
  <c r="I65" i="17"/>
  <c r="E31" i="17" l="1"/>
  <c r="J31" i="17"/>
  <c r="M36" i="17" s="1"/>
  <c r="I66" i="17"/>
  <c r="I67" i="17" l="1"/>
  <c r="K31" i="17"/>
  <c r="F76" i="17" s="1"/>
  <c r="G31" i="17"/>
  <c r="D31" i="17"/>
  <c r="F73" i="17" l="1"/>
  <c r="F31" i="17"/>
  <c r="C32" i="17"/>
  <c r="F74" i="17" l="1"/>
  <c r="F72" i="17"/>
  <c r="J32" i="17"/>
  <c r="M37" i="17" s="1"/>
  <c r="E32" i="17"/>
  <c r="H31" i="17"/>
  <c r="F75" i="17"/>
  <c r="K32" i="17" l="1"/>
  <c r="G32" i="17"/>
  <c r="C33" i="17" l="1"/>
  <c r="E33" i="17" l="1"/>
  <c r="J33" i="17"/>
  <c r="M38" i="17" s="1"/>
  <c r="K33" i="17" l="1"/>
  <c r="G33" i="17"/>
  <c r="C34" i="17" l="1"/>
  <c r="J34" i="17" l="1"/>
  <c r="M39" i="17" s="1"/>
  <c r="E34" i="17"/>
  <c r="K34" i="17" l="1"/>
  <c r="G34" i="17"/>
  <c r="C35" i="17" l="1"/>
  <c r="E35" i="17" l="1"/>
  <c r="J35" i="17"/>
  <c r="M40" i="17" s="1"/>
  <c r="K35" i="17" l="1"/>
  <c r="G35" i="17"/>
  <c r="C36" i="17" l="1"/>
  <c r="J36" i="17" l="1"/>
  <c r="M41" i="17" s="1"/>
  <c r="E36" i="17"/>
  <c r="K36" i="17" l="1"/>
  <c r="G36" i="17"/>
  <c r="C37" i="17" l="1"/>
  <c r="E37" i="17" l="1"/>
  <c r="J37" i="17"/>
  <c r="M42" i="17" s="1"/>
  <c r="K37" i="17" l="1"/>
  <c r="G37" i="17"/>
  <c r="C38" i="17" s="1"/>
  <c r="J38" i="17" l="1"/>
  <c r="M43" i="17" s="1"/>
  <c r="E38" i="17"/>
  <c r="K38" i="17" l="1"/>
  <c r="G38" i="17"/>
  <c r="C39" i="17" s="1"/>
  <c r="E39" i="17" l="1"/>
  <c r="J39" i="17"/>
  <c r="K39" i="17" l="1"/>
  <c r="G39" i="17"/>
  <c r="C40" i="17" s="1"/>
  <c r="J40" i="17" l="1"/>
  <c r="E40" i="17"/>
  <c r="K40" i="17" l="1"/>
  <c r="G40" i="17"/>
  <c r="C41" i="17" s="1"/>
  <c r="E41" i="17" l="1"/>
  <c r="J41" i="17"/>
  <c r="K41" i="17" l="1"/>
  <c r="G41" i="17"/>
  <c r="C42" i="17" s="1"/>
  <c r="J42" i="17" l="1"/>
  <c r="E42" i="17"/>
  <c r="K42" i="17" l="1"/>
  <c r="G42" i="17"/>
  <c r="C43" i="17" s="1"/>
  <c r="J43" i="17" l="1"/>
  <c r="E43" i="17"/>
  <c r="K43" i="17" l="1"/>
  <c r="G76" i="17" s="1"/>
  <c r="G43" i="17"/>
  <c r="D43" i="17"/>
  <c r="G73" i="17" l="1"/>
  <c r="F43" i="17"/>
  <c r="H43" i="17" s="1"/>
  <c r="C44" i="17"/>
  <c r="E44" i="17" l="1"/>
  <c r="J44" i="17"/>
  <c r="G74" i="17"/>
  <c r="G72" i="17"/>
  <c r="G75" i="17"/>
  <c r="K44" i="17" l="1"/>
  <c r="G44" i="17"/>
  <c r="C45" i="17" l="1"/>
  <c r="E45" i="17" l="1"/>
  <c r="J45" i="17"/>
  <c r="K45" i="17" l="1"/>
  <c r="G45" i="17"/>
  <c r="C46" i="17" l="1"/>
  <c r="E46" i="17" l="1"/>
  <c r="J46" i="17"/>
  <c r="K46" i="17" l="1"/>
  <c r="G46" i="17"/>
  <c r="C47" i="17" l="1"/>
  <c r="E47" i="17" l="1"/>
  <c r="J47" i="17"/>
  <c r="K47" i="17" l="1"/>
  <c r="G47" i="17"/>
  <c r="C48" i="17" l="1"/>
  <c r="E48" i="17" l="1"/>
  <c r="J48" i="17"/>
  <c r="K48" i="17" l="1"/>
  <c r="G48" i="17"/>
  <c r="C49" i="17" l="1"/>
  <c r="E49" i="17" l="1"/>
  <c r="J49" i="17"/>
  <c r="K49" i="17" l="1"/>
  <c r="G49" i="17"/>
  <c r="C50" i="17" s="1"/>
  <c r="E50" i="17" l="1"/>
  <c r="J50" i="17"/>
  <c r="K50" i="17" l="1"/>
  <c r="G50" i="17"/>
  <c r="C51" i="17" s="1"/>
  <c r="E51" i="17" l="1"/>
  <c r="J51" i="17"/>
  <c r="K51" i="17" l="1"/>
  <c r="G51" i="17"/>
  <c r="C52" i="17" s="1"/>
  <c r="E52" i="17" l="1"/>
  <c r="J52" i="17"/>
  <c r="K52" i="17" l="1"/>
  <c r="G52" i="17"/>
  <c r="C53" i="17" s="1"/>
  <c r="E53" i="17" l="1"/>
  <c r="J53" i="17"/>
  <c r="K53" i="17" l="1"/>
  <c r="G53" i="17"/>
  <c r="C54" i="17" s="1"/>
  <c r="E54" i="17" l="1"/>
  <c r="J54" i="17"/>
  <c r="K54" i="17" l="1"/>
  <c r="G54" i="17"/>
  <c r="C55" i="17" s="1"/>
  <c r="J55" i="17" l="1"/>
  <c r="E55" i="17"/>
  <c r="K55" i="17" l="1"/>
  <c r="H76" i="17" s="1"/>
  <c r="G55" i="17"/>
  <c r="D55" i="17"/>
  <c r="H73" i="17" l="1"/>
  <c r="F55" i="17"/>
  <c r="C56" i="17"/>
  <c r="J56" i="17" l="1"/>
  <c r="E56" i="17"/>
  <c r="H74" i="17"/>
  <c r="H75" i="17" s="1"/>
  <c r="H72" i="17"/>
  <c r="H55" i="17"/>
  <c r="K56" i="17" l="1"/>
  <c r="G56" i="17"/>
  <c r="C57" i="17" l="1"/>
  <c r="J57" i="17" l="1"/>
  <c r="E57" i="17"/>
  <c r="K57" i="17" l="1"/>
  <c r="G57" i="17"/>
  <c r="J58" i="17" l="1"/>
  <c r="E58" i="17"/>
  <c r="K58" i="17" l="1"/>
  <c r="G58" i="17"/>
  <c r="C59" i="17" l="1"/>
  <c r="J59" i="17" l="1"/>
  <c r="E59" i="17"/>
  <c r="K59" i="17" l="1"/>
  <c r="G59" i="17"/>
  <c r="C60" i="17" l="1"/>
  <c r="J60" i="17" l="1"/>
  <c r="E60" i="17"/>
  <c r="K60" i="17" l="1"/>
  <c r="G60" i="17"/>
  <c r="C61" i="17" l="1"/>
  <c r="J61" i="17" l="1"/>
  <c r="E61" i="17"/>
  <c r="K61" i="17" l="1"/>
  <c r="G61" i="17"/>
  <c r="C62" i="17" s="1"/>
  <c r="J62" i="17" l="1"/>
  <c r="E62" i="17"/>
  <c r="K62" i="17" l="1"/>
  <c r="G62" i="17"/>
  <c r="J63" i="17" l="1"/>
  <c r="E63" i="17"/>
  <c r="K63" i="17" l="1"/>
  <c r="G63" i="17"/>
  <c r="C64" i="17" s="1"/>
  <c r="J64" i="17" l="1"/>
  <c r="E64" i="17"/>
  <c r="K64" i="17" l="1"/>
  <c r="G64" i="17"/>
  <c r="C65" i="17" s="1"/>
  <c r="J65" i="17" l="1"/>
  <c r="E65" i="17"/>
  <c r="K65" i="17" l="1"/>
  <c r="G65" i="17"/>
  <c r="C66" i="17" s="1"/>
  <c r="J66" i="17" l="1"/>
  <c r="E66" i="17"/>
  <c r="K66" i="17" l="1"/>
  <c r="G66" i="17"/>
  <c r="C67" i="17" s="1"/>
  <c r="J67" i="17" l="1"/>
  <c r="E67" i="17"/>
  <c r="K67" i="17" l="1"/>
  <c r="I76" i="17" s="1"/>
  <c r="J76" i="17" s="1"/>
  <c r="G67" i="17"/>
  <c r="F67" i="17" s="1"/>
  <c r="D67" i="17"/>
  <c r="I73" i="17" s="1"/>
  <c r="J73" i="17" l="1"/>
  <c r="I74" i="17"/>
  <c r="J74" i="17" s="1"/>
  <c r="I72" i="17"/>
  <c r="J75" i="17" l="1"/>
  <c r="J77" i="17"/>
  <c r="I75" i="17"/>
  <c r="D47" i="19"/>
  <c r="G21" i="28"/>
  <c r="M21" i="28" l="1"/>
  <c r="M26" i="28" s="1"/>
  <c r="G26" i="28"/>
  <c r="Q26" i="21"/>
  <c r="D9" i="15"/>
  <c r="D11" i="15" s="1"/>
  <c r="D14" i="15" s="1"/>
  <c r="D45" i="15" s="1"/>
  <c r="E7" i="16"/>
  <c r="E9" i="16" s="1"/>
  <c r="E12" i="16" s="1"/>
  <c r="E42" i="16" s="1"/>
  <c r="E48" i="16" s="1"/>
  <c r="E20" i="20"/>
  <c r="E22" i="20" s="1"/>
  <c r="E25" i="20" s="1"/>
  <c r="C22" i="12"/>
  <c r="C27" i="12" s="1"/>
  <c r="C32" i="12" s="1"/>
  <c r="C34" i="12" l="1"/>
  <c r="O150" i="2"/>
  <c r="C36" i="12"/>
  <c r="E26" i="20" l="1"/>
  <c r="AF116" i="31" s="1"/>
  <c r="AF117" i="31" s="1"/>
  <c r="F67" i="7"/>
  <c r="F72" i="7" s="1"/>
  <c r="F73" i="7" s="1"/>
  <c r="F74" i="7" s="1"/>
  <c r="H54" i="7" s="1"/>
  <c r="D63" i="19"/>
  <c r="AF26" i="31" l="1"/>
  <c r="AF42" i="31" s="1"/>
  <c r="AF44" i="31" s="1"/>
  <c r="D68" i="19"/>
  <c r="D69" i="19" s="1"/>
  <c r="D70" i="19" s="1"/>
  <c r="D73" i="19" s="1"/>
  <c r="E27" i="20"/>
  <c r="N20" i="21" s="1"/>
  <c r="N25" i="21" s="1"/>
  <c r="K63" i="31" l="1"/>
  <c r="K67" i="31" s="1"/>
  <c r="AQ67" i="31" s="1"/>
  <c r="Q20" i="21"/>
  <c r="Q25" i="21" s="1"/>
  <c r="AQ119" i="31"/>
</calcChain>
</file>

<file path=xl/sharedStrings.xml><?xml version="1.0" encoding="utf-8"?>
<sst xmlns="http://schemas.openxmlformats.org/spreadsheetml/2006/main" count="1922" uniqueCount="870">
  <si>
    <t>Data</t>
  </si>
  <si>
    <t>Conta /Designação</t>
  </si>
  <si>
    <t>Débito</t>
  </si>
  <si>
    <t>Crédito</t>
  </si>
  <si>
    <t>de</t>
  </si>
  <si>
    <t>a</t>
  </si>
  <si>
    <t>5210001- Capital Social</t>
  </si>
  <si>
    <t>H Pela Realizaçao do Capital Subscrito - Dinheiro</t>
  </si>
  <si>
    <t>6640004 - Despesas com Seviços Bancarios</t>
  </si>
  <si>
    <t>2510001 - Adimir c/Subscrição</t>
  </si>
  <si>
    <t>2510002 - Eldair c/Subscrição</t>
  </si>
  <si>
    <t>2510003 - Ivânio c/Subscrição</t>
  </si>
  <si>
    <t>2510004 -  Josileida c/Subscrição</t>
  </si>
  <si>
    <t>H Pela subscriçao do capital de Restaurante Bar Calhau, SA</t>
  </si>
  <si>
    <t>11101-Caixa</t>
  </si>
  <si>
    <t>51001-Capital</t>
  </si>
  <si>
    <t>25101-Subscriçao</t>
  </si>
  <si>
    <t>231101-Emprestimo Bancario</t>
  </si>
  <si>
    <t>12001-Deposito a Ordem</t>
  </si>
  <si>
    <t xml:space="preserve">1210001 - Do BKK </t>
  </si>
  <si>
    <t>H Pelo Emprestimo Bancario</t>
  </si>
  <si>
    <t xml:space="preserve">         H Pela Aquisiçao Equip. Basicos </t>
  </si>
  <si>
    <t>433001 -  Equip. B.</t>
  </si>
  <si>
    <t>433001 -  Equipamentos Basicos</t>
  </si>
  <si>
    <t>H Pela aquisição de Equipamento Transporte</t>
  </si>
  <si>
    <t xml:space="preserve">434001 - Eq.Transporte </t>
  </si>
  <si>
    <t>435001 - Eq.Administrativo</t>
  </si>
  <si>
    <t>H Pela c\ Equipamento administrativo</t>
  </si>
  <si>
    <t>H pelas Despesas de instalação da Propriedade industrial</t>
  </si>
  <si>
    <t>6237001 - D.c/ Seviços Bancário</t>
  </si>
  <si>
    <t>2311001-Emp.Bancario</t>
  </si>
  <si>
    <t>Outros activos financeiros</t>
  </si>
  <si>
    <t>Outros passivos financeiros</t>
  </si>
  <si>
    <t>Clientes</t>
  </si>
  <si>
    <t>Adiantamentos de clientes</t>
  </si>
  <si>
    <t>Fornecedores</t>
  </si>
  <si>
    <t>Adiantamentos a fornecedores</t>
  </si>
  <si>
    <t>Estado e outros entes públicos</t>
  </si>
  <si>
    <t>Financiamentos obtidos</t>
  </si>
  <si>
    <t>Accionistas/sócios</t>
  </si>
  <si>
    <t>Activos por impostos diferidos</t>
  </si>
  <si>
    <t>Passivos por impostos diferidos</t>
  </si>
  <si>
    <t>Diferimentos</t>
  </si>
  <si>
    <t>Provisões</t>
  </si>
  <si>
    <t>Activos biológicos</t>
  </si>
  <si>
    <t>Propriedades de investimento</t>
  </si>
  <si>
    <t>Activos fixos tangíveis</t>
  </si>
  <si>
    <t>Activos intangíveis</t>
  </si>
  <si>
    <t>Goodwill</t>
  </si>
  <si>
    <t>Activos não correntes detidos para venda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</si>
  <si>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</si>
  <si>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</si>
  <si>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</si>
  <si>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</si>
  <si>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</si>
  <si>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</si>
  <si>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</si>
  <si>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Outras variações no capital próprio</t>
  </si>
  <si>
    <t>Nº</t>
  </si>
  <si>
    <t>1100001-Caixa</t>
  </si>
  <si>
    <t>H Pela transferencia do Saldo de deposito a Ordem p\ Caixa</t>
  </si>
  <si>
    <t>Entidade: Restaurante Bar Calhau, SA</t>
  </si>
  <si>
    <t>BALANÇO INICAL</t>
  </si>
  <si>
    <t>ECV</t>
  </si>
  <si>
    <t xml:space="preserve"> RUBRICAS</t>
  </si>
  <si>
    <t>NOTAS</t>
  </si>
  <si>
    <t>DATAS</t>
  </si>
  <si>
    <t>N</t>
  </si>
  <si>
    <t>N-1</t>
  </si>
  <si>
    <t xml:space="preserve">                                           ACTIVO</t>
  </si>
  <si>
    <t>Activo não corrente</t>
  </si>
  <si>
    <t>Participações financeiras - método da equivalência patrimonial</t>
  </si>
  <si>
    <t>Participações financeiras - outros métodos</t>
  </si>
  <si>
    <t>Outras contas a receber</t>
  </si>
  <si>
    <t>Subtotal</t>
  </si>
  <si>
    <t>Activo corrente</t>
  </si>
  <si>
    <t>Inventários</t>
  </si>
  <si>
    <t>Activos financeiros detidos para negociação</t>
  </si>
  <si>
    <t>Caixa e depósitos bancários</t>
  </si>
  <si>
    <t>Total do activo</t>
  </si>
  <si>
    <t xml:space="preserve"> CAPITAL PRÓPRIO E PASSIVO</t>
  </si>
  <si>
    <t>Capital próprio</t>
  </si>
  <si>
    <t>Capital realizado</t>
  </si>
  <si>
    <t>Excedentes de revalorização</t>
  </si>
  <si>
    <t>Resultado líquido do período</t>
  </si>
  <si>
    <t>Interesses minoritários</t>
  </si>
  <si>
    <t>Total do capital próprio</t>
  </si>
  <si>
    <t>Passivo</t>
  </si>
  <si>
    <t>Passivo não corrente</t>
  </si>
  <si>
    <t>Responsabilidades por benefícios pós-emprego</t>
  </si>
  <si>
    <t>Outras contas a pagar</t>
  </si>
  <si>
    <t>Passivo corrente</t>
  </si>
  <si>
    <t>Passivos financeiros detidos para negociação</t>
  </si>
  <si>
    <t>Passivos não correntes detidos para venda</t>
  </si>
  <si>
    <t>subtotal</t>
  </si>
  <si>
    <t>Total do passivo</t>
  </si>
  <si>
    <t>Total do capital próprio e do passivo</t>
  </si>
  <si>
    <t>H Pelo Pagamento de seguros Contra Todos os Risco</t>
  </si>
  <si>
    <t>6218001-Livros e Doc. Tecnicas</t>
  </si>
  <si>
    <t>H Pela aquisição de Livros e Documentações Tecnicas</t>
  </si>
  <si>
    <t xml:space="preserve">6221001-Rendas </t>
  </si>
  <si>
    <t>H Pelo Pagamento da Aluguel</t>
  </si>
  <si>
    <t>6217001-Publicidade e Propagandas</t>
  </si>
  <si>
    <t>1210001- Do BKK</t>
  </si>
  <si>
    <t>H Pelo pagamento de Publicidade e Propaganda</t>
  </si>
  <si>
    <t>62138001- Outros Combustiveis</t>
  </si>
  <si>
    <t>H Pela compra do Gas para a cozinha</t>
  </si>
  <si>
    <t>6298001- Outros forn. e serviços</t>
  </si>
  <si>
    <t>H Pelo Pagamento de outros Fornecimentos de serviços</t>
  </si>
  <si>
    <t>2 de Jan</t>
  </si>
  <si>
    <t>4 de Jan</t>
  </si>
  <si>
    <t>2442301- Iva Dedutivel</t>
  </si>
  <si>
    <t>H Pela Compra das Materias primas e Subsidiária</t>
  </si>
  <si>
    <t>6224001-Comuniçao</t>
  </si>
  <si>
    <t>e</t>
  </si>
  <si>
    <t>H Pago CV Telecom- Contrato telefone e Internet</t>
  </si>
  <si>
    <t>6211001- Agua</t>
  </si>
  <si>
    <t>6212001- Electricidade</t>
  </si>
  <si>
    <t>H Pago Electra  - Contrato Electricidade e Agua</t>
  </si>
  <si>
    <t>3611001-Compra de Materias pri. e Subsidiária</t>
  </si>
  <si>
    <t>6888001-Outros Gastos</t>
  </si>
  <si>
    <t>712001-Vendas de Produtos</t>
  </si>
  <si>
    <t>2443001-Iva Liquidado</t>
  </si>
  <si>
    <t>VALORES DO 1º TRIMESTRE</t>
  </si>
  <si>
    <t>H Pela transferencia do Saldo de Caixa para o D.O</t>
  </si>
  <si>
    <t xml:space="preserve">H Pelo Pagamento das Despesas </t>
  </si>
  <si>
    <t>6219001- Lipenza, Higiene e Conforto</t>
  </si>
  <si>
    <t>6221001- Renda e Aluguer</t>
  </si>
  <si>
    <t>6227001-Segurança</t>
  </si>
  <si>
    <t>62138- Botijão de Gas</t>
  </si>
  <si>
    <t>6298- Outros FSE</t>
  </si>
  <si>
    <t>2622001-Credores por Acrescimo de Gasto</t>
  </si>
  <si>
    <t>6225001- Seguros</t>
  </si>
  <si>
    <t>H Pelo Gasto do Periodo C/ Seguros</t>
  </si>
  <si>
    <t>271101- Remunerações a Pagar Orgão Sociais</t>
  </si>
  <si>
    <t>271201- Remunerações a Pagar Ao Pesoal</t>
  </si>
  <si>
    <t>632001-Remunerações do Pesoal</t>
  </si>
  <si>
    <t>631001- Remunerações dos Orgão Sociais</t>
  </si>
  <si>
    <t>248001-Segurança Social</t>
  </si>
  <si>
    <t>H Pelo processamento dos salários</t>
  </si>
  <si>
    <t>635001-Encargos sobre remunerações</t>
  </si>
  <si>
    <t>2412001-  Retenção do IUR-Trabalhador dependente</t>
  </si>
  <si>
    <t>H Pelo processamento dos encargos patronais do Pessoal</t>
  </si>
  <si>
    <t>H Pelo processamento dos Ordenados dos Orgãos Sociais</t>
  </si>
  <si>
    <t>H Pelo processamento dos encargos patronais dos O.Sociais</t>
  </si>
  <si>
    <t>H Pelo pagamento do Salário</t>
  </si>
  <si>
    <t>Conta</t>
  </si>
  <si>
    <t>Descrição</t>
  </si>
  <si>
    <t>11</t>
  </si>
  <si>
    <t>12</t>
  </si>
  <si>
    <t>23</t>
  </si>
  <si>
    <t>231</t>
  </si>
  <si>
    <t>2311</t>
  </si>
  <si>
    <t>241</t>
  </si>
  <si>
    <t>242</t>
  </si>
  <si>
    <t>243</t>
  </si>
  <si>
    <t>2436</t>
  </si>
  <si>
    <t>2437</t>
  </si>
  <si>
    <t>2438</t>
  </si>
  <si>
    <t>2439</t>
  </si>
  <si>
    <t>244</t>
  </si>
  <si>
    <t>245</t>
  </si>
  <si>
    <t>25</t>
  </si>
  <si>
    <t>251</t>
  </si>
  <si>
    <t>2511</t>
  </si>
  <si>
    <t>25111</t>
  </si>
  <si>
    <t>2581</t>
  </si>
  <si>
    <t>261</t>
  </si>
  <si>
    <t>262</t>
  </si>
  <si>
    <t>263</t>
  </si>
  <si>
    <t>264</t>
  </si>
  <si>
    <t>265</t>
  </si>
  <si>
    <t>272</t>
  </si>
  <si>
    <t>2721</t>
  </si>
  <si>
    <t>27211</t>
  </si>
  <si>
    <t>27219</t>
  </si>
  <si>
    <t>2722</t>
  </si>
  <si>
    <t>27221</t>
  </si>
  <si>
    <t>27222</t>
  </si>
  <si>
    <t>27223</t>
  </si>
  <si>
    <t>27229</t>
  </si>
  <si>
    <t>2º TRIMESTRE</t>
  </si>
  <si>
    <t>3º TRIMESTRE</t>
  </si>
  <si>
    <t>30.1</t>
  </si>
  <si>
    <t>30.2</t>
  </si>
  <si>
    <t>H Pelo pagamento do emprestimo efectuado c/ uma taxa de juros de 9,75%</t>
  </si>
  <si>
    <t xml:space="preserve">691101-Juros Suportado F. Obitidos </t>
  </si>
  <si>
    <t>42.1</t>
  </si>
  <si>
    <t>40.2</t>
  </si>
  <si>
    <t>4º TRIMESTRE</t>
  </si>
  <si>
    <t>H Pela venda dos produtos C/iva a taxa de 6%</t>
  </si>
  <si>
    <t xml:space="preserve">       H Pelo  pagamento  Despesas c\ serviços BKK </t>
  </si>
  <si>
    <t>TOTAL</t>
  </si>
  <si>
    <t>H Pelo pagamento por transferência bancária Segurança Social</t>
  </si>
  <si>
    <t>H Pelo Reconhecimento dos Gasto do Periodo C/ Seguros</t>
  </si>
  <si>
    <t>H pela venda dos produtos C/Iva a taxa de 6%</t>
  </si>
  <si>
    <t>H Pelo pagamento por transferência bancária a Segurança Social</t>
  </si>
  <si>
    <t>H Pelo Reconhecimento das Gasto do Periodo C/ Seguros</t>
  </si>
  <si>
    <t>H Pelo Pagamento por transferência bancária Segurança Social</t>
  </si>
  <si>
    <t>H Pelo Processamento dos encargos patronais dos O.Sociais</t>
  </si>
  <si>
    <t>H Pelo Processamento dos Ordenados dos Orgãos Sociais</t>
  </si>
  <si>
    <t>H Pelo Processamento dos encargos patronais do Pessoal</t>
  </si>
  <si>
    <t>H Pelo Processamento dos salários</t>
  </si>
  <si>
    <t>H Pela Transferencia do Saldo de Caixa para o D.O</t>
  </si>
  <si>
    <t>SALDO DEVEDOR</t>
  </si>
  <si>
    <t>SALDO CREDOR</t>
  </si>
  <si>
    <t>2510002 - C/Subscrição</t>
  </si>
  <si>
    <t>6221001-Rendas e Aluguer</t>
  </si>
  <si>
    <t>6298001- Outros FSE</t>
  </si>
  <si>
    <t xml:space="preserve">       H Pelo pagamento das  Despesas  c\ serviços BKK  do 1º Trimestre</t>
  </si>
  <si>
    <t xml:space="preserve"> 1º TRIMESTRE</t>
  </si>
  <si>
    <t>DEMONSTRAÇÃO INDIVIDUAL DOS RESULTADOS POR NATUREZAS</t>
  </si>
  <si>
    <t>RENDIMENTOS E GASTOS</t>
  </si>
  <si>
    <t>PERIODOS</t>
  </si>
  <si>
    <t>Vendas e serviços prestados</t>
  </si>
  <si>
    <t>Subsídios à exploração</t>
  </si>
  <si>
    <t>Ganhos/perdas imputados de subsidiárias, associadas e empreendimentos conjuntos</t>
  </si>
  <si>
    <t>Variação nos inventários da produção</t>
  </si>
  <si>
    <t>Trabalhos para a própria entidade</t>
  </si>
  <si>
    <t>Custo das mercadorias vendidas e das matérias consumidas</t>
  </si>
  <si>
    <t>Fornecimentos e serviços externos</t>
  </si>
  <si>
    <t>Gastos com o pessoal</t>
  </si>
  <si>
    <t>Imparidade de inventários (perdas/reversões)</t>
  </si>
  <si>
    <t>Imparidade de dívidas a receber (perdas/reversões)</t>
  </si>
  <si>
    <t>Provisões (aumentos/reduções)</t>
  </si>
  <si>
    <t>Imparidade de activos não depreciáveis/amortizáveis (perdas/reversões)</t>
  </si>
  <si>
    <t>Aumentos/reduções de justo valor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</si>
  <si>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</si>
  <si>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</si>
  <si>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</si>
  <si>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</si>
  <si>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Imparidade de activos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</si>
  <si>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</si>
  <si>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</si>
  <si>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</si>
  <si>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</si>
  <si>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 sobre o rendimento do período</t>
  </si>
  <si>
    <t>Resultado das actividades descontinuadas (líquido de impostos) incluído no resultado</t>
  </si>
  <si>
    <t>líquido do período</t>
  </si>
  <si>
    <t>Demonstração do custo das mercadorias vendidas e das matérias consumidas</t>
  </si>
  <si>
    <t>Existências Iniciais</t>
  </si>
  <si>
    <t>Mercadorias</t>
  </si>
  <si>
    <t>Matérias-primas, subsidiárias e de consumo</t>
  </si>
  <si>
    <t>Compras</t>
  </si>
  <si>
    <t>Existências Finais</t>
  </si>
  <si>
    <t>Reclassificação e regularização de inventários e activos biológicos</t>
  </si>
  <si>
    <t>Custo do período</t>
  </si>
  <si>
    <t>Demonstração da variação nos inventários da produção</t>
  </si>
  <si>
    <t>Produtos acabados e intermédios</t>
  </si>
  <si>
    <t>Subprodutos, desperdícios, resíduos e refugos</t>
  </si>
  <si>
    <t>Produtos e trabalhos em curso</t>
  </si>
  <si>
    <t>Aumento / Redução no exercício</t>
  </si>
  <si>
    <t>PERÍODO FINDO em  Dezembro de 2012</t>
  </si>
  <si>
    <t>588001- Outras Reservas</t>
  </si>
  <si>
    <t>2445001-IVA Apuramneto</t>
  </si>
  <si>
    <t>H pela Transferencia de Iva Dedutivel a Iva Apuramento</t>
  </si>
  <si>
    <t>H pela Transferencia de Iva liquidado a Iva Apuramento</t>
  </si>
  <si>
    <t>5931001-RAI</t>
  </si>
  <si>
    <t>3621001- Inventario</t>
  </si>
  <si>
    <t>H pela Transferencia de Iva Apuramento a Iva a Recuperar</t>
  </si>
  <si>
    <t>H Pelo transferencia do Saldo das Vendas a RAI</t>
  </si>
  <si>
    <t>H Pela Inventariação do Estoque</t>
  </si>
  <si>
    <t>H Pelo Apuramento dos Custos das mercadorias Vendidas e consumidas</t>
  </si>
  <si>
    <t>438001- Depreciação Acumulada</t>
  </si>
  <si>
    <t>2418001- Imposto a pagar</t>
  </si>
  <si>
    <t>5933001- RESULTADOS LIQUIDOS APURAMENTO</t>
  </si>
  <si>
    <t>581001- RESERVAS LEGAIS</t>
  </si>
  <si>
    <t>DEMONSTRAÇÃO INDIVIDUAL DE FLUXOS DE CAIXA</t>
  </si>
  <si>
    <t>RUBRICAS</t>
  </si>
  <si>
    <t>Fluxos de caixa das actividades operacionais - método directo</t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</si>
  <si>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</si>
  <si>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</si>
  <si>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</si>
  <si>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</si>
  <si>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</si>
  <si>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</si>
  <si>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Fluxos de caixa das actividades operacionais (1)</t>
  </si>
  <si>
    <t>Fluxos de caixa das actividades de investimento</t>
  </si>
  <si>
    <t>Pagamentos respeitantes a:</t>
  </si>
  <si>
    <t>Investimentos financeiros</t>
  </si>
  <si>
    <t>Outros activos</t>
  </si>
  <si>
    <t>Recebimentos provenientes de:</t>
  </si>
  <si>
    <t>Subsídios ao investimento</t>
  </si>
  <si>
    <t>Juros e rendimentos similares</t>
  </si>
  <si>
    <t>Dividendos</t>
  </si>
  <si>
    <t xml:space="preserve">                                               Fluxos de caixa das actividades de investimento (2)</t>
  </si>
  <si>
    <t>Fluxos de caixa das actividades de financiamento</t>
  </si>
  <si>
    <t>Realizações de capital e de outros instrumentos de capital próprio</t>
  </si>
  <si>
    <t>Cobertura de prejuízos</t>
  </si>
  <si>
    <t>Doações</t>
  </si>
  <si>
    <t>Outras operações de financiamento</t>
  </si>
  <si>
    <t>Juros e gastos similares</t>
  </si>
  <si>
    <t>Reduções de capital e de outros instrumentos de capital próprio</t>
  </si>
  <si>
    <t>Fluxos de caixa das actividades de financiamento (3)</t>
  </si>
  <si>
    <t>Variação de caixa e seus equivalentes (1+2+3)</t>
  </si>
  <si>
    <t>Efeito das diferenças de câmbio</t>
  </si>
  <si>
    <t>Caixa e seus equivalentes no início do período</t>
  </si>
  <si>
    <t>Caixa e seus equivalentes no fim do período</t>
  </si>
  <si>
    <t>PERÍODO FINDO em Dezembro DE 2012</t>
  </si>
  <si>
    <t>Controlo</t>
  </si>
  <si>
    <t>+/-</t>
  </si>
  <si>
    <t>(1)+(2)+(3)</t>
  </si>
  <si>
    <t>Variação de caixa e seus equivalentes</t>
  </si>
  <si>
    <t>(3)</t>
  </si>
  <si>
    <t>-</t>
  </si>
  <si>
    <t>+</t>
  </si>
  <si>
    <t>Outras operações de Financiamento</t>
  </si>
  <si>
    <t>(2)</t>
  </si>
  <si>
    <t>Activos intangíveis Investimentos financeiros</t>
  </si>
  <si>
    <t>(1)</t>
  </si>
  <si>
    <t>Fluxos de caixa das actividades operacionais</t>
  </si>
  <si>
    <t>-/+</t>
  </si>
  <si>
    <t xml:space="preserve">Caixa gerada pelas operações </t>
  </si>
  <si>
    <t xml:space="preserve">CAPITAL INICIAL -                     </t>
  </si>
  <si>
    <t>NUMERO DE ANOS</t>
  </si>
  <si>
    <t xml:space="preserve">TAXA DE JURO ( PERIODICO)    - </t>
  </si>
  <si>
    <t>NºPERIODOS POR ANO</t>
  </si>
  <si>
    <t>PRESTAÇAO       -</t>
  </si>
  <si>
    <t>Nº DE PRESTAÇOES</t>
  </si>
  <si>
    <t>Periodo</t>
  </si>
  <si>
    <t xml:space="preserve">Capital em Divida </t>
  </si>
  <si>
    <t>Juros</t>
  </si>
  <si>
    <t>Amortização Docapital</t>
  </si>
  <si>
    <t>Prestação</t>
  </si>
  <si>
    <t>Capital em divida</t>
  </si>
  <si>
    <t>Imposto S</t>
  </si>
  <si>
    <t>RESUMO DO SERVIÇO DA DIVIDA</t>
  </si>
  <si>
    <t>Designação</t>
  </si>
  <si>
    <t>ano 0</t>
  </si>
  <si>
    <t>ano 1</t>
  </si>
  <si>
    <t>ano 2</t>
  </si>
  <si>
    <t>ano 3</t>
  </si>
  <si>
    <t>ano 4</t>
  </si>
  <si>
    <t>ano 5</t>
  </si>
  <si>
    <t>Total</t>
  </si>
  <si>
    <t>Capital em Divida Inicio</t>
  </si>
  <si>
    <t>Juros Ocorridos</t>
  </si>
  <si>
    <t>Reebolso Capital</t>
  </si>
  <si>
    <t>Total Prestações</t>
  </si>
  <si>
    <t>Imposto Selo</t>
  </si>
  <si>
    <t xml:space="preserve">Custo Medio Ponderado </t>
  </si>
  <si>
    <t>H pela venda dos produtos C/Iva a taxa de 15%</t>
  </si>
  <si>
    <t>H Pelo pagamento da 1ª prestação do emprestimo efectuado c/ uma taxa de juros de 8,7% e Outras despesas</t>
  </si>
  <si>
    <t>H Pela venda dos produtos C/iva a taxa de 15%</t>
  </si>
  <si>
    <t>H Pelo pagamento do emprestimo efectuado c/ uma taxa de juros de 8,7%</t>
  </si>
  <si>
    <t>Entidade: CCCV, SA</t>
  </si>
  <si>
    <t>NCRF7</t>
  </si>
  <si>
    <t>CC</t>
  </si>
  <si>
    <t xml:space="preserve">Terrenos e recursos naturais </t>
  </si>
  <si>
    <t>Edifícios
e outras construções</t>
  </si>
  <si>
    <t>Equipamento básico</t>
  </si>
  <si>
    <t>Equipamento de transporte</t>
  </si>
  <si>
    <t>Equipamento administrativo</t>
  </si>
  <si>
    <t>Equipamentos biológicos</t>
  </si>
  <si>
    <t>Outros activos fixos tangíveis</t>
  </si>
  <si>
    <t>Activos fixos tangíveis em curso</t>
  </si>
  <si>
    <t>Totais</t>
  </si>
  <si>
    <t>Terrenos</t>
  </si>
  <si>
    <t>Edifícios</t>
  </si>
  <si>
    <t xml:space="preserve">§72 (c) </t>
  </si>
  <si>
    <t>43(1a7)
(si N-1)</t>
  </si>
  <si>
    <t>Quantias brutas escrituradas</t>
  </si>
  <si>
    <t>438 e 439
(si N-1)</t>
  </si>
  <si>
    <t>Depreciações e perdas por imparidade acumuladas</t>
  </si>
  <si>
    <t>§72 (c) 
§72 (e)</t>
  </si>
  <si>
    <t>43(1a7)-438-439(si N-1)</t>
  </si>
  <si>
    <t>Quantias líquidas escrituradas</t>
  </si>
  <si>
    <t xml:space="preserve">§72 (e) </t>
  </si>
  <si>
    <t>43(1a7)</t>
  </si>
  <si>
    <t>Adições</t>
  </si>
  <si>
    <t>43X / 58
58 / 43X</t>
  </si>
  <si>
    <t>Revalorizações</t>
  </si>
  <si>
    <t>43X / 43Y
43X / 45</t>
  </si>
  <si>
    <t>Transferências</t>
  </si>
  <si>
    <t>46 / 43X</t>
  </si>
  <si>
    <t>Reclassificações para activos não correntes detidos para venda</t>
  </si>
  <si>
    <t>687(1a3)/43X
787(1a2)/43X</t>
  </si>
  <si>
    <t>Alienações, sinistros e abates</t>
  </si>
  <si>
    <t>…</t>
  </si>
  <si>
    <t>Outras alterações</t>
  </si>
  <si>
    <t>Depreciações</t>
  </si>
  <si>
    <t>Perdas por imparidade</t>
  </si>
  <si>
    <r>
      <t>43(1a7)</t>
    </r>
    <r>
      <rPr>
        <sz val="5"/>
        <color indexed="56"/>
        <rFont val="Arial"/>
        <family val="2"/>
      </rPr>
      <t xml:space="preserve">
(sf N-1/si N)</t>
    </r>
  </si>
  <si>
    <r>
      <t>438 e 439</t>
    </r>
    <r>
      <rPr>
        <sz val="5"/>
        <color indexed="56"/>
        <rFont val="Arial"/>
        <family val="2"/>
      </rPr>
      <t xml:space="preserve">
(sf N-1/si N)</t>
    </r>
  </si>
  <si>
    <t>43(1a7)-438-439(sf N-1)</t>
  </si>
  <si>
    <t>43(1a7)
(sf N)</t>
  </si>
  <si>
    <t>Em 31.12.N</t>
  </si>
  <si>
    <t>438 e 439
(sf N)</t>
  </si>
  <si>
    <t>43(1a7)-438-439(sf N)</t>
  </si>
  <si>
    <t>(valores expressos em ECV)</t>
  </si>
  <si>
    <t>Em 01.01.N</t>
  </si>
  <si>
    <t>CÓDIGO DE CONTAS</t>
  </si>
  <si>
    <t>Notas</t>
  </si>
  <si>
    <t>31.12.N</t>
  </si>
  <si>
    <t>31.12.N-1</t>
  </si>
  <si>
    <t>ACTIVO</t>
  </si>
  <si>
    <t>43+453+455-459</t>
  </si>
  <si>
    <t>42+455+452-459</t>
  </si>
  <si>
    <t>44(excepto 441)+454+455-459</t>
  </si>
  <si>
    <t>4111+4121+4131-419</t>
  </si>
  <si>
    <t>Participações financeiras - Método da equivalência patrimonial</t>
  </si>
  <si>
    <t>4112+4122+4132+4141-419</t>
  </si>
  <si>
    <t>Participações financeiras - Outros métodos</t>
  </si>
  <si>
    <t>266+268-269</t>
  </si>
  <si>
    <t>Accionistas/Sócios</t>
  </si>
  <si>
    <t>4113+4123+4133+4142+415-419+451+455-459</t>
  </si>
  <si>
    <t>2741</t>
  </si>
  <si>
    <t>32+33+34+35+36+39</t>
  </si>
  <si>
    <t>211+212-219</t>
  </si>
  <si>
    <t>228-229+2713-279</t>
  </si>
  <si>
    <t>263+268-269</t>
  </si>
  <si>
    <t>232+238-239+2721+278-279</t>
  </si>
  <si>
    <t>1411+1421</t>
  </si>
  <si>
    <t>11+12+13</t>
  </si>
  <si>
    <t>Total do ACTIVO</t>
  </si>
  <si>
    <t>CAPITAL PRÓPRIO E PASSIVO</t>
  </si>
  <si>
    <t>CAPITAL PRÓPRIO</t>
  </si>
  <si>
    <t>51-261-262</t>
  </si>
  <si>
    <t>Total do Capital Próprio</t>
  </si>
  <si>
    <t>PASSIVO</t>
  </si>
  <si>
    <t>237+2711+2712+275</t>
  </si>
  <si>
    <t>221+222+225</t>
  </si>
  <si>
    <t>218+276</t>
  </si>
  <si>
    <t>264+265+268</t>
  </si>
  <si>
    <t>231+238+2711+2712+2722+278</t>
  </si>
  <si>
    <t>282+283</t>
  </si>
  <si>
    <t>1412+1422</t>
  </si>
  <si>
    <t>Total do Passivo</t>
  </si>
  <si>
    <t>Total do Capital Próprio e do Passivo</t>
  </si>
  <si>
    <r>
      <rPr>
        <b/>
        <sz val="8"/>
        <color indexed="18"/>
        <rFont val="Arial"/>
        <family val="2"/>
      </rPr>
      <t>(1)</t>
    </r>
    <r>
      <rPr>
        <sz val="8"/>
        <color indexed="18"/>
        <rFont val="Arial"/>
        <family val="2"/>
      </rPr>
      <t xml:space="preserve"> - O Euro, admitindo-se, em função da dimensão e exigências de relato, a possibilidade de expressão das quantias em milhares de Euros</t>
    </r>
  </si>
  <si>
    <t>Demonstração (individual) de fluxos de caixa do período findo em 31.12.N e 31.12.N-1</t>
  </si>
  <si>
    <t>+71+72</t>
  </si>
  <si>
    <t>+75</t>
  </si>
  <si>
    <t>+73</t>
  </si>
  <si>
    <t>+74</t>
  </si>
  <si>
    <t>-61</t>
  </si>
  <si>
    <t>Custo das mercadorias vendidas e matérias consumidas</t>
  </si>
  <si>
    <t>-62</t>
  </si>
  <si>
    <t>-63</t>
  </si>
  <si>
    <t>Gastos com pessoal</t>
  </si>
  <si>
    <t>-652+7622</t>
  </si>
  <si>
    <t>Imparidades de inventários (perdas/reversões)</t>
  </si>
  <si>
    <t>-651+7621</t>
  </si>
  <si>
    <t>Imparidades de dívidas a receber (perdas/reversões)</t>
  </si>
  <si>
    <t>-67+763</t>
  </si>
  <si>
    <t>-653-654-655-656-657+7623+7624+7625+7626+7627</t>
  </si>
  <si>
    <t>Outras imparidades (perdas/reversões)</t>
  </si>
  <si>
    <t>+77-66</t>
  </si>
  <si>
    <t>Aumentos/Reduções de justo valor</t>
  </si>
  <si>
    <t>+78(excepto 785)+791(excepto 7915)+798</t>
  </si>
  <si>
    <t>-68(excepto 685)-6918-6928-6988</t>
  </si>
  <si>
    <t>=</t>
  </si>
  <si>
    <t>-64+761</t>
  </si>
  <si>
    <t>+7915</t>
  </si>
  <si>
    <t>-6911-6921-6981</t>
  </si>
  <si>
    <t>Imposto sobre rendimento do período</t>
  </si>
  <si>
    <t>Resultado liquido do período</t>
  </si>
  <si>
    <t>Entidade:CCCV, SA</t>
  </si>
  <si>
    <t>DESCRIÇÃO</t>
  </si>
  <si>
    <t>Capital Próprio atribuído aos detentores do capital da empresa-mãe</t>
  </si>
  <si>
    <t>Prestações suplementares e outros instrumentos de capital próprio</t>
  </si>
  <si>
    <t>ALTERAÇÕES NO PERÍODO</t>
  </si>
  <si>
    <t>Primeira adopção de novo referencial contabilístico</t>
  </si>
  <si>
    <t>Alterações de políticas contabilísticas</t>
  </si>
  <si>
    <t>Diferenças de conversão de demonstrações financeiras</t>
  </si>
  <si>
    <t>Realização do excedente de revalorização de activos fixos tangíveis e intangíveis</t>
  </si>
  <si>
    <t>Excedentes de revalorização de activos fixos tangíveis e intangíveis e respectivas variações</t>
  </si>
  <si>
    <t>Ajustamentos por impostos diferidos</t>
  </si>
  <si>
    <t>Outras alterações reconhecidas no capital próprio</t>
  </si>
  <si>
    <t>RESULTADO LÍQUIDO DO PERÍODO</t>
  </si>
  <si>
    <t>RESULTADO INTEGRAL</t>
  </si>
  <si>
    <t>OPERAÇÕES COM DETENTORES DE CAPITAL NO PERÍODO</t>
  </si>
  <si>
    <t>Realizações de capital</t>
  </si>
  <si>
    <t>Realizações de prémios de emissão</t>
  </si>
  <si>
    <t>Distribuições</t>
  </si>
  <si>
    <t>Entradas para cobertura de perdas</t>
  </si>
  <si>
    <t>Outras operações</t>
  </si>
  <si>
    <t>POSIÇÃO NO INÍCIO DO PERÍODO N</t>
  </si>
  <si>
    <t>9=7+8</t>
  </si>
  <si>
    <t>POSIÇÃO NO FIM DO PERÍODO N</t>
  </si>
  <si>
    <t>11=6+7+8+10</t>
  </si>
  <si>
    <t>NCRF1</t>
  </si>
  <si>
    <t>Meios financeiros líquidos constantes do balanço</t>
  </si>
  <si>
    <t>Quantias disponíveis para uso</t>
  </si>
  <si>
    <t>Quantias indisponíveis para uso</t>
  </si>
  <si>
    <t>§31</t>
  </si>
  <si>
    <t>Caixa</t>
  </si>
  <si>
    <t>Numerário</t>
  </si>
  <si>
    <t>Subtotais</t>
  </si>
  <si>
    <t>Depósitos bancários</t>
  </si>
  <si>
    <t>Depósitos à ordem</t>
  </si>
  <si>
    <t>Outros depósitos bancários</t>
  </si>
  <si>
    <t>12
13</t>
  </si>
  <si>
    <t>Outros equivalentes de caixa</t>
  </si>
  <si>
    <t>(valores expressos em ECV</t>
  </si>
  <si>
    <t>Quantias de custos de empréstimos obtidos capitalizadas durante o período</t>
  </si>
  <si>
    <t>Período N</t>
  </si>
  <si>
    <t>Período N-1</t>
  </si>
  <si>
    <t xml:space="preserve">Serviços Bancarios </t>
  </si>
  <si>
    <t>Financiamento Obtido</t>
  </si>
  <si>
    <t>Anexo ME</t>
  </si>
  <si>
    <t>Movimentos ocorridos nas rubricas do capital próprio</t>
  </si>
  <si>
    <t>Capital</t>
  </si>
  <si>
    <t>Quotas próprias</t>
  </si>
  <si>
    <t>Reservas</t>
  </si>
  <si>
    <t>Excedentes revalorização de activos fixos tangíveis</t>
  </si>
  <si>
    <t>Ponto 14.3</t>
  </si>
  <si>
    <t>Saldo 31.12.N-2 (01.01.N-1)</t>
  </si>
  <si>
    <t>Aumentos (reduções) do capital</t>
  </si>
  <si>
    <t>Aquisições (alienações) de quotas próprias</t>
  </si>
  <si>
    <t>Realização (reembolso) de outros instrumentos de capital próprio</t>
  </si>
  <si>
    <t>Primeira adopção da NC-ME</t>
  </si>
  <si>
    <t>Correcções de erros de períodos anteriores</t>
  </si>
  <si>
    <t>(Distribuições) de resultados e reservas</t>
  </si>
  <si>
    <t>Aplicação do resultado líquido do período anterior</t>
  </si>
  <si>
    <t>Saldo 31.12.N-1 (01.01.N)</t>
  </si>
  <si>
    <t>Saldo 31.12.N</t>
  </si>
  <si>
    <t xml:space="preserve">Entidade: CCCV, SA </t>
  </si>
  <si>
    <t>Demonstração (individual) das alterações no capital próprio no período N</t>
  </si>
  <si>
    <t>12101-Deposito a Ordem</t>
  </si>
  <si>
    <t>211001- Cliente</t>
  </si>
  <si>
    <t>Ministério das Finanças</t>
  </si>
  <si>
    <t>CARACTERÍSTICAS DA DECLARAÇÃO</t>
  </si>
  <si>
    <t xml:space="preserve">PRIMEIRA  </t>
  </si>
  <si>
    <t>X</t>
  </si>
  <si>
    <t>ALTERAÇÕES</t>
  </si>
  <si>
    <t>OUTRA</t>
  </si>
  <si>
    <t>ANO DE EXERCÍCIO A QUE RESPEITA ESTA DECLARAÇÃO</t>
  </si>
  <si>
    <t>IMPOSTO ÚNICO SOBRE O RENDIMENTO</t>
  </si>
  <si>
    <t>MOD. 1  B</t>
  </si>
  <si>
    <t>O Funcionário,</t>
  </si>
  <si>
    <t>MÉTODO DE VERIFICAÇÃO</t>
  </si>
  <si>
    <t>Data da entrega:</t>
  </si>
  <si>
    <t>_______________________</t>
  </si>
  <si>
    <t>NOME COMPLETO DO CONTRIBUINTE, DOMICILIO FISCAL OU LOCAL DO ESTABELECIMENTO PRINCIPAL</t>
  </si>
  <si>
    <t>Nome:</t>
  </si>
  <si>
    <t>NIF</t>
  </si>
  <si>
    <t>Rua/Avenida/Lugar, etc.</t>
  </si>
  <si>
    <t>N.º</t>
  </si>
  <si>
    <t>Andar</t>
  </si>
  <si>
    <t>C. P.</t>
  </si>
  <si>
    <t>Localidade</t>
  </si>
  <si>
    <t>Actividade Principal</t>
  </si>
  <si>
    <t>Outras actividades</t>
  </si>
  <si>
    <t xml:space="preserve"> </t>
  </si>
  <si>
    <t>É importador</t>
  </si>
  <si>
    <t>Sim</t>
  </si>
  <si>
    <t>Possui estabelecimento comercial noutras áreas fiscais?</t>
  </si>
  <si>
    <t>Não</t>
  </si>
  <si>
    <t>QUADRO 1</t>
  </si>
  <si>
    <t>APURAMENTO RESULTADO FISCAL</t>
  </si>
  <si>
    <t>1- Resultado do exercício (linha 34 do Quadro 5)</t>
  </si>
  <si>
    <t>2-Proveitos não tributáveios</t>
  </si>
  <si>
    <t>2.1.- Utilizações e provisões para impostos s/ lucros exercicio anterior</t>
  </si>
  <si>
    <t>2.2.- Reposição e provisões tributadas em exercícios anteriores</t>
  </si>
  <si>
    <t>2.3.- Reembolso de imposto de exercício anteriores</t>
  </si>
  <si>
    <t>Soma:</t>
  </si>
  <si>
    <t>3- Custos inaceitáveis para efeitos fiscais</t>
  </si>
  <si>
    <t>3.1.- As reintegrações e amortizações não contabilizadas como custos ou perda</t>
  </si>
  <si>
    <t>3.2.- Reintegrações e amortizações que excederam o período máximo de vida</t>
  </si>
  <si>
    <t>3.4.- Provisões para além dos limites legais</t>
  </si>
  <si>
    <t>3.5.- Despesas de reprtesentações exageradas</t>
  </si>
  <si>
    <t>3.6.- Imposto Único sobre o Rendimento</t>
  </si>
  <si>
    <t>3.7.- Importância de multas por infracções fiscais</t>
  </si>
  <si>
    <t xml:space="preserve">3.8.- </t>
  </si>
  <si>
    <r>
      <t>4- Lucro ou Prejuízo Fiscal (1 - 2 ) + 3</t>
    </r>
    <r>
      <rPr>
        <sz val="8"/>
        <rFont val="Arial"/>
        <family val="2"/>
      </rPr>
      <t xml:space="preserve">                                                                                                           SOMA:</t>
    </r>
  </si>
  <si>
    <t>QUADRO 2</t>
  </si>
  <si>
    <t>APURAMENTO DA MATÉRIA COLECTÁVEL</t>
  </si>
  <si>
    <t>A- Lucro Fiscal (Linha 4 do Quadro 1)                                                                                                              (1) -</t>
  </si>
  <si>
    <t>B- Deduções</t>
  </si>
  <si>
    <t>B.1.- Rendimentos de quotas ou partes sociais</t>
  </si>
  <si>
    <t>B.2.- Rendimentos líquidos no estrangeiro</t>
  </si>
  <si>
    <t xml:space="preserve">                                                                                                                        Soma: (2) -</t>
  </si>
  <si>
    <t>B- Deduções-Prejuízos Fiscais</t>
  </si>
  <si>
    <t>B.6.- Exercício de …….</t>
  </si>
  <si>
    <t>Soma (3) -</t>
  </si>
  <si>
    <t>B.8.- Exercício de …….</t>
  </si>
  <si>
    <t>B.9.- Exercício de …….</t>
  </si>
  <si>
    <t>Soma (4) -</t>
  </si>
  <si>
    <t>Matéria colecável: 1 - (2 + 3 + 4)</t>
  </si>
  <si>
    <t>Matéria colecável</t>
  </si>
  <si>
    <t>Matéria colecável Declarada</t>
  </si>
  <si>
    <t xml:space="preserve">X Taxa  (30%) = </t>
  </si>
  <si>
    <t>Matéria colecável corrigida</t>
  </si>
  <si>
    <t>Liquidação Provisória (Colecta) =</t>
  </si>
  <si>
    <t>Colecta</t>
  </si>
  <si>
    <t>QUADRO 3</t>
  </si>
  <si>
    <t>VARIAÇÃO DAS EXISTÊNCIAS DA PRODUÇÃO</t>
  </si>
  <si>
    <t>Existências Iniciais (A)</t>
  </si>
  <si>
    <t>Exisências Finais (C)</t>
  </si>
  <si>
    <t>Variação</t>
  </si>
  <si>
    <t>1- Produtos acabados e semiacabados</t>
  </si>
  <si>
    <t>2- Sub produtos, desperdícios, refugos e resíduos</t>
  </si>
  <si>
    <t>3- Produtos ou trabalhos em curso</t>
  </si>
  <si>
    <t>4- Totais (1 + 2 + 3)</t>
  </si>
  <si>
    <t>QUADRO 4</t>
  </si>
  <si>
    <t>CUSTOS DE EXISTÊNCIAS VENDIDAS E CONSUMIDAS</t>
  </si>
  <si>
    <t>Compras Líquidas (B)</t>
  </si>
  <si>
    <t>Custos (A + B) - C</t>
  </si>
  <si>
    <t>1- Mercadorias</t>
  </si>
  <si>
    <t>2- Matérias primas, Sub, ou de consumo</t>
  </si>
  <si>
    <t>3- Totais (1 + 2)</t>
  </si>
  <si>
    <t>QUADRO 5</t>
  </si>
  <si>
    <t>DEMONSTRAÇÃO DE RESULTADO DO EXERCÍCIO</t>
  </si>
  <si>
    <t>CUSTOS</t>
  </si>
  <si>
    <t>1- Custos das existências vendidas e consumidas (Linha 3 quadro 4)</t>
  </si>
  <si>
    <t>2- Subcontratos (Trabalhos executados por terceiros)</t>
  </si>
  <si>
    <t>3- Fornecimento de serviços de terceiros</t>
  </si>
  <si>
    <t>4- Impostos indirectos (não incluídos nas compras)</t>
  </si>
  <si>
    <t xml:space="preserve">5 - Soma ( 1 + 2 + 3 + 4) </t>
  </si>
  <si>
    <t>6- Impostos directos</t>
  </si>
  <si>
    <t>7- Despesas com o pessoal</t>
  </si>
  <si>
    <t>8- Despesas financeiras</t>
  </si>
  <si>
    <t>9- Outras despesas e encargos</t>
  </si>
  <si>
    <t>10- Amortizações e reintegrações do exercício</t>
  </si>
  <si>
    <t>11- Provisões do exercício</t>
  </si>
  <si>
    <t>12- Perdas extraordinárias do exercício</t>
  </si>
  <si>
    <t>13- soma (6 + 7 + 8 + 9 + 10 + 11 + 12)</t>
  </si>
  <si>
    <t>14- Perdas de exercícios anteriores</t>
  </si>
  <si>
    <t>15- Total dos custos (5 + 13) + 14</t>
  </si>
  <si>
    <t>PROVEITOS</t>
  </si>
  <si>
    <t>16- Vendas de mercadorias (Líquidos de devoluções e abatimentos)</t>
  </si>
  <si>
    <t>17- Vendas de produtos (Líquidos de devoluções e abatimentos)</t>
  </si>
  <si>
    <t>18- Prestações de serviços</t>
  </si>
  <si>
    <t>19- Soma (16 + 17+ 18)</t>
  </si>
  <si>
    <t>20- Trabalhos para a própria empresa</t>
  </si>
  <si>
    <t>21- Variação das existências da produção</t>
  </si>
  <si>
    <t>22- Subsídios destinados à exportação</t>
  </si>
  <si>
    <t>23- Receitas suplementares</t>
  </si>
  <si>
    <t>24- Soma (20 + 21+ 22 + 23)</t>
  </si>
  <si>
    <t>25- Receitas financeiras correntes</t>
  </si>
  <si>
    <t>26- Receitas de aplicações financeiras</t>
  </si>
  <si>
    <t>27- Outras receitas</t>
  </si>
  <si>
    <t>28- Utilização de provisões</t>
  </si>
  <si>
    <t>29- Ganhos extraordinários do exercício</t>
  </si>
  <si>
    <t>30- Soma (25 + 26 + 28 + 29)</t>
  </si>
  <si>
    <t>31- Ganhos de exercícios anteriores</t>
  </si>
  <si>
    <t>32- Total dos proveitos (19 + 24 + 30) + 31</t>
  </si>
  <si>
    <t>33- Provisão para imposto sobre lucros</t>
  </si>
  <si>
    <t>34- RESULTADO DO EXERCÍCIO (32 - 15) + 33</t>
  </si>
  <si>
    <t>QUADRO 6</t>
  </si>
  <si>
    <t>FORNECIMENTO DE SERVIÇOS DE TERCEIROS</t>
  </si>
  <si>
    <t xml:space="preserve">Água </t>
  </si>
  <si>
    <t>Electricidade</t>
  </si>
  <si>
    <t>Combustíveis e outros fluídos</t>
  </si>
  <si>
    <t>Materiais de conservação e reparação</t>
  </si>
  <si>
    <t>Ferramentas e utensílios de desgaste rápido</t>
  </si>
  <si>
    <t>Material de escritório</t>
  </si>
  <si>
    <t>Material de publicidade e propaganda</t>
  </si>
  <si>
    <t>Fornecimentos diversos</t>
  </si>
  <si>
    <t>Rendas e alugueres</t>
  </si>
  <si>
    <t>Despesas de representação</t>
  </si>
  <si>
    <t>Conservação e reparação</t>
  </si>
  <si>
    <t>Comunicação</t>
  </si>
  <si>
    <t>Seguros</t>
  </si>
  <si>
    <t>Publicidade e propaganda</t>
  </si>
  <si>
    <t>Trabalhos especializados</t>
  </si>
  <si>
    <t>Royalites</t>
  </si>
  <si>
    <t>Transporte de mercadorias</t>
  </si>
  <si>
    <t>Transporte de pessoal</t>
  </si>
  <si>
    <t>Deslocações e estadias</t>
  </si>
  <si>
    <t>Comissões e intermediários</t>
  </si>
  <si>
    <t>Honorários</t>
  </si>
  <si>
    <t>Contencioso e Notariado</t>
  </si>
  <si>
    <t>Trabalhos executados no exterior</t>
  </si>
  <si>
    <t>Serviços diversos</t>
  </si>
  <si>
    <t>Total (Linha 3 Quadro 5)</t>
  </si>
  <si>
    <t>QUADRO 7</t>
  </si>
  <si>
    <t>DESPESAS COM PESSOAL</t>
  </si>
  <si>
    <t>Remunerações dos corpos gerentes</t>
  </si>
  <si>
    <t>Ordenados e salários</t>
  </si>
  <si>
    <t>Remunerações adicionais + SOATDP + Despesas Diversas com o Pessoal</t>
  </si>
  <si>
    <t>Encargos sobre Remunerações</t>
  </si>
  <si>
    <t xml:space="preserve">A DECLARAÇÃO MOD. 113 FOI ENTREGUE EM </t>
  </si>
  <si>
    <t>VALOR TOTAL DAS REMUNERAÇÕES</t>
  </si>
  <si>
    <t>Assinatura e data</t>
  </si>
  <si>
    <t>Técnico de contas</t>
  </si>
  <si>
    <t>Contribuinte</t>
  </si>
  <si>
    <t xml:space="preserve">Para os efeitos do art.º 6.º do D.L. 37/92 de 16 de Abril, eu </t>
  </si>
  <si>
    <t>declaro que a presente declaração está em conformidade com a regulamentação contabilística e o real apuramento do imposto.</t>
  </si>
  <si>
    <t>____________________________________________</t>
  </si>
  <si>
    <t>Assinatura</t>
  </si>
  <si>
    <t>A presente declaração deve ser apresentada, durante os meses de Março a Maio, na Repartição de Finanças da sede ou domicílio fiscal do contribuinte</t>
  </si>
  <si>
    <t>A declaração será assinada, pelo Contribuinte ou seu representante legal, pelo técnico de contas respectivo e acompanhada da guia GP010, caso haja opção pela autoliquidação</t>
  </si>
  <si>
    <t>Os documentos obrigatórios que fazem parte integrante desta declaração são:</t>
  </si>
  <si>
    <t>a)- Copia da acta da reunião ou assembleia de aprovação de contas e a do parecer do Conselho Fiscal ou da Revisão de contas, quando legalmente exigidos</t>
  </si>
  <si>
    <t>b)- Balancetes de verificação do razão geral antes e depois dos lançamentos rectificados ou regularização e de apuramento dos resultados do exercício.</t>
  </si>
  <si>
    <t>c)- Balanço analítico final do exercício, extraído dos livros competentes, com indicação das pessoas que o assinaram;</t>
  </si>
  <si>
    <t>d)- Mapa de demonstração dos resultados líquidos e, sempre que necessário a um mais completo esclarecimento da conta ou contas de exploração, balancetes demonstrativos;</t>
  </si>
  <si>
    <t>e)-Relatório técnico onde, com base em mapas discriminativos, se comente suscintamente os elementos pedidos na alínea f) no n.º 4 do art.º 48.º do Regulamento do imposto industrial</t>
  </si>
  <si>
    <t>f)- Comprovativos dos pagamentos por conta da liquidação provisória referidos no n.º     do ar.º 65.º do Regulamento do Imposto Único sobre os Rendimentos (IUR)</t>
  </si>
  <si>
    <t>Para qualquer esclarecimento dirija-se à sua Repartição de Finanças.</t>
  </si>
  <si>
    <t>Suavize o pagamento do seu Imposto com os seus pagamentos por conta</t>
  </si>
  <si>
    <t>OBRIGAÇÕES ACESSÓRIAS</t>
  </si>
  <si>
    <t>REGIME NORMAL</t>
  </si>
  <si>
    <t>REGIME SIMPLIFICADO</t>
  </si>
  <si>
    <t>Decalarção</t>
  </si>
  <si>
    <t>MOD. 1B - 30 de Maio</t>
  </si>
  <si>
    <t>MOD. 1A- 31 de Março</t>
  </si>
  <si>
    <t>Fixação</t>
  </si>
  <si>
    <t>30 de Junho</t>
  </si>
  <si>
    <t>30 de Maio</t>
  </si>
  <si>
    <t>Liquidação Correctiva</t>
  </si>
  <si>
    <t>31 de Julho</t>
  </si>
  <si>
    <t>Cobrança</t>
  </si>
  <si>
    <t>Janeiro (Provisória)</t>
  </si>
  <si>
    <t>Agosto (Correctiva)</t>
  </si>
  <si>
    <t>REPARTIÇÃO DE FINANÇAS DA PRAIA</t>
  </si>
  <si>
    <t>Cana-Cana Cv, SA</t>
  </si>
  <si>
    <t>SA-Praia</t>
  </si>
  <si>
    <t>Produção e Distribuição de Aguardente</t>
  </si>
  <si>
    <t xml:space="preserve">Produção de Pontche e Licor </t>
  </si>
  <si>
    <t xml:space="preserve">          -05-2013</t>
  </si>
  <si>
    <t>Data:       /05/2012</t>
  </si>
  <si>
    <t xml:space="preserve">    -     -2012</t>
  </si>
  <si>
    <t>B.4.- Exercício de 2011</t>
  </si>
  <si>
    <t>B.5.- Exercício de 2010</t>
  </si>
  <si>
    <t>B.7.- Exercício de 2012</t>
  </si>
  <si>
    <t>Achada Salineiro, Ribeira Grande de Santiago</t>
  </si>
  <si>
    <t>REPUBLICA DE CABO VERDE</t>
  </si>
  <si>
    <t>DIRECÇAO GERAL DAS CONTRIBUIÇOES E IMPOSTOS</t>
  </si>
  <si>
    <t>MINISTERIO DAS FINANÇAS, PLANEAMENTO E DESENVOLVIMENTO REGIONAL</t>
  </si>
  <si>
    <t>IMPOSTO SOBRE O VALOR ACRESCENTADO</t>
  </si>
  <si>
    <t>I</t>
  </si>
  <si>
    <t>II</t>
  </si>
  <si>
    <t>TIPO DE DECLARAÇAO</t>
  </si>
  <si>
    <t>III</t>
  </si>
  <si>
    <t>NUMERO DE IDENTIFICAÇAO FISCAL:</t>
  </si>
  <si>
    <r>
      <t xml:space="preserve">DECLARAÇAO PERIODO                  </t>
    </r>
    <r>
      <rPr>
        <sz val="8"/>
        <rFont val="Arial"/>
        <family val="2"/>
      </rPr>
      <t>DO REGIME NORMAL   MODELO 106</t>
    </r>
  </si>
  <si>
    <t>1-</t>
  </si>
  <si>
    <t>x</t>
  </si>
  <si>
    <t>NO PRAZO NORMAL</t>
  </si>
  <si>
    <t>2-</t>
  </si>
  <si>
    <t>FORA DO PRAZO</t>
  </si>
  <si>
    <t>3-</t>
  </si>
  <si>
    <t>SUBSTITUI DP APRESENTADA</t>
  </si>
  <si>
    <r>
      <t xml:space="preserve"> IV </t>
    </r>
    <r>
      <rPr>
        <b/>
        <sz val="7"/>
        <color indexed="9"/>
        <rFont val="Times New Roman"/>
        <family val="1"/>
      </rPr>
      <t xml:space="preserve"> - </t>
    </r>
    <r>
      <rPr>
        <b/>
        <sz val="7"/>
        <rFont val="Times New Roman"/>
        <family val="1"/>
      </rPr>
      <t>PERÍODO A QUE RESPEITA A DECLARAÇÃO:</t>
    </r>
  </si>
  <si>
    <r>
      <t xml:space="preserve"> V </t>
    </r>
    <r>
      <rPr>
        <b/>
        <sz val="7"/>
        <color indexed="9"/>
        <rFont val="Times New Roman"/>
        <family val="1"/>
      </rPr>
      <t xml:space="preserve"> </t>
    </r>
    <r>
      <rPr>
        <b/>
        <sz val="7"/>
        <rFont val="Times New Roman"/>
        <family val="1"/>
      </rPr>
      <t>- REPARTIÇÃO DE FINANÇAS COMPETENTE:</t>
    </r>
  </si>
  <si>
    <r>
      <t>1- ANO DE</t>
    </r>
    <r>
      <rPr>
        <sz val="11"/>
        <color theme="1"/>
        <rFont val="Calibri"/>
        <family val="2"/>
        <scheme val="minor"/>
      </rPr>
      <t xml:space="preserve"> </t>
    </r>
  </si>
  <si>
    <r>
      <t>2 - MÊS DE</t>
    </r>
    <r>
      <rPr>
        <sz val="11"/>
        <color theme="1"/>
        <rFont val="Calibri"/>
        <family val="2"/>
        <scheme val="minor"/>
      </rPr>
      <t xml:space="preserve"> </t>
    </r>
  </si>
  <si>
    <t>1- Repartiçao de Finaças da Praia</t>
  </si>
  <si>
    <r>
      <t xml:space="preserve">VI   </t>
    </r>
    <r>
      <rPr>
        <b/>
        <sz val="7"/>
        <rFont val="Times New Roman"/>
        <family val="1"/>
      </rPr>
      <t xml:space="preserve">  NOME, DESIGN SOCIAL DO SUJEITO PASSIVO, SEDE, ESTABELECIMENTO PRINCIPAL, REPRESENTAÇÃO OU DOMICÍLIO</t>
    </r>
  </si>
  <si>
    <t>Nome, Designaçao Social do Sujeito Pasivo, Estabelecimento Principal, Representaçao ou Domicílio</t>
  </si>
  <si>
    <t xml:space="preserve">1 – NOME/DESIGNAÇÃO SOCIAL </t>
  </si>
  <si>
    <t>2 - Rua, Praça, Avenida, Lugar:</t>
  </si>
  <si>
    <t>3 – Número:</t>
  </si>
  <si>
    <t>4 - Andar:</t>
  </si>
  <si>
    <t>5 – Localidade:</t>
  </si>
  <si>
    <t>6 - Vila / Cidade:</t>
  </si>
  <si>
    <t>7 – Telefone/Fax:</t>
  </si>
  <si>
    <t>8 – Ilha:</t>
  </si>
  <si>
    <t>9 - Caixa Postal:</t>
  </si>
  <si>
    <t>Santiago</t>
  </si>
  <si>
    <t>VII</t>
  </si>
  <si>
    <t>EXISTÊNCIA DE OPERAÇÕES</t>
  </si>
  <si>
    <t xml:space="preserve">       Se no período não realizou operaçaões activas nem passivas, assinale  1</t>
  </si>
  <si>
    <r>
      <t>e passe para o quadro</t>
    </r>
    <r>
      <rPr>
        <b/>
        <sz val="8"/>
        <rFont val="Arial"/>
        <family val="2"/>
      </rPr>
      <t xml:space="preserve"> XIII</t>
    </r>
  </si>
  <si>
    <t>VIII</t>
  </si>
  <si>
    <t>APURAMENTO DO IMPOSTO RESPEITANTE AO PERÍODO A QUE RESPEITA A DECLARAÇÃO</t>
  </si>
  <si>
    <t>TIPO DE OPERAÇÕES</t>
  </si>
  <si>
    <t>BASE TRIBUTÁVEL</t>
  </si>
  <si>
    <t>IMPOSTO A FAVOR DO SUJ PASSIVO</t>
  </si>
  <si>
    <t>IMPOSTO A FAVOR DO ESTADO</t>
  </si>
  <si>
    <t xml:space="preserve">1- Transmissões de bens e prestação de serviços tributadas.. . . .. . .. ... .. . . . . . . . . . . . . . .  </t>
  </si>
  <si>
    <t xml:space="preserve">2 – IVA liquidado nas operações do nº 1 </t>
  </si>
  <si>
    <t>3 - IVA liquidado na aquisição dos serviços fornecidos por um prestador que não tenha sede, estabelecimento estável ou domicílio em Cabo Verde</t>
  </si>
  <si>
    <t>4 - Transmissões de bens e prestação de serviços Isentas:       - Com direito a dedução: . . . . . . . . . . .</t>
  </si>
  <si>
    <t xml:space="preserve"> - Sem direito a dedução.(art.9º exc.15, 28,29,32 e 33 ) </t>
  </si>
  <si>
    <t xml:space="preserve">5 – Imposto Dedutível respeitante a transmissões de bens e prestações de serviço efectuadas ao sujeito passivo declarante: </t>
  </si>
  <si>
    <r>
      <t xml:space="preserve">              </t>
    </r>
    <r>
      <rPr>
        <sz val="7"/>
        <rFont val="Times New Roman"/>
        <family val="1"/>
      </rPr>
      <t>- Imobilizado:  .  . . . . .  . . . . . . . . . . . .</t>
    </r>
  </si>
  <si>
    <r>
      <t xml:space="preserve">              </t>
    </r>
    <r>
      <rPr>
        <sz val="7"/>
        <rFont val="Times New Roman"/>
        <family val="1"/>
      </rPr>
      <t>- Existências:  . . . . . . . . . .  . . . .. . . . . .</t>
    </r>
  </si>
  <si>
    <r>
      <t xml:space="preserve">              </t>
    </r>
    <r>
      <rPr>
        <sz val="7"/>
        <rFont val="Times New Roman"/>
        <family val="1"/>
      </rPr>
      <t>- Outros bens e serviços:  . . . . . . . . . . .</t>
    </r>
  </si>
  <si>
    <t xml:space="preserve">6 – Imposto Dedutível Suportado  nas importações de bens efectuadas pelo SP. : . . . . . </t>
  </si>
  <si>
    <t xml:space="preserve">7 – Imposto Dedutível pela aquisição dos serviços referidos no nº 3. . . . . . . . . . . . . . . . . . . . . . . . . . . . . </t>
  </si>
  <si>
    <t xml:space="preserve">8 – Regularizações mensais ou anuais comunicadas pela Administração Fiscal: . . . . </t>
  </si>
  <si>
    <t xml:space="preserve">9 – Regularizações mensais ou anuais, excepto as comunicadas pela Administração Fiscal: . . . . </t>
  </si>
  <si>
    <t>Valor da Liquidação</t>
  </si>
  <si>
    <t>Valor antes da utilização do excesso a reportar de períodos anteriores</t>
  </si>
  <si>
    <r>
      <t xml:space="preserve">                                    </t>
    </r>
    <r>
      <rPr>
        <b/>
        <sz val="7"/>
        <rFont val="Times New Roman"/>
        <family val="1"/>
      </rPr>
      <t>15=(01+04+05</t>
    </r>
    <r>
      <rPr>
        <sz val="7"/>
        <rFont val="Times New Roman"/>
        <family val="1"/>
      </rPr>
      <t>)</t>
    </r>
  </si>
  <si>
    <t xml:space="preserve">  16=(06+07+08+09+10+11+13)</t>
  </si>
  <si>
    <t xml:space="preserve">      17=(02+03+12+14)</t>
  </si>
  <si>
    <t xml:space="preserve">Percentagem estimada (dedução parcial/pro rata) </t>
  </si>
  <si>
    <t>%</t>
  </si>
  <si>
    <r>
      <t xml:space="preserve">- </t>
    </r>
    <r>
      <rPr>
        <b/>
        <sz val="6"/>
        <rFont val="Times New Roman"/>
        <family val="1"/>
      </rPr>
      <t xml:space="preserve">UTILIZAÇÃO DE CRÉDITOS DE PERÍODOS ANTERIORES. Importante: </t>
    </r>
    <r>
      <rPr>
        <sz val="6"/>
        <rFont val="Times New Roman"/>
        <family val="1"/>
      </rPr>
      <t>só podem inscrever-se valor no Campo 19 se esta DP for apresentada no prazo legal.</t>
    </r>
  </si>
  <si>
    <t>- Excesso a reportar dos períodos anteriores</t>
  </si>
  <si>
    <t>IX</t>
  </si>
  <si>
    <t>IMPOSTO A PAGAR AO ESTADO</t>
  </si>
  <si>
    <t xml:space="preserve">1-ENTIDADE COMPETENTE: </t>
  </si>
  <si>
    <t xml:space="preserve">   2-DATA DE PAGAMENTO </t>
  </si>
  <si>
    <t xml:space="preserve">  IVA….</t>
  </si>
  <si>
    <t>JUROS…</t>
  </si>
  <si>
    <t>MULTA…</t>
  </si>
  <si>
    <t xml:space="preserve">                         (20)=(17-16-19)</t>
  </si>
  <si>
    <t xml:space="preserve">IMPORTÂNCIA A PAGAR: </t>
  </si>
  <si>
    <t>TOTAL:</t>
  </si>
  <si>
    <t xml:space="preserve">                                                                                                                                                                  (23)=(20+21+22)</t>
  </si>
  <si>
    <t>ORDEM DE TRANSFERÊNCIA</t>
  </si>
  <si>
    <t xml:space="preserve">Transferência conta a conta </t>
  </si>
  <si>
    <t>Sim   1</t>
  </si>
  <si>
    <t xml:space="preserve">    Não   2</t>
  </si>
  <si>
    <t>3. Z. Interbancária</t>
  </si>
  <si>
    <t xml:space="preserve">                        4. N.º Conta </t>
  </si>
  <si>
    <t>5. Banco</t>
  </si>
  <si>
    <t>6.</t>
  </si>
  <si>
    <t>Agencia</t>
  </si>
  <si>
    <t>XI</t>
  </si>
  <si>
    <t>ESPAÇO RESERVADO À VALIDAÇÃO MECÂNICA DO PAGAMENTO (sendo caso disso)</t>
  </si>
  <si>
    <t>XII</t>
  </si>
  <si>
    <t>IMPOSTO A RECUPERAR</t>
  </si>
  <si>
    <r>
      <t xml:space="preserve">CRÉDITO DE IMPOSTO                </t>
    </r>
    <r>
      <rPr>
        <sz val="8"/>
        <rFont val="Arial"/>
        <family val="2"/>
      </rPr>
      <t>SE ESTA DECLARAÇAO FOR APRESENTADA FORA DE PRAZO</t>
    </r>
  </si>
  <si>
    <t>1. REPORTE PARA O PERÍODO SEGUINTE :</t>
  </si>
  <si>
    <t>2.PEDIDO DE REEMBOLSO(*) :</t>
  </si>
  <si>
    <t>Se esta declaraçao for apresentada fora do prazo legal, por culpa do contribuinte, não preencha este quadro.</t>
  </si>
  <si>
    <t>Os pedidos de reembolso devem observar as disposiçoes legais aplicáveis ( Artigo 21.º do RegIVA).</t>
  </si>
  <si>
    <t>(*) O valor inscrito no número 2-campo 26 do Quadro XII, não pode voltar a ser inscrito no campo 19 do Quadro VIII na próxima declarçao</t>
  </si>
  <si>
    <t>sem que haja comunicaçao da Administraçao Fiscal para o efeito.</t>
  </si>
  <si>
    <t>APRESENTAÇAO DA DECLARAÇAO</t>
  </si>
  <si>
    <t>(A PREENCHER PELO SERVIÇO RECEPTOR)</t>
  </si>
  <si>
    <t>XIII</t>
  </si>
  <si>
    <t>XIV</t>
  </si>
  <si>
    <t>RECEPÇÃO E AUTENTICAÇAO DA DECLARÇAO</t>
  </si>
  <si>
    <t>A PRESENTE DECLARAÇAO É VERDADEIRA E NÃO</t>
  </si>
  <si>
    <t xml:space="preserve">           1- Número de Entrada:</t>
  </si>
  <si>
    <t>OMITE QUALQUER INFORMAÇAO RELEVANTE.</t>
  </si>
  <si>
    <t xml:space="preserve">                           2- Data:</t>
  </si>
  <si>
    <t xml:space="preserve">    1- Data:</t>
  </si>
  <si>
    <t xml:space="preserve">    2- Local:</t>
  </si>
  <si>
    <t>3-Assinatura do Receptor</t>
  </si>
  <si>
    <t>3- Assinatura do Suj Passivo/Representante</t>
  </si>
  <si>
    <t xml:space="preserve">  (AUTENTICAR COM CARIMBO DP SERVIÇO)</t>
  </si>
  <si>
    <t>___________________________________________</t>
  </si>
  <si>
    <t>___________________________________________________</t>
  </si>
  <si>
    <t>(Nome)</t>
  </si>
  <si>
    <t>(NOME E CARGO)</t>
  </si>
  <si>
    <t>OBSERVAÇOES</t>
  </si>
  <si>
    <t>A APRESENTAR NO PERÍODO SEGUINTE A QUE RESPEITAM AS OPERAÇOES OU AO MÊS ANTERIOR, CASO NÃO HAJAM SIDO REALIZADAS OPERAÇOES ACTIVAS NEM PASSIVAS.</t>
  </si>
  <si>
    <t>Dezenbro</t>
  </si>
  <si>
    <t>Cana Cana CV, SA</t>
  </si>
  <si>
    <t>Achada Salineiro</t>
  </si>
  <si>
    <t>SA- Praia</t>
  </si>
  <si>
    <t>Ribeira Grande de Santiago</t>
  </si>
  <si>
    <t>BCA - Banco Comercial do Atlãntico</t>
  </si>
  <si>
    <t>2447001- Iva a Receber</t>
  </si>
  <si>
    <t>xxxxxxxxxxxxxxxxxxxx</t>
  </si>
  <si>
    <t>ASA</t>
  </si>
  <si>
    <t xml:space="preserve"> PRAIA</t>
  </si>
  <si>
    <t>Salário</t>
  </si>
  <si>
    <t>Ordenado</t>
  </si>
  <si>
    <t xml:space="preserve">Encargos </t>
  </si>
  <si>
    <t>aguardente</t>
  </si>
  <si>
    <t>Venda</t>
  </si>
  <si>
    <t>Pontche</t>
  </si>
  <si>
    <t xml:space="preserve">Licor </t>
  </si>
  <si>
    <t>Produção</t>
  </si>
  <si>
    <t>Aguardente</t>
  </si>
  <si>
    <t>Licor</t>
  </si>
  <si>
    <t>Anual</t>
  </si>
  <si>
    <t>Valores em Litros</t>
  </si>
  <si>
    <t>Mensal</t>
  </si>
  <si>
    <t>Açucar</t>
  </si>
  <si>
    <t>cana-de-açúcar</t>
  </si>
  <si>
    <t>Diversos</t>
  </si>
  <si>
    <t>Compra</t>
  </si>
  <si>
    <t>Consumo</t>
  </si>
  <si>
    <t>Existêcia Final</t>
  </si>
  <si>
    <t>valores em mECV</t>
  </si>
  <si>
    <t>PREVISÂO</t>
  </si>
  <si>
    <t>31.12.2012</t>
  </si>
  <si>
    <t>Balanço (individual ) em 31.12.N e PREVISÂO</t>
  </si>
  <si>
    <t>Demonstração (individual ) dos resultados por naturezas do período findo em 31.12.N e Previsão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</si>
</sst>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4" formatCode="_-* #,##0.00\ &quot;€&quot;_-;\-* #,##0.00\ &quot;€&quot;_-;_-* &quot;-&quot;??\ &quot;€&quot;_-;_-@_-"/>
    <numFmt numFmtId="164" formatCode="#,##0.00\ ;\(#,##0.00\)"/>
    <numFmt numFmtId="165" formatCode="#,##0.00\ ;&quot; (&quot;#,##0.00\);&quot;&quot;"/>
    <numFmt numFmtId="166" formatCode="#&quot;  &quot;###&quot;  &quot;###"/>
    <numFmt numFmtId="167" formatCode="[$-816]mmm/yy;@"/>
    <numFmt numFmtId="168" formatCode="#,##0;\(#,##0\);\-"/>
    <numFmt numFmtId="169" formatCode="#,##0.00;\(#,##0.00\);0.00"/>
    <numFmt numFmtId="170" formatCode="#,##0.00;[Red]\(#,##0.00\)"/>
    <numFmt numFmtId="171" formatCode="#,##0.00;\(#,##0.00\);\-"/>
    <numFmt numFmtId="172" formatCode="_-* #,##0\ _E_s_c_._-;\-* #,##0\ _E_s_c_._-;_-* &quot;-&quot;\ _E_s_c_._-;_-@_-"/>
    <numFmt numFmtId="173" formatCode="_-* #,##0.00\ _E_s_c_._-;\-* #,##0.00\ _E_s_c_._-;_-* &quot;-&quot;??\ _E_s_c_._-;_-@_-"/>
    <numFmt numFmtId="174" formatCode="_-* #,##0\ &quot;Esc.&quot;_-;\-* #,##0\ &quot;Esc.&quot;_-;_-* &quot;-&quot;\ &quot;Esc.&quot;_-;_-@_-"/>
    <numFmt numFmtId="175" formatCode="_-* #,##0.00\ &quot;Esc.&quot;_-;\-* #,##0.00\ &quot;Esc.&quot;_-;_-* &quot;-&quot;??\ &quot;Esc.&quot;_-;_-@_-"/>
    <numFmt numFmtId="176" formatCode="#,##0;[Red]\-#,##0"/>
    <numFmt numFmtId="177" formatCode="0.00%\ ;[Red]\(0.00%\)"/>
    <numFmt numFmtId="178" formatCode="_(* #,##0_);_(* \(#,##0\);_(* &quot;-&quot;_);_(@_)"/>
    <numFmt numFmtId="179" formatCode="_(* #,##0.00_);_(* \(#,##0.00\);_(* &quot;-&quot;??_);_(@_)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-* #,##0.00_$_-;\-* #,##0.00_$_-;_-* &quot;-&quot;??_$_-;_-@_-"/>
    <numFmt numFmtId="183" formatCode="&quot;$&quot;#,##0_);\(&quot;$&quot;#,##0\)"/>
    <numFmt numFmtId="184" formatCode="&quot;Cr$&quot;#,##0_);\(&quot;Cr$&quot;#,##0\)"/>
    <numFmt numFmtId="185" formatCode="###\ ###\ ##0;\(###\ ###\ ##0\)"/>
    <numFmt numFmtId="186" formatCode="#,##0.0_);\(#,##0.0\)"/>
    <numFmt numFmtId="187" formatCode="0.0%"/>
    <numFmt numFmtId="188" formatCode="#,##0_);\(#,##0\)"/>
    <numFmt numFmtId="189" formatCode="#,##0.0"/>
    <numFmt numFmtId="190" formatCode="#,##0.00\ &quot;Esc.&quot;;[Red]\-#,##0.00\ &quot;Esc.&quot;"/>
    <numFmt numFmtId="191" formatCode="#,##0.00;\(#,##0.00\)"/>
    <numFmt numFmtId="192" formatCode="#,##0\ &quot;$&quot;"/>
    <numFmt numFmtId="193" formatCode="#,##0.0\ &quot;$&quot;"/>
    <numFmt numFmtId="194" formatCode="#,##0.00\ _E_s_c_."/>
    <numFmt numFmtId="195" formatCode="00"/>
    <numFmt numFmtId="196" formatCode="dd/mm/yyyy;@"/>
  </numFmts>
  <fonts count="15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Lohit Hindi"/>
      <family val="2"/>
    </font>
    <font>
      <sz val="10"/>
      <color indexed="9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9"/>
      <name val="Times New Roman"/>
      <family val="1"/>
    </font>
    <font>
      <b/>
      <sz val="18"/>
      <name val="Times New Roman"/>
      <family val="1"/>
    </font>
    <font>
      <sz val="18"/>
      <color theme="1"/>
      <name val="Times New Roman"/>
      <family val="1"/>
    </font>
    <font>
      <i/>
      <sz val="18"/>
      <name val="Times New Roman"/>
      <family val="1"/>
    </font>
    <font>
      <sz val="18"/>
      <name val="Times New Roman"/>
      <family val="1"/>
    </font>
    <font>
      <sz val="18"/>
      <color theme="0"/>
      <name val="Times New Roman"/>
      <family val="1"/>
    </font>
    <font>
      <sz val="20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  <font>
      <sz val="20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sz val="18"/>
      <color indexed="12"/>
      <name val="Times New Roman"/>
      <family val="1"/>
    </font>
    <font>
      <b/>
      <u/>
      <sz val="18"/>
      <name val="Arial"/>
      <family val="2"/>
    </font>
    <font>
      <sz val="14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3" tint="-0.249977111117893"/>
      <name val="Arial"/>
      <family val="2"/>
    </font>
    <font>
      <b/>
      <sz val="8"/>
      <color theme="3" tint="-0.249977111117893"/>
      <name val="Arial"/>
      <family val="2"/>
    </font>
    <font>
      <sz val="7"/>
      <color theme="3" tint="-0.249977111117893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u/>
      <sz val="8"/>
      <color theme="0"/>
      <name val="Arial"/>
      <family val="2"/>
    </font>
    <font>
      <sz val="8"/>
      <color theme="0" tint="-4.9989318521683403E-2"/>
      <name val="Arial"/>
      <family val="2"/>
    </font>
    <font>
      <sz val="9"/>
      <color theme="3" tint="-0.249977111117893"/>
      <name val="Arial"/>
      <family val="2"/>
    </font>
    <font>
      <b/>
      <i/>
      <sz val="9"/>
      <color theme="3" tint="-0.249977111117893"/>
      <name val="Arial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1"/>
      <name val="Garamond"/>
      <family val="1"/>
    </font>
    <font>
      <sz val="10"/>
      <name val="MS Sans Serif"/>
      <family val="2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6"/>
      <color indexed="9"/>
      <name val="Tahoma"/>
      <family val="2"/>
    </font>
    <font>
      <i/>
      <sz val="14"/>
      <color rgb="FFFF0000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name val="Arial"/>
      <family val="2"/>
    </font>
    <font>
      <sz val="14"/>
      <color indexed="12"/>
      <name val="Times New Roman"/>
      <family val="1"/>
    </font>
    <font>
      <sz val="14"/>
      <color rgb="FF000000"/>
      <name val="Calibri"/>
      <family val="2"/>
    </font>
    <font>
      <sz val="10"/>
      <color indexed="9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10"/>
      <color indexed="9"/>
      <name val="Arial Narrow"/>
      <family val="2"/>
    </font>
    <font>
      <b/>
      <sz val="11"/>
      <color theme="3" tint="0.39997558519241921"/>
      <name val="Arial Narrow"/>
      <family val="2"/>
    </font>
    <font>
      <b/>
      <sz val="11"/>
      <color rgb="FFFF0000"/>
      <name val="Arial Narrow"/>
      <family val="2"/>
    </font>
    <font>
      <i/>
      <sz val="11"/>
      <color rgb="FFFF0000"/>
      <name val="Arial Narrow"/>
      <family val="2"/>
    </font>
    <font>
      <b/>
      <sz val="14"/>
      <color theme="0"/>
      <name val="Arial"/>
      <family val="2"/>
    </font>
    <font>
      <sz val="14"/>
      <color theme="0"/>
      <name val="Calibri"/>
      <family val="2"/>
      <scheme val="minor"/>
    </font>
    <font>
      <sz val="7"/>
      <color theme="1"/>
      <name val="Arial"/>
      <family val="2"/>
    </font>
    <font>
      <i/>
      <sz val="7"/>
      <color theme="3" tint="-0.249977111117893"/>
      <name val="Arial"/>
      <family val="2"/>
    </font>
    <font>
      <sz val="7"/>
      <color theme="3" tint="-0.499984740745262"/>
      <name val="Arial"/>
      <family val="2"/>
    </font>
    <font>
      <sz val="9"/>
      <color theme="0"/>
      <name val="Arial"/>
      <family val="2"/>
    </font>
    <font>
      <sz val="8"/>
      <color rgb="FFFFFFFF"/>
      <name val="Arial"/>
      <family val="2"/>
    </font>
    <font>
      <sz val="9"/>
      <color theme="1"/>
      <name val="Arial"/>
      <family val="2"/>
    </font>
    <font>
      <sz val="6"/>
      <color theme="3" tint="-0.499984740745262"/>
      <name val="Arial"/>
      <family val="2"/>
    </font>
    <font>
      <sz val="7"/>
      <color theme="0"/>
      <name val="Arial"/>
      <family val="2"/>
    </font>
    <font>
      <sz val="5"/>
      <color theme="3" tint="-0.499984740745262"/>
      <name val="Arial"/>
      <family val="2"/>
    </font>
    <font>
      <sz val="4.5"/>
      <color theme="3" tint="-0.499984740745262"/>
      <name val="Arial"/>
      <family val="2"/>
    </font>
    <font>
      <sz val="5"/>
      <color indexed="56"/>
      <name val="Arial"/>
      <family val="2"/>
    </font>
    <font>
      <b/>
      <sz val="8"/>
      <color indexed="18"/>
      <name val="Arial"/>
      <family val="2"/>
    </font>
    <font>
      <sz val="6"/>
      <color theme="0"/>
      <name val="Arial"/>
      <family val="2"/>
    </font>
    <font>
      <b/>
      <sz val="7"/>
      <color theme="0"/>
      <name val="Arial"/>
      <family val="2"/>
    </font>
    <font>
      <sz val="8"/>
      <color indexed="18"/>
      <name val="Arial"/>
      <family val="2"/>
    </font>
    <font>
      <sz val="10"/>
      <color theme="0" tint="-4.9989318521683403E-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3" tint="-0.249977111117893"/>
      <name val="Arial"/>
      <family val="2"/>
    </font>
    <font>
      <sz val="12"/>
      <color theme="0"/>
      <name val="Arial"/>
      <family val="2"/>
    </font>
    <font>
      <sz val="12"/>
      <color theme="3" tint="-0.249977111117893"/>
      <name val="Arial"/>
      <family val="2"/>
    </font>
    <font>
      <b/>
      <sz val="12"/>
      <color theme="0"/>
      <name val="Tahoma"/>
      <family val="2"/>
    </font>
    <font>
      <sz val="12"/>
      <color theme="0"/>
      <name val="Tahoma"/>
      <family val="2"/>
    </font>
    <font>
      <sz val="8"/>
      <color theme="4" tint="0.59999389629810485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sz val="6"/>
      <name val="Times New Roman"/>
      <family val="1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u/>
      <sz val="8"/>
      <name val="Arial"/>
      <family val="2"/>
    </font>
    <font>
      <i/>
      <sz val="6"/>
      <name val="Arial"/>
      <family val="2"/>
    </font>
    <font>
      <sz val="12"/>
      <name val="Arial"/>
      <family val="2"/>
    </font>
    <font>
      <sz val="8"/>
      <name val="Times New Roman"/>
      <family val="1"/>
    </font>
    <font>
      <b/>
      <sz val="8"/>
      <name val="Bookman Old Style"/>
      <family val="1"/>
    </font>
    <font>
      <sz val="10"/>
      <name val="Times New Roman"/>
      <family val="1"/>
    </font>
    <font>
      <b/>
      <sz val="10"/>
      <name val="Bookman Old Style"/>
      <family val="1"/>
    </font>
    <font>
      <b/>
      <sz val="8"/>
      <color indexed="9"/>
      <name val="Times New Roman"/>
      <family val="1"/>
    </font>
    <font>
      <sz val="7"/>
      <name val="Times New Roman"/>
      <family val="1"/>
    </font>
    <font>
      <b/>
      <sz val="16"/>
      <name val="Arial"/>
      <family val="2"/>
    </font>
    <font>
      <b/>
      <sz val="10"/>
      <name val="Times New Roman"/>
      <family val="1"/>
    </font>
    <font>
      <b/>
      <sz val="7"/>
      <color indexed="9"/>
      <name val="Arial"/>
      <family val="2"/>
    </font>
    <font>
      <b/>
      <sz val="7"/>
      <color indexed="9"/>
      <name val="Times New Roman"/>
      <family val="1"/>
    </font>
    <font>
      <b/>
      <sz val="7"/>
      <name val="Times New Roman"/>
      <family val="1"/>
    </font>
    <font>
      <sz val="8"/>
      <name val="Arial"/>
      <family val="2"/>
    </font>
    <font>
      <sz val="7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sz val="6"/>
      <name val="Arial"/>
      <family val="2"/>
    </font>
    <font>
      <sz val="10"/>
      <color indexed="9"/>
      <name val="Arial"/>
      <family val="2"/>
    </font>
    <font>
      <b/>
      <sz val="6"/>
      <name val="Times New Roman"/>
      <family val="1"/>
    </font>
    <font>
      <b/>
      <sz val="9"/>
      <name val="Arial"/>
      <family val="2"/>
    </font>
    <font>
      <b/>
      <sz val="10"/>
      <color indexed="9"/>
      <name val="Times New Roman"/>
      <family val="1"/>
    </font>
    <font>
      <i/>
      <sz val="10"/>
      <name val="Times New Roman"/>
      <family val="1"/>
    </font>
    <font>
      <sz val="10"/>
      <color indexed="9"/>
      <name val="Times New Roman"/>
      <family val="1"/>
    </font>
    <font>
      <sz val="5"/>
      <name val="Times New Roman"/>
      <family val="1"/>
    </font>
    <font>
      <i/>
      <sz val="10"/>
      <name val="Arial"/>
      <family val="2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7375D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3"/>
        <bgColor indexed="64"/>
      </patternFill>
    </fill>
  </fills>
  <borders count="1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 tint="-4.9989318521683403E-2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/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/>
      <diagonal/>
    </border>
    <border>
      <left style="thin">
        <color theme="0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5">
    <xf numFmtId="0" fontId="0" fillId="0" borderId="0"/>
    <xf numFmtId="0" fontId="1" fillId="0" borderId="0"/>
    <xf numFmtId="165" fontId="4" fillId="0" borderId="0" applyFill="0" applyBorder="0" applyAlignment="0" applyProtection="0"/>
    <xf numFmtId="0" fontId="1" fillId="0" borderId="0"/>
    <xf numFmtId="0" fontId="36" fillId="0" borderId="0"/>
    <xf numFmtId="37" fontId="46" fillId="12" borderId="45" applyBorder="0" applyProtection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8" fillId="13" borderId="0" applyBorder="0">
      <alignment horizontal="left" vertical="center" indent="1"/>
    </xf>
    <xf numFmtId="172" fontId="49" fillId="0" borderId="0" applyFont="0" applyFill="0" applyBorder="0" applyAlignment="0" applyProtection="0"/>
    <xf numFmtId="173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5" fontId="49" fillId="0" borderId="0" applyFont="0" applyFill="0" applyBorder="0" applyAlignment="0" applyProtection="0"/>
    <xf numFmtId="0" fontId="1" fillId="14" borderId="66" applyNumberFormat="0">
      <alignment horizontal="center"/>
    </xf>
    <xf numFmtId="176" fontId="50" fillId="0" borderId="0" applyFont="0" applyFill="0" applyBorder="0" applyAlignment="0" applyProtection="0"/>
    <xf numFmtId="177" fontId="4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37" fontId="52" fillId="15" borderId="48" applyBorder="0">
      <alignment horizontal="left" vertical="center" indent="1"/>
    </xf>
    <xf numFmtId="37" fontId="53" fillId="0" borderId="67">
      <alignment vertical="center"/>
    </xf>
    <xf numFmtId="0" fontId="53" fillId="16" borderId="35" applyNumberFormat="0">
      <alignment horizontal="left" vertical="top" indent="1"/>
    </xf>
    <xf numFmtId="0" fontId="53" fillId="12" borderId="0" applyBorder="0">
      <alignment horizontal="left" vertical="center" indent="1"/>
    </xf>
    <xf numFmtId="0" fontId="53" fillId="0" borderId="35" applyNumberFormat="0" applyFill="0">
      <alignment horizontal="centerContinuous" vertical="top"/>
    </xf>
    <xf numFmtId="0" fontId="54" fillId="12" borderId="68" applyNumberFormat="0" applyBorder="0">
      <alignment horizontal="left" vertical="center" indent="1"/>
    </xf>
    <xf numFmtId="0" fontId="55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178" fontId="58" fillId="0" borderId="0" applyFont="0" applyFill="0" applyBorder="0" applyAlignment="0" applyProtection="0"/>
    <xf numFmtId="179" fontId="58" fillId="0" borderId="0" applyFont="0" applyFill="0" applyBorder="0" applyAlignment="0" applyProtection="0"/>
    <xf numFmtId="180" fontId="58" fillId="0" borderId="0" applyFont="0" applyFill="0" applyBorder="0" applyAlignment="0" applyProtection="0"/>
    <xf numFmtId="181" fontId="58" fillId="0" borderId="0" applyFont="0" applyFill="0" applyBorder="0" applyAlignment="0" applyProtection="0"/>
    <xf numFmtId="0" fontId="48" fillId="17" borderId="0">
      <alignment horizontal="right"/>
    </xf>
    <xf numFmtId="182" fontId="49" fillId="0" borderId="0"/>
    <xf numFmtId="182" fontId="49" fillId="0" borderId="0"/>
    <xf numFmtId="0" fontId="35" fillId="0" borderId="0"/>
    <xf numFmtId="0" fontId="36" fillId="0" borderId="0"/>
    <xf numFmtId="0" fontId="1" fillId="0" borderId="0"/>
    <xf numFmtId="0" fontId="36" fillId="0" borderId="0"/>
    <xf numFmtId="0" fontId="35" fillId="0" borderId="0"/>
    <xf numFmtId="0" fontId="1" fillId="0" borderId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9" fillId="13" borderId="0">
      <alignment horizontal="left" indent="1"/>
    </xf>
    <xf numFmtId="183" fontId="49" fillId="0" borderId="0"/>
    <xf numFmtId="0" fontId="60" fillId="13" borderId="0" applyBorder="0">
      <alignment horizontal="left" vertical="center" indent="1"/>
    </xf>
    <xf numFmtId="0" fontId="61" fillId="18" borderId="0" applyBorder="0">
      <alignment horizontal="left" vertical="center" indent="1"/>
    </xf>
    <xf numFmtId="184" fontId="49" fillId="0" borderId="0" applyFont="0" applyFill="0" applyBorder="0" applyAlignment="0" applyProtection="0"/>
    <xf numFmtId="185" fontId="49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104" fillId="0" borderId="0"/>
  </cellStyleXfs>
  <cellXfs count="1331">
    <xf numFmtId="0" fontId="0" fillId="0" borderId="0" xfId="0"/>
    <xf numFmtId="0" fontId="6" fillId="0" borderId="0" xfId="0" applyFont="1" applyBorder="1"/>
    <xf numFmtId="4" fontId="6" fillId="0" borderId="0" xfId="0" applyNumberFormat="1" applyFont="1" applyBorder="1"/>
    <xf numFmtId="0" fontId="7" fillId="0" borderId="0" xfId="0" applyFont="1" applyBorder="1" applyAlignment="1">
      <alignment horizontal="center"/>
    </xf>
    <xf numFmtId="4" fontId="6" fillId="0" borderId="21" xfId="0" applyNumberFormat="1" applyFont="1" applyBorder="1"/>
    <xf numFmtId="0" fontId="6" fillId="0" borderId="0" xfId="0" applyFont="1"/>
    <xf numFmtId="16" fontId="6" fillId="0" borderId="21" xfId="0" applyNumberFormat="1" applyFont="1" applyBorder="1"/>
    <xf numFmtId="0" fontId="6" fillId="0" borderId="21" xfId="0" applyFont="1" applyBorder="1"/>
    <xf numFmtId="0" fontId="9" fillId="0" borderId="25" xfId="0" applyFont="1" applyBorder="1"/>
    <xf numFmtId="4" fontId="9" fillId="0" borderId="26" xfId="0" applyNumberFormat="1" applyFont="1" applyBorder="1" applyAlignment="1">
      <alignment horizontal="right"/>
    </xf>
    <xf numFmtId="4" fontId="6" fillId="0" borderId="20" xfId="0" applyNumberFormat="1" applyFont="1" applyBorder="1" applyAlignment="1">
      <alignment horizontal="right"/>
    </xf>
    <xf numFmtId="4" fontId="9" fillId="0" borderId="21" xfId="0" applyNumberFormat="1" applyFont="1" applyBorder="1" applyAlignment="1">
      <alignment horizontal="right"/>
    </xf>
    <xf numFmtId="4" fontId="6" fillId="0" borderId="21" xfId="0" applyNumberFormat="1" applyFont="1" applyBorder="1" applyAlignment="1">
      <alignment horizontal="right"/>
    </xf>
    <xf numFmtId="4" fontId="9" fillId="0" borderId="20" xfId="0" applyNumberFormat="1" applyFont="1" applyBorder="1" applyAlignment="1">
      <alignment horizontal="right"/>
    </xf>
    <xf numFmtId="4" fontId="6" fillId="0" borderId="0" xfId="0" applyNumberFormat="1" applyFont="1"/>
    <xf numFmtId="0" fontId="10" fillId="0" borderId="25" xfId="0" applyFont="1" applyBorder="1" applyAlignment="1">
      <alignment horizontal="center"/>
    </xf>
    <xf numFmtId="0" fontId="6" fillId="0" borderId="25" xfId="0" applyFont="1" applyBorder="1"/>
    <xf numFmtId="0" fontId="11" fillId="0" borderId="25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9" fillId="0" borderId="25" xfId="0" applyFont="1" applyBorder="1" applyAlignment="1">
      <alignment horizontal="left"/>
    </xf>
    <xf numFmtId="2" fontId="6" fillId="0" borderId="21" xfId="0" applyNumberFormat="1" applyFont="1" applyBorder="1" applyAlignment="1">
      <alignment horizontal="right"/>
    </xf>
    <xf numFmtId="0" fontId="6" fillId="0" borderId="20" xfId="0" applyFont="1" applyBorder="1"/>
    <xf numFmtId="0" fontId="6" fillId="0" borderId="21" xfId="0" applyFont="1" applyBorder="1" applyAlignment="1">
      <alignment horizontal="center"/>
    </xf>
    <xf numFmtId="4" fontId="6" fillId="0" borderId="20" xfId="0" applyNumberFormat="1" applyFont="1" applyBorder="1"/>
    <xf numFmtId="16" fontId="6" fillId="0" borderId="21" xfId="0" applyNumberFormat="1" applyFont="1" applyBorder="1" applyAlignment="1">
      <alignment horizontal="center"/>
    </xf>
    <xf numFmtId="4" fontId="6" fillId="0" borderId="21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center"/>
    </xf>
    <xf numFmtId="0" fontId="9" fillId="0" borderId="25" xfId="0" applyFont="1" applyBorder="1" applyAlignment="1">
      <alignment horizontal="center" vertical="center"/>
    </xf>
    <xf numFmtId="4" fontId="6" fillId="0" borderId="2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4" fontId="6" fillId="0" borderId="20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6" fillId="0" borderId="27" xfId="0" applyFont="1" applyBorder="1"/>
    <xf numFmtId="0" fontId="12" fillId="0" borderId="0" xfId="0" applyFont="1" applyBorder="1" applyAlignment="1">
      <alignment horizontal="center"/>
    </xf>
    <xf numFmtId="4" fontId="6" fillId="0" borderId="8" xfId="0" applyNumberFormat="1" applyFont="1" applyBorder="1"/>
    <xf numFmtId="0" fontId="13" fillId="0" borderId="0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8" fillId="2" borderId="0" xfId="0" applyFont="1" applyFill="1" applyAlignment="1" applyProtection="1">
      <alignment horizontal="left"/>
      <protection hidden="1"/>
    </xf>
    <xf numFmtId="0" fontId="6" fillId="2" borderId="0" xfId="0" applyFont="1" applyFill="1" applyAlignment="1" applyProtection="1">
      <alignment horizontal="center"/>
      <protection hidden="1"/>
    </xf>
    <xf numFmtId="164" fontId="6" fillId="2" borderId="0" xfId="0" applyNumberFormat="1" applyFont="1" applyFill="1" applyAlignment="1" applyProtection="1">
      <alignment horizontal="center"/>
      <protection hidden="1"/>
    </xf>
    <xf numFmtId="0" fontId="6" fillId="2" borderId="0" xfId="0" applyFont="1" applyFill="1"/>
    <xf numFmtId="0" fontId="8" fillId="2" borderId="2" xfId="0" applyFont="1" applyFill="1" applyBorder="1" applyAlignment="1" applyProtection="1">
      <alignment horizontal="center"/>
      <protection hidden="1"/>
    </xf>
    <xf numFmtId="0" fontId="8" fillId="2" borderId="13" xfId="0" applyFont="1" applyFill="1" applyBorder="1" applyAlignment="1" applyProtection="1">
      <alignment horizontal="left"/>
      <protection hidden="1"/>
    </xf>
    <xf numFmtId="0" fontId="6" fillId="2" borderId="13" xfId="0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/>
      <protection hidden="1"/>
    </xf>
    <xf numFmtId="0" fontId="8" fillId="2" borderId="1" xfId="0" applyFont="1" applyFill="1" applyBorder="1" applyAlignment="1" applyProtection="1">
      <alignment horizontal="left"/>
      <protection hidden="1"/>
    </xf>
    <xf numFmtId="0" fontId="6" fillId="2" borderId="1" xfId="0" applyFont="1" applyFill="1" applyBorder="1" applyAlignment="1" applyProtection="1">
      <alignment horizontal="center"/>
      <protection locked="0"/>
    </xf>
    <xf numFmtId="164" fontId="6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left"/>
      <protection hidden="1"/>
    </xf>
    <xf numFmtId="165" fontId="6" fillId="2" borderId="1" xfId="2" applyFont="1" applyFill="1" applyBorder="1" applyAlignment="1" applyProtection="1">
      <alignment horizontal="center"/>
      <protection hidden="1"/>
    </xf>
    <xf numFmtId="165" fontId="6" fillId="2" borderId="17" xfId="2" applyFont="1" applyFill="1" applyBorder="1" applyAlignment="1" applyProtection="1">
      <alignment horizontal="center"/>
      <protection hidden="1"/>
    </xf>
    <xf numFmtId="0" fontId="13" fillId="2" borderId="1" xfId="0" applyFont="1" applyFill="1" applyBorder="1" applyAlignment="1" applyProtection="1">
      <alignment horizontal="left"/>
      <protection hidden="1"/>
    </xf>
    <xf numFmtId="0" fontId="13" fillId="2" borderId="1" xfId="0" applyFont="1" applyFill="1" applyBorder="1" applyAlignment="1" applyProtection="1">
      <alignment horizontal="center"/>
      <protection locked="0"/>
    </xf>
    <xf numFmtId="165" fontId="8" fillId="2" borderId="2" xfId="2" applyFont="1" applyFill="1" applyBorder="1" applyAlignment="1" applyProtection="1">
      <alignment horizontal="center"/>
      <protection hidden="1"/>
    </xf>
    <xf numFmtId="165" fontId="6" fillId="2" borderId="13" xfId="2" applyFont="1" applyFill="1" applyBorder="1" applyAlignment="1" applyProtection="1">
      <alignment horizontal="center"/>
      <protection hidden="1"/>
    </xf>
    <xf numFmtId="165" fontId="8" fillId="2" borderId="18" xfId="2" applyFont="1" applyFill="1" applyBorder="1" applyAlignment="1" applyProtection="1">
      <alignment horizontal="center"/>
      <protection hidden="1"/>
    </xf>
    <xf numFmtId="165" fontId="6" fillId="2" borderId="2" xfId="2" applyFont="1" applyFill="1" applyBorder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left"/>
      <protection hidden="1"/>
    </xf>
    <xf numFmtId="0" fontId="6" fillId="2" borderId="0" xfId="0" applyFont="1" applyFill="1" applyProtection="1">
      <protection hidden="1"/>
    </xf>
    <xf numFmtId="164" fontId="14" fillId="2" borderId="0" xfId="0" applyNumberFormat="1" applyFont="1" applyFill="1" applyProtection="1">
      <protection hidden="1"/>
    </xf>
    <xf numFmtId="164" fontId="6" fillId="2" borderId="0" xfId="0" applyNumberFormat="1" applyFont="1" applyFill="1" applyProtection="1">
      <protection hidden="1"/>
    </xf>
    <xf numFmtId="0" fontId="6" fillId="2" borderId="0" xfId="0" applyFont="1" applyFill="1" applyAlignment="1">
      <alignment horizontal="left"/>
    </xf>
    <xf numFmtId="165" fontId="8" fillId="2" borderId="29" xfId="2" applyFont="1" applyFill="1" applyBorder="1" applyAlignment="1" applyProtection="1">
      <alignment horizontal="center"/>
      <protection hidden="1"/>
    </xf>
    <xf numFmtId="0" fontId="8" fillId="2" borderId="30" xfId="0" applyFont="1" applyFill="1" applyBorder="1" applyAlignment="1" applyProtection="1">
      <alignment horizontal="left"/>
      <protection hidden="1"/>
    </xf>
    <xf numFmtId="0" fontId="6" fillId="2" borderId="31" xfId="0" applyFont="1" applyFill="1" applyBorder="1" applyAlignment="1" applyProtection="1">
      <alignment horizontal="center"/>
      <protection locked="0"/>
    </xf>
    <xf numFmtId="165" fontId="8" fillId="2" borderId="32" xfId="2" applyFont="1" applyFill="1" applyBorder="1" applyAlignment="1" applyProtection="1">
      <alignment horizontal="center"/>
      <protection hidden="1"/>
    </xf>
    <xf numFmtId="0" fontId="9" fillId="2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indent="1"/>
    </xf>
    <xf numFmtId="0" fontId="2" fillId="2" borderId="0" xfId="0" applyFont="1" applyFill="1" applyAlignment="1" applyProtection="1">
      <alignment horizontal="left" indent="1"/>
      <protection hidden="1"/>
    </xf>
    <xf numFmtId="0" fontId="0" fillId="2" borderId="0" xfId="0" applyFill="1" applyAlignment="1" applyProtection="1">
      <alignment horizontal="left" indent="1"/>
      <protection hidden="1"/>
    </xf>
    <xf numFmtId="164" fontId="0" fillId="2" borderId="0" xfId="0" applyNumberFormat="1" applyFill="1" applyAlignment="1" applyProtection="1">
      <alignment horizontal="left" indent="1"/>
      <protection hidden="1"/>
    </xf>
    <xf numFmtId="0" fontId="2" fillId="2" borderId="2" xfId="0" applyFont="1" applyFill="1" applyBorder="1" applyAlignment="1" applyProtection="1">
      <alignment horizontal="left" indent="1"/>
      <protection hidden="1"/>
    </xf>
    <xf numFmtId="0" fontId="2" fillId="2" borderId="13" xfId="0" applyFont="1" applyFill="1" applyBorder="1" applyAlignment="1" applyProtection="1">
      <alignment horizontal="left" indent="1"/>
      <protection hidden="1"/>
    </xf>
    <xf numFmtId="0" fontId="0" fillId="2" borderId="13" xfId="0" applyFill="1" applyBorder="1" applyAlignment="1" applyProtection="1">
      <alignment horizontal="left" indent="1"/>
      <protection locked="0"/>
    </xf>
    <xf numFmtId="0" fontId="0" fillId="2" borderId="13" xfId="0" applyFill="1" applyBorder="1" applyAlignment="1" applyProtection="1">
      <alignment horizontal="left" indent="1"/>
      <protection hidden="1"/>
    </xf>
    <xf numFmtId="0" fontId="2" fillId="2" borderId="1" xfId="0" applyFont="1" applyFill="1" applyBorder="1" applyAlignment="1" applyProtection="1">
      <alignment horizontal="left" indent="1"/>
      <protection hidden="1"/>
    </xf>
    <xf numFmtId="0" fontId="0" fillId="2" borderId="1" xfId="0" applyFill="1" applyBorder="1" applyAlignment="1" applyProtection="1">
      <alignment horizontal="left" indent="1"/>
      <protection locked="0"/>
    </xf>
    <xf numFmtId="164" fontId="0" fillId="2" borderId="0" xfId="0" applyNumberFormat="1" applyFill="1" applyAlignment="1">
      <alignment horizontal="left" indent="1"/>
    </xf>
    <xf numFmtId="0" fontId="0" fillId="2" borderId="1" xfId="0" applyFill="1" applyBorder="1" applyAlignment="1" applyProtection="1">
      <alignment horizontal="left" indent="1"/>
      <protection hidden="1"/>
    </xf>
    <xf numFmtId="164" fontId="0" fillId="2" borderId="13" xfId="0" applyNumberFormat="1" applyFill="1" applyBorder="1" applyAlignment="1" applyProtection="1">
      <alignment horizontal="left" indent="1"/>
      <protection hidden="1"/>
    </xf>
    <xf numFmtId="165" fontId="0" fillId="2" borderId="1" xfId="2" applyFont="1" applyFill="1" applyBorder="1" applyAlignment="1" applyProtection="1">
      <alignment horizontal="left" indent="1"/>
      <protection hidden="1"/>
    </xf>
    <xf numFmtId="165" fontId="0" fillId="2" borderId="17" xfId="2" applyFont="1" applyFill="1" applyBorder="1" applyAlignment="1" applyProtection="1">
      <alignment horizontal="left" indent="1"/>
      <protection hidden="1"/>
    </xf>
    <xf numFmtId="0" fontId="3" fillId="2" borderId="1" xfId="0" applyFont="1" applyFill="1" applyBorder="1" applyAlignment="1" applyProtection="1">
      <alignment horizontal="left" indent="1"/>
      <protection hidden="1"/>
    </xf>
    <xf numFmtId="0" fontId="3" fillId="2" borderId="1" xfId="0" applyFont="1" applyFill="1" applyBorder="1" applyAlignment="1" applyProtection="1">
      <alignment horizontal="left" indent="1"/>
      <protection locked="0"/>
    </xf>
    <xf numFmtId="165" fontId="2" fillId="2" borderId="2" xfId="2" applyFont="1" applyFill="1" applyBorder="1" applyAlignment="1" applyProtection="1">
      <alignment horizontal="left" indent="1"/>
      <protection hidden="1"/>
    </xf>
    <xf numFmtId="165" fontId="0" fillId="2" borderId="13" xfId="2" applyFont="1" applyFill="1" applyBorder="1" applyAlignment="1" applyProtection="1">
      <alignment horizontal="left" indent="1"/>
      <protection hidden="1"/>
    </xf>
    <xf numFmtId="0" fontId="0" fillId="2" borderId="1" xfId="0" applyFont="1" applyFill="1" applyBorder="1" applyAlignment="1" applyProtection="1">
      <alignment horizontal="left" indent="1"/>
      <protection hidden="1"/>
    </xf>
    <xf numFmtId="165" fontId="2" fillId="2" borderId="18" xfId="2" applyFont="1" applyFill="1" applyBorder="1" applyAlignment="1" applyProtection="1">
      <alignment horizontal="left" indent="1"/>
      <protection hidden="1"/>
    </xf>
    <xf numFmtId="165" fontId="0" fillId="2" borderId="2" xfId="2" applyFont="1" applyFill="1" applyBorder="1" applyAlignment="1" applyProtection="1">
      <alignment horizontal="left" indent="1"/>
      <protection hidden="1"/>
    </xf>
    <xf numFmtId="165" fontId="2" fillId="2" borderId="13" xfId="2" applyFont="1" applyFill="1" applyBorder="1" applyAlignment="1" applyProtection="1">
      <alignment horizontal="left" indent="1"/>
      <protection hidden="1"/>
    </xf>
    <xf numFmtId="0" fontId="2" fillId="2" borderId="30" xfId="0" applyFont="1" applyFill="1" applyBorder="1" applyAlignment="1" applyProtection="1">
      <alignment horizontal="left" indent="1"/>
      <protection hidden="1"/>
    </xf>
    <xf numFmtId="0" fontId="0" fillId="2" borderId="31" xfId="0" applyFill="1" applyBorder="1" applyAlignment="1" applyProtection="1">
      <alignment horizontal="left" indent="1"/>
      <protection locked="0"/>
    </xf>
    <xf numFmtId="165" fontId="2" fillId="2" borderId="32" xfId="2" applyFont="1" applyFill="1" applyBorder="1" applyAlignment="1" applyProtection="1">
      <alignment horizontal="left" indent="1"/>
      <protection hidden="1"/>
    </xf>
    <xf numFmtId="165" fontId="2" fillId="2" borderId="8" xfId="2" applyFont="1" applyFill="1" applyBorder="1" applyAlignment="1" applyProtection="1">
      <alignment horizontal="left" indent="1"/>
      <protection hidden="1"/>
    </xf>
    <xf numFmtId="0" fontId="0" fillId="2" borderId="0" xfId="0" applyFill="1" applyAlignment="1">
      <alignment horizontal="left" indent="14"/>
    </xf>
    <xf numFmtId="0" fontId="0" fillId="2" borderId="0" xfId="0" applyFill="1" applyAlignment="1" applyProtection="1">
      <alignment horizontal="left" indent="14"/>
      <protection hidden="1"/>
    </xf>
    <xf numFmtId="164" fontId="0" fillId="2" borderId="0" xfId="0" applyNumberFormat="1" applyFill="1" applyAlignment="1" applyProtection="1">
      <alignment horizontal="left" indent="14"/>
      <protection hidden="1"/>
    </xf>
    <xf numFmtId="0" fontId="0" fillId="2" borderId="0" xfId="0" applyFill="1" applyAlignment="1">
      <alignment horizontal="left" indent="17"/>
    </xf>
    <xf numFmtId="164" fontId="5" fillId="2" borderId="0" xfId="0" applyNumberFormat="1" applyFont="1" applyFill="1" applyAlignment="1" applyProtection="1">
      <alignment horizontal="left" indent="14"/>
      <protection hidden="1"/>
    </xf>
    <xf numFmtId="0" fontId="15" fillId="2" borderId="8" xfId="0" applyFont="1" applyFill="1" applyBorder="1" applyAlignment="1">
      <alignment horizontal="center"/>
    </xf>
    <xf numFmtId="0" fontId="16" fillId="2" borderId="0" xfId="0" applyFont="1" applyFill="1"/>
    <xf numFmtId="4" fontId="16" fillId="2" borderId="20" xfId="0" applyNumberFormat="1" applyFont="1" applyFill="1" applyBorder="1" applyAlignment="1">
      <alignment horizontal="right"/>
    </xf>
    <xf numFmtId="4" fontId="16" fillId="2" borderId="0" xfId="0" applyNumberFormat="1" applyFont="1" applyFill="1"/>
    <xf numFmtId="0" fontId="16" fillId="2" borderId="25" xfId="0" applyFont="1" applyFill="1" applyBorder="1"/>
    <xf numFmtId="4" fontId="16" fillId="2" borderId="20" xfId="0" applyNumberFormat="1" applyFont="1" applyFill="1" applyBorder="1" applyAlignment="1">
      <alignment horizontal="center" vertical="center"/>
    </xf>
    <xf numFmtId="4" fontId="16" fillId="2" borderId="20" xfId="0" applyNumberFormat="1" applyFont="1" applyFill="1" applyBorder="1"/>
    <xf numFmtId="4" fontId="16" fillId="2" borderId="0" xfId="0" applyNumberFormat="1" applyFont="1" applyFill="1" applyBorder="1"/>
    <xf numFmtId="0" fontId="16" fillId="2" borderId="0" xfId="0" applyFont="1" applyFill="1" applyBorder="1"/>
    <xf numFmtId="4" fontId="16" fillId="2" borderId="21" xfId="0" applyNumberFormat="1" applyFont="1" applyFill="1" applyBorder="1"/>
    <xf numFmtId="0" fontId="16" fillId="2" borderId="20" xfId="0" applyFont="1" applyFill="1" applyBorder="1"/>
    <xf numFmtId="4" fontId="16" fillId="2" borderId="2" xfId="0" applyNumberFormat="1" applyFont="1" applyFill="1" applyBorder="1"/>
    <xf numFmtId="16" fontId="16" fillId="2" borderId="25" xfId="0" applyNumberFormat="1" applyFont="1" applyFill="1" applyBorder="1"/>
    <xf numFmtId="4" fontId="16" fillId="2" borderId="46" xfId="0" applyNumberFormat="1" applyFont="1" applyFill="1" applyBorder="1"/>
    <xf numFmtId="0" fontId="6" fillId="0" borderId="33" xfId="0" applyFont="1" applyBorder="1" applyAlignment="1">
      <alignment horizontal="right"/>
    </xf>
    <xf numFmtId="0" fontId="16" fillId="2" borderId="8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6" fillId="2" borderId="8" xfId="0" applyFont="1" applyFill="1" applyBorder="1"/>
    <xf numFmtId="0" fontId="18" fillId="2" borderId="8" xfId="0" applyFont="1" applyFill="1" applyBorder="1" applyAlignment="1">
      <alignment horizontal="left"/>
    </xf>
    <xf numFmtId="0" fontId="18" fillId="2" borderId="8" xfId="0" applyFont="1" applyFill="1" applyBorder="1" applyAlignment="1">
      <alignment horizontal="left" vertical="center"/>
    </xf>
    <xf numFmtId="0" fontId="16" fillId="2" borderId="26" xfId="0" applyFont="1" applyFill="1" applyBorder="1" applyAlignment="1">
      <alignment horizontal="left"/>
    </xf>
    <xf numFmtId="0" fontId="18" fillId="2" borderId="22" xfId="0" applyFont="1" applyFill="1" applyBorder="1" applyAlignment="1">
      <alignment horizontal="left" vertical="center"/>
    </xf>
    <xf numFmtId="0" fontId="16" fillId="2" borderId="26" xfId="0" applyFont="1" applyFill="1" applyBorder="1"/>
    <xf numFmtId="0" fontId="16" fillId="2" borderId="50" xfId="0" applyFont="1" applyFill="1" applyBorder="1" applyAlignment="1">
      <alignment horizontal="right"/>
    </xf>
    <xf numFmtId="165" fontId="6" fillId="2" borderId="0" xfId="0" applyNumberFormat="1" applyFont="1" applyFill="1"/>
    <xf numFmtId="165" fontId="6" fillId="2" borderId="0" xfId="0" applyNumberFormat="1" applyFont="1" applyFill="1" applyAlignment="1">
      <alignment horizontal="center"/>
    </xf>
    <xf numFmtId="4" fontId="6" fillId="4" borderId="1" xfId="2" applyNumberFormat="1" applyFont="1" applyFill="1" applyBorder="1" applyAlignment="1" applyProtection="1">
      <alignment horizontal="center"/>
      <protection hidden="1"/>
    </xf>
    <xf numFmtId="164" fontId="6" fillId="7" borderId="13" xfId="0" applyNumberFormat="1" applyFont="1" applyFill="1" applyBorder="1" applyAlignment="1" applyProtection="1">
      <alignment horizontal="center"/>
      <protection hidden="1"/>
    </xf>
    <xf numFmtId="165" fontId="8" fillId="7" borderId="2" xfId="2" applyFont="1" applyFill="1" applyBorder="1" applyAlignment="1" applyProtection="1">
      <alignment horizontal="center"/>
      <protection hidden="1"/>
    </xf>
    <xf numFmtId="165" fontId="6" fillId="7" borderId="1" xfId="2" applyFont="1" applyFill="1" applyBorder="1" applyAlignment="1" applyProtection="1">
      <alignment horizontal="center"/>
      <protection hidden="1"/>
    </xf>
    <xf numFmtId="165" fontId="6" fillId="7" borderId="17" xfId="2" applyFont="1" applyFill="1" applyBorder="1" applyAlignment="1" applyProtection="1">
      <alignment horizontal="center"/>
      <protection hidden="1"/>
    </xf>
    <xf numFmtId="0" fontId="19" fillId="8" borderId="0" xfId="0" applyFont="1" applyFill="1" applyBorder="1"/>
    <xf numFmtId="4" fontId="19" fillId="8" borderId="0" xfId="0" applyNumberFormat="1" applyFont="1" applyFill="1" applyBorder="1"/>
    <xf numFmtId="0" fontId="19" fillId="8" borderId="0" xfId="0" applyFont="1" applyFill="1"/>
    <xf numFmtId="0" fontId="20" fillId="2" borderId="0" xfId="0" applyFont="1" applyFill="1" applyAlignment="1">
      <alignment vertical="center"/>
    </xf>
    <xf numFmtId="0" fontId="22" fillId="2" borderId="0" xfId="0" applyNumberFormat="1" applyFont="1" applyFill="1" applyBorder="1" applyAlignment="1">
      <alignment vertical="center"/>
    </xf>
    <xf numFmtId="0" fontId="22" fillId="2" borderId="0" xfId="0" applyFont="1" applyFill="1" applyBorder="1" applyAlignment="1">
      <alignment vertical="center"/>
    </xf>
    <xf numFmtId="0" fontId="23" fillId="2" borderId="0" xfId="0" applyFont="1" applyFill="1" applyAlignment="1">
      <alignment vertical="center"/>
    </xf>
    <xf numFmtId="4" fontId="23" fillId="2" borderId="3" xfId="0" applyNumberFormat="1" applyFont="1" applyFill="1" applyBorder="1" applyAlignment="1">
      <alignment vertical="center"/>
    </xf>
    <xf numFmtId="4" fontId="23" fillId="2" borderId="4" xfId="0" applyNumberFormat="1" applyFont="1" applyFill="1" applyBorder="1" applyAlignment="1">
      <alignment vertical="center"/>
    </xf>
    <xf numFmtId="0" fontId="20" fillId="2" borderId="0" xfId="0" applyFont="1" applyFill="1" applyBorder="1" applyAlignment="1">
      <alignment vertical="center"/>
    </xf>
    <xf numFmtId="0" fontId="23" fillId="2" borderId="3" xfId="0" applyFont="1" applyFill="1" applyBorder="1" applyAlignment="1">
      <alignment vertical="center"/>
    </xf>
    <xf numFmtId="4" fontId="23" fillId="2" borderId="0" xfId="0" applyNumberFormat="1" applyFont="1" applyFill="1" applyAlignment="1">
      <alignment vertical="center"/>
    </xf>
    <xf numFmtId="3" fontId="20" fillId="2" borderId="0" xfId="0" applyNumberFormat="1" applyFont="1" applyFill="1" applyBorder="1" applyAlignment="1">
      <alignment vertical="center"/>
    </xf>
    <xf numFmtId="4" fontId="23" fillId="2" borderId="5" xfId="0" applyNumberFormat="1" applyFont="1" applyFill="1" applyBorder="1" applyAlignment="1">
      <alignment vertical="center"/>
    </xf>
    <xf numFmtId="4" fontId="23" fillId="2" borderId="6" xfId="0" applyNumberFormat="1" applyFont="1" applyFill="1" applyBorder="1" applyAlignment="1">
      <alignment vertical="center"/>
    </xf>
    <xf numFmtId="0" fontId="23" fillId="2" borderId="5" xfId="0" applyFont="1" applyFill="1" applyBorder="1" applyAlignment="1">
      <alignment vertical="center"/>
    </xf>
    <xf numFmtId="0" fontId="23" fillId="2" borderId="6" xfId="0" applyFont="1" applyFill="1" applyBorder="1" applyAlignment="1">
      <alignment vertical="center"/>
    </xf>
    <xf numFmtId="0" fontId="23" fillId="2" borderId="20" xfId="0" applyFont="1" applyFill="1" applyBorder="1" applyAlignment="1">
      <alignment vertical="center"/>
    </xf>
    <xf numFmtId="0" fontId="23" fillId="2" borderId="0" xfId="0" applyFont="1" applyFill="1" applyBorder="1" applyAlignment="1">
      <alignment vertical="center"/>
    </xf>
    <xf numFmtId="4" fontId="23" fillId="2" borderId="0" xfId="0" applyNumberFormat="1" applyFont="1" applyFill="1" applyBorder="1" applyAlignment="1">
      <alignment vertical="center"/>
    </xf>
    <xf numFmtId="0" fontId="23" fillId="2" borderId="19" xfId="0" applyFont="1" applyFill="1" applyBorder="1" applyAlignment="1">
      <alignment vertical="center"/>
    </xf>
    <xf numFmtId="0" fontId="23" fillId="2" borderId="25" xfId="0" applyFont="1" applyFill="1" applyBorder="1" applyAlignment="1">
      <alignment vertical="center"/>
    </xf>
    <xf numFmtId="0" fontId="23" fillId="2" borderId="35" xfId="0" applyFont="1" applyFill="1" applyBorder="1" applyAlignment="1">
      <alignment vertical="center"/>
    </xf>
    <xf numFmtId="0" fontId="23" fillId="2" borderId="27" xfId="0" applyFont="1" applyFill="1" applyBorder="1" applyAlignment="1">
      <alignment vertical="center"/>
    </xf>
    <xf numFmtId="4" fontId="21" fillId="2" borderId="11" xfId="0" applyNumberFormat="1" applyFont="1" applyFill="1" applyBorder="1" applyAlignment="1">
      <alignment vertical="center"/>
    </xf>
    <xf numFmtId="4" fontId="23" fillId="2" borderId="8" xfId="0" applyNumberFormat="1" applyFont="1" applyFill="1" applyBorder="1" applyAlignment="1">
      <alignment vertical="center"/>
    </xf>
    <xf numFmtId="4" fontId="23" fillId="2" borderId="9" xfId="0" applyNumberFormat="1" applyFont="1" applyFill="1" applyBorder="1" applyAlignment="1">
      <alignment vertical="center"/>
    </xf>
    <xf numFmtId="4" fontId="23" fillId="2" borderId="10" xfId="0" applyNumberFormat="1" applyFont="1" applyFill="1" applyBorder="1" applyAlignment="1">
      <alignment vertical="center"/>
    </xf>
    <xf numFmtId="4" fontId="20" fillId="2" borderId="0" xfId="0" applyNumberFormat="1" applyFont="1" applyFill="1" applyBorder="1" applyAlignment="1">
      <alignment vertical="center"/>
    </xf>
    <xf numFmtId="4" fontId="23" fillId="2" borderId="12" xfId="0" applyNumberFormat="1" applyFont="1" applyFill="1" applyBorder="1" applyAlignment="1">
      <alignment vertical="center"/>
    </xf>
    <xf numFmtId="0" fontId="23" fillId="2" borderId="4" xfId="0" applyFont="1" applyFill="1" applyBorder="1" applyAlignment="1">
      <alignment vertical="center"/>
    </xf>
    <xf numFmtId="4" fontId="23" fillId="2" borderId="2" xfId="0" applyNumberFormat="1" applyFont="1" applyFill="1" applyBorder="1" applyAlignment="1">
      <alignment vertical="center"/>
    </xf>
    <xf numFmtId="4" fontId="23" fillId="2" borderId="52" xfId="0" applyNumberFormat="1" applyFont="1" applyFill="1" applyBorder="1" applyAlignment="1">
      <alignment vertical="center"/>
    </xf>
    <xf numFmtId="4" fontId="23" fillId="2" borderId="11" xfId="0" applyNumberFormat="1" applyFont="1" applyFill="1" applyBorder="1" applyAlignment="1">
      <alignment vertical="center"/>
    </xf>
    <xf numFmtId="4" fontId="23" fillId="2" borderId="22" xfId="0" applyNumberFormat="1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4" fontId="23" fillId="2" borderId="33" xfId="0" applyNumberFormat="1" applyFont="1" applyFill="1" applyBorder="1" applyAlignment="1">
      <alignment vertical="center"/>
    </xf>
    <xf numFmtId="0" fontId="23" fillId="2" borderId="2" xfId="0" applyFont="1" applyFill="1" applyBorder="1" applyAlignment="1">
      <alignment vertical="center"/>
    </xf>
    <xf numFmtId="0" fontId="23" fillId="2" borderId="23" xfId="0" applyFont="1" applyFill="1" applyBorder="1" applyAlignment="1">
      <alignment vertical="center"/>
    </xf>
    <xf numFmtId="4" fontId="23" fillId="2" borderId="24" xfId="0" applyNumberFormat="1" applyFont="1" applyFill="1" applyBorder="1" applyAlignment="1">
      <alignment vertical="center"/>
    </xf>
    <xf numFmtId="4" fontId="23" fillId="2" borderId="37" xfId="0" applyNumberFormat="1" applyFont="1" applyFill="1" applyBorder="1" applyAlignment="1">
      <alignment vertical="center"/>
    </xf>
    <xf numFmtId="4" fontId="23" fillId="5" borderId="3" xfId="0" applyNumberFormat="1" applyFont="1" applyFill="1" applyBorder="1" applyAlignment="1">
      <alignment vertical="center"/>
    </xf>
    <xf numFmtId="4" fontId="23" fillId="2" borderId="48" xfId="0" applyNumberFormat="1" applyFont="1" applyFill="1" applyBorder="1" applyAlignment="1">
      <alignment vertical="center"/>
    </xf>
    <xf numFmtId="4" fontId="23" fillId="2" borderId="23" xfId="0" applyNumberFormat="1" applyFont="1" applyFill="1" applyBorder="1" applyAlignment="1">
      <alignment vertical="center"/>
    </xf>
    <xf numFmtId="4" fontId="23" fillId="5" borderId="0" xfId="0" applyNumberFormat="1" applyFont="1" applyFill="1" applyAlignment="1">
      <alignment vertical="center"/>
    </xf>
    <xf numFmtId="4" fontId="23" fillId="5" borderId="5" xfId="0" applyNumberFormat="1" applyFont="1" applyFill="1" applyBorder="1" applyAlignment="1">
      <alignment vertical="center"/>
    </xf>
    <xf numFmtId="0" fontId="23" fillId="2" borderId="49" xfId="0" applyFont="1" applyFill="1" applyBorder="1" applyAlignment="1">
      <alignment vertical="center"/>
    </xf>
    <xf numFmtId="4" fontId="23" fillId="6" borderId="5" xfId="0" applyNumberFormat="1" applyFont="1" applyFill="1" applyBorder="1" applyAlignment="1">
      <alignment vertical="center"/>
    </xf>
    <xf numFmtId="4" fontId="21" fillId="2" borderId="2" xfId="0" applyNumberFormat="1" applyFont="1" applyFill="1" applyBorder="1" applyAlignment="1">
      <alignment vertical="center"/>
    </xf>
    <xf numFmtId="0" fontId="23" fillId="2" borderId="51" xfId="0" applyFont="1" applyFill="1" applyBorder="1" applyAlignment="1">
      <alignment vertical="center"/>
    </xf>
    <xf numFmtId="0" fontId="23" fillId="2" borderId="9" xfId="0" applyFont="1" applyFill="1" applyBorder="1" applyAlignment="1">
      <alignment vertical="center"/>
    </xf>
    <xf numFmtId="4" fontId="23" fillId="2" borderId="13" xfId="0" applyNumberFormat="1" applyFont="1" applyFill="1" applyBorder="1" applyAlignment="1">
      <alignment vertical="center"/>
    </xf>
    <xf numFmtId="4" fontId="23" fillId="2" borderId="47" xfId="0" applyNumberFormat="1" applyFont="1" applyFill="1" applyBorder="1" applyAlignment="1">
      <alignment vertical="center"/>
    </xf>
    <xf numFmtId="0" fontId="24" fillId="2" borderId="0" xfId="0" applyFont="1" applyFill="1"/>
    <xf numFmtId="0" fontId="25" fillId="2" borderId="0" xfId="0" applyFont="1" applyFill="1" applyProtection="1">
      <protection hidden="1"/>
    </xf>
    <xf numFmtId="0" fontId="24" fillId="2" borderId="0" xfId="0" applyFont="1" applyFill="1" applyProtection="1">
      <protection hidden="1"/>
    </xf>
    <xf numFmtId="0" fontId="26" fillId="3" borderId="0" xfId="3" applyFont="1" applyFill="1" applyBorder="1" applyProtection="1">
      <protection hidden="1"/>
    </xf>
    <xf numFmtId="17" fontId="25" fillId="2" borderId="2" xfId="0" applyNumberFormat="1" applyFont="1" applyFill="1" applyBorder="1" applyAlignment="1" applyProtection="1">
      <alignment horizontal="center"/>
      <protection hidden="1"/>
    </xf>
    <xf numFmtId="0" fontId="27" fillId="2" borderId="13" xfId="0" applyFont="1" applyFill="1" applyBorder="1" applyProtection="1">
      <protection hidden="1"/>
    </xf>
    <xf numFmtId="0" fontId="24" fillId="2" borderId="13" xfId="0" applyFont="1" applyFill="1" applyBorder="1" applyAlignment="1" applyProtection="1">
      <alignment horizontal="center"/>
      <protection locked="0"/>
    </xf>
    <xf numFmtId="0" fontId="24" fillId="2" borderId="13" xfId="0" applyFont="1" applyFill="1" applyBorder="1" applyProtection="1">
      <protection hidden="1"/>
    </xf>
    <xf numFmtId="0" fontId="25" fillId="2" borderId="1" xfId="0" applyFont="1" applyFill="1" applyBorder="1" applyProtection="1">
      <protection hidden="1"/>
    </xf>
    <xf numFmtId="0" fontId="24" fillId="2" borderId="1" xfId="0" applyFont="1" applyFill="1" applyBorder="1" applyAlignment="1" applyProtection="1">
      <alignment horizontal="center"/>
      <protection locked="0"/>
    </xf>
    <xf numFmtId="165" fontId="24" fillId="2" borderId="1" xfId="2" applyFont="1" applyFill="1" applyBorder="1" applyProtection="1">
      <protection hidden="1"/>
    </xf>
    <xf numFmtId="165" fontId="24" fillId="2" borderId="1" xfId="2" applyFont="1" applyFill="1" applyBorder="1" applyProtection="1">
      <protection locked="0"/>
    </xf>
    <xf numFmtId="4" fontId="24" fillId="2" borderId="0" xfId="0" applyNumberFormat="1" applyFont="1" applyFill="1" applyProtection="1">
      <protection hidden="1"/>
    </xf>
    <xf numFmtId="4" fontId="24" fillId="2" borderId="0" xfId="0" applyNumberFormat="1" applyFont="1" applyFill="1"/>
    <xf numFmtId="165" fontId="24" fillId="2" borderId="17" xfId="2" applyFont="1" applyFill="1" applyBorder="1" applyProtection="1">
      <protection hidden="1"/>
    </xf>
    <xf numFmtId="165" fontId="24" fillId="2" borderId="17" xfId="2" applyFont="1" applyFill="1" applyBorder="1" applyProtection="1">
      <protection locked="0"/>
    </xf>
    <xf numFmtId="0" fontId="24" fillId="2" borderId="1" xfId="0" applyFont="1" applyFill="1" applyBorder="1" applyAlignment="1" applyProtection="1">
      <alignment horizontal="right"/>
      <protection hidden="1"/>
    </xf>
    <xf numFmtId="165" fontId="24" fillId="2" borderId="13" xfId="2" applyFont="1" applyFill="1" applyBorder="1" applyProtection="1">
      <protection hidden="1"/>
    </xf>
    <xf numFmtId="165" fontId="24" fillId="2" borderId="13" xfId="2" applyFont="1" applyFill="1" applyBorder="1" applyProtection="1"/>
    <xf numFmtId="165" fontId="24" fillId="2" borderId="53" xfId="2" applyFont="1" applyFill="1" applyBorder="1" applyProtection="1">
      <protection hidden="1"/>
    </xf>
    <xf numFmtId="165" fontId="24" fillId="2" borderId="18" xfId="2" applyFont="1" applyFill="1" applyBorder="1" applyProtection="1">
      <protection hidden="1"/>
    </xf>
    <xf numFmtId="0" fontId="27" fillId="2" borderId="1" xfId="0" applyFont="1" applyFill="1" applyBorder="1" applyProtection="1">
      <protection hidden="1"/>
    </xf>
    <xf numFmtId="0" fontId="24" fillId="2" borderId="1" xfId="0" applyFont="1" applyFill="1" applyBorder="1" applyProtection="1"/>
    <xf numFmtId="0" fontId="24" fillId="2" borderId="1" xfId="0" applyFont="1" applyFill="1" applyBorder="1" applyProtection="1">
      <protection hidden="1"/>
    </xf>
    <xf numFmtId="165" fontId="24" fillId="2" borderId="54" xfId="2" applyFont="1" applyFill="1" applyBorder="1" applyProtection="1">
      <protection hidden="1"/>
    </xf>
    <xf numFmtId="165" fontId="24" fillId="2" borderId="0" xfId="0" applyNumberFormat="1" applyFont="1" applyFill="1"/>
    <xf numFmtId="165" fontId="24" fillId="2" borderId="2" xfId="2" applyFont="1" applyFill="1" applyBorder="1" applyProtection="1">
      <protection hidden="1"/>
    </xf>
    <xf numFmtId="165" fontId="24" fillId="2" borderId="0" xfId="2" applyFont="1" applyFill="1" applyBorder="1" applyProtection="1">
      <protection hidden="1"/>
    </xf>
    <xf numFmtId="165" fontId="24" fillId="2" borderId="2" xfId="2" applyFont="1" applyFill="1" applyBorder="1" applyProtection="1">
      <protection locked="0"/>
    </xf>
    <xf numFmtId="0" fontId="24" fillId="2" borderId="17" xfId="0" applyFont="1" applyFill="1" applyBorder="1" applyProtection="1">
      <protection hidden="1"/>
    </xf>
    <xf numFmtId="0" fontId="24" fillId="2" borderId="17" xfId="0" applyFont="1" applyFill="1" applyBorder="1" applyAlignment="1" applyProtection="1">
      <alignment horizontal="center"/>
      <protection locked="0"/>
    </xf>
    <xf numFmtId="165" fontId="24" fillId="2" borderId="0" xfId="2" applyFont="1" applyFill="1" applyProtection="1">
      <protection hidden="1"/>
    </xf>
    <xf numFmtId="0" fontId="29" fillId="2" borderId="26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2" borderId="21" xfId="0" applyFont="1" applyFill="1" applyBorder="1" applyAlignment="1">
      <alignment horizontal="left" vertical="center"/>
    </xf>
    <xf numFmtId="4" fontId="30" fillId="2" borderId="21" xfId="0" applyNumberFormat="1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 vertical="center"/>
    </xf>
    <xf numFmtId="4" fontId="0" fillId="2" borderId="0" xfId="0" applyNumberFormat="1" applyFill="1" applyAlignment="1">
      <alignment horizontal="left" vertical="center"/>
    </xf>
    <xf numFmtId="168" fontId="37" fillId="0" borderId="0" xfId="4" applyNumberFormat="1" applyFont="1" applyAlignment="1">
      <alignment vertical="center"/>
    </xf>
    <xf numFmtId="169" fontId="37" fillId="0" borderId="0" xfId="4" applyNumberFormat="1" applyFont="1" applyAlignment="1">
      <alignment vertical="center"/>
    </xf>
    <xf numFmtId="168" fontId="37" fillId="0" borderId="0" xfId="4" applyNumberFormat="1" applyFont="1" applyAlignment="1">
      <alignment horizontal="center" vertical="center"/>
    </xf>
    <xf numFmtId="168" fontId="38" fillId="0" borderId="0" xfId="4" applyNumberFormat="1" applyFont="1" applyAlignment="1">
      <alignment horizontal="center" vertical="center"/>
    </xf>
    <xf numFmtId="168" fontId="38" fillId="0" borderId="0" xfId="4" applyNumberFormat="1" applyFont="1" applyAlignment="1">
      <alignment vertical="center"/>
    </xf>
    <xf numFmtId="170" fontId="38" fillId="0" borderId="0" xfId="4" applyNumberFormat="1" applyFont="1" applyAlignment="1">
      <alignment vertical="center"/>
    </xf>
    <xf numFmtId="168" fontId="38" fillId="0" borderId="0" xfId="4" applyNumberFormat="1" applyFont="1" applyAlignment="1">
      <alignment horizontal="right" vertical="center"/>
    </xf>
    <xf numFmtId="168" fontId="38" fillId="0" borderId="0" xfId="4" applyNumberFormat="1" applyFont="1" applyAlignment="1">
      <alignment horizontal="left" vertical="center"/>
    </xf>
    <xf numFmtId="168" fontId="37" fillId="0" borderId="0" xfId="4" applyNumberFormat="1" applyFont="1" applyAlignment="1">
      <alignment horizontal="left" vertical="center" wrapText="1"/>
    </xf>
    <xf numFmtId="170" fontId="37" fillId="9" borderId="55" xfId="4" applyNumberFormat="1" applyFont="1" applyFill="1" applyBorder="1" applyAlignment="1">
      <alignment vertical="center"/>
    </xf>
    <xf numFmtId="170" fontId="37" fillId="9" borderId="56" xfId="4" applyNumberFormat="1" applyFont="1" applyFill="1" applyBorder="1" applyAlignment="1">
      <alignment vertical="center"/>
    </xf>
    <xf numFmtId="0" fontId="37" fillId="9" borderId="57" xfId="4" applyNumberFormat="1" applyFont="1" applyFill="1" applyBorder="1" applyAlignment="1">
      <alignment horizontal="center" vertical="center"/>
    </xf>
    <xf numFmtId="168" fontId="40" fillId="10" borderId="55" xfId="4" applyNumberFormat="1" applyFont="1" applyFill="1" applyBorder="1" applyAlignment="1">
      <alignment horizontal="center" vertical="center"/>
    </xf>
    <xf numFmtId="168" fontId="41" fillId="10" borderId="56" xfId="4" applyNumberFormat="1" applyFont="1" applyFill="1" applyBorder="1" applyAlignment="1">
      <alignment horizontal="center" vertical="center"/>
    </xf>
    <xf numFmtId="168" fontId="40" fillId="10" borderId="57" xfId="4" applyNumberFormat="1" applyFont="1" applyFill="1" applyBorder="1" applyAlignment="1">
      <alignment vertical="center"/>
    </xf>
    <xf numFmtId="170" fontId="37" fillId="11" borderId="58" xfId="4" applyNumberFormat="1" applyFont="1" applyFill="1" applyBorder="1" applyAlignment="1">
      <alignment vertical="center"/>
    </xf>
    <xf numFmtId="170" fontId="37" fillId="11" borderId="59" xfId="4" applyNumberFormat="1" applyFont="1" applyFill="1" applyBorder="1" applyAlignment="1">
      <alignment vertical="center"/>
    </xf>
    <xf numFmtId="168" fontId="41" fillId="10" borderId="57" xfId="4" applyNumberFormat="1" applyFont="1" applyFill="1" applyBorder="1" applyAlignment="1">
      <alignment vertical="center"/>
    </xf>
    <xf numFmtId="168" fontId="41" fillId="10" borderId="57" xfId="4" applyNumberFormat="1" applyFont="1" applyFill="1" applyBorder="1" applyAlignment="1">
      <alignment horizontal="right" vertical="center"/>
    </xf>
    <xf numFmtId="171" fontId="37" fillId="0" borderId="0" xfId="4" applyNumberFormat="1" applyFont="1" applyAlignment="1">
      <alignment vertical="center"/>
    </xf>
    <xf numFmtId="168" fontId="40" fillId="10" borderId="57" xfId="4" applyNumberFormat="1" applyFont="1" applyFill="1" applyBorder="1" applyAlignment="1">
      <alignment horizontal="left" vertical="center" indent="1"/>
    </xf>
    <xf numFmtId="168" fontId="42" fillId="10" borderId="57" xfId="4" applyNumberFormat="1" applyFont="1" applyFill="1" applyBorder="1" applyAlignment="1">
      <alignment vertical="center"/>
    </xf>
    <xf numFmtId="168" fontId="40" fillId="10" borderId="57" xfId="4" applyNumberFormat="1" applyFont="1" applyFill="1" applyBorder="1" applyAlignment="1">
      <alignment horizontal="right" vertical="center"/>
    </xf>
    <xf numFmtId="169" fontId="43" fillId="10" borderId="61" xfId="4" applyNumberFormat="1" applyFont="1" applyFill="1" applyBorder="1" applyAlignment="1">
      <alignment horizontal="center" vertical="center"/>
    </xf>
    <xf numFmtId="168" fontId="44" fillId="0" borderId="0" xfId="4" applyNumberFormat="1" applyFont="1" applyAlignment="1">
      <alignment vertical="center"/>
    </xf>
    <xf numFmtId="0" fontId="45" fillId="0" borderId="0" xfId="4" applyFont="1" applyAlignment="1">
      <alignment vertical="center"/>
    </xf>
    <xf numFmtId="0" fontId="32" fillId="2" borderId="0" xfId="0" applyFont="1" applyFill="1" applyAlignment="1">
      <alignment horizontal="left" indent="2"/>
    </xf>
    <xf numFmtId="0" fontId="29" fillId="2" borderId="36" xfId="0" applyFont="1" applyFill="1" applyBorder="1" applyAlignment="1">
      <alignment horizontal="left" indent="2"/>
    </xf>
    <xf numFmtId="0" fontId="29" fillId="2" borderId="40" xfId="0" applyFont="1" applyFill="1" applyBorder="1" applyAlignment="1">
      <alignment horizontal="left" indent="2"/>
    </xf>
    <xf numFmtId="0" fontId="29" fillId="2" borderId="42" xfId="0" applyFont="1" applyFill="1" applyBorder="1" applyAlignment="1">
      <alignment horizontal="left" indent="2"/>
    </xf>
    <xf numFmtId="0" fontId="29" fillId="2" borderId="44" xfId="0" applyFont="1" applyFill="1" applyBorder="1" applyAlignment="1">
      <alignment horizontal="left" indent="2"/>
    </xf>
    <xf numFmtId="0" fontId="32" fillId="2" borderId="37" xfId="0" applyFont="1" applyFill="1" applyBorder="1" applyAlignment="1">
      <alignment horizontal="left" indent="2"/>
    </xf>
    <xf numFmtId="0" fontId="32" fillId="2" borderId="3" xfId="0" applyFont="1" applyFill="1" applyBorder="1" applyAlignment="1">
      <alignment horizontal="left" indent="2"/>
    </xf>
    <xf numFmtId="0" fontId="32" fillId="2" borderId="6" xfId="0" applyFont="1" applyFill="1" applyBorder="1" applyAlignment="1">
      <alignment horizontal="left" indent="2"/>
    </xf>
    <xf numFmtId="4" fontId="32" fillId="2" borderId="28" xfId="0" applyNumberFormat="1" applyFont="1" applyFill="1" applyBorder="1" applyAlignment="1">
      <alignment horizontal="left" indent="2"/>
    </xf>
    <xf numFmtId="0" fontId="32" fillId="2" borderId="0" xfId="0" applyFont="1" applyFill="1" applyBorder="1" applyAlignment="1">
      <alignment horizontal="left" indent="2"/>
    </xf>
    <xf numFmtId="0" fontId="32" fillId="2" borderId="5" xfId="0" applyFont="1" applyFill="1" applyBorder="1" applyAlignment="1">
      <alignment horizontal="left" indent="2"/>
    </xf>
    <xf numFmtId="0" fontId="32" fillId="2" borderId="28" xfId="0" applyFont="1" applyFill="1" applyBorder="1" applyAlignment="1">
      <alignment horizontal="left" indent="2"/>
    </xf>
    <xf numFmtId="0" fontId="30" fillId="2" borderId="6" xfId="0" applyFont="1" applyFill="1" applyBorder="1" applyAlignment="1">
      <alignment horizontal="left" indent="2"/>
    </xf>
    <xf numFmtId="4" fontId="30" fillId="2" borderId="28" xfId="0" applyNumberFormat="1" applyFont="1" applyFill="1" applyBorder="1" applyAlignment="1">
      <alignment horizontal="left" indent="2"/>
    </xf>
    <xf numFmtId="0" fontId="30" fillId="2" borderId="28" xfId="0" applyFont="1" applyFill="1" applyBorder="1" applyAlignment="1">
      <alignment horizontal="left" indent="2"/>
    </xf>
    <xf numFmtId="4" fontId="32" fillId="2" borderId="0" xfId="0" applyNumberFormat="1" applyFont="1" applyFill="1" applyBorder="1" applyAlignment="1">
      <alignment horizontal="left" indent="2"/>
    </xf>
    <xf numFmtId="4" fontId="32" fillId="2" borderId="5" xfId="0" applyNumberFormat="1" applyFont="1" applyFill="1" applyBorder="1" applyAlignment="1">
      <alignment horizontal="left" indent="2"/>
    </xf>
    <xf numFmtId="0" fontId="31" fillId="2" borderId="6" xfId="0" applyFont="1" applyFill="1" applyBorder="1" applyAlignment="1">
      <alignment horizontal="left" indent="2"/>
    </xf>
    <xf numFmtId="0" fontId="62" fillId="2" borderId="6" xfId="0" applyFont="1" applyFill="1" applyBorder="1" applyAlignment="1">
      <alignment horizontal="left" indent="2"/>
    </xf>
    <xf numFmtId="2" fontId="32" fillId="2" borderId="28" xfId="0" applyNumberFormat="1" applyFont="1" applyFill="1" applyBorder="1" applyAlignment="1">
      <alignment horizontal="left" indent="2"/>
    </xf>
    <xf numFmtId="4" fontId="32" fillId="2" borderId="28" xfId="0" applyNumberFormat="1" applyFont="1" applyFill="1" applyBorder="1" applyAlignment="1">
      <alignment horizontal="left" vertical="center" indent="2"/>
    </xf>
    <xf numFmtId="0" fontId="30" fillId="2" borderId="6" xfId="0" applyFont="1" applyFill="1" applyBorder="1" applyAlignment="1">
      <alignment horizontal="left" vertical="center" indent="2"/>
    </xf>
    <xf numFmtId="0" fontId="29" fillId="2" borderId="6" xfId="0" applyFont="1" applyFill="1" applyBorder="1" applyAlignment="1">
      <alignment horizontal="center" vertical="center"/>
    </xf>
    <xf numFmtId="0" fontId="31" fillId="2" borderId="6" xfId="0" applyFont="1" applyFill="1" applyBorder="1" applyAlignment="1">
      <alignment horizontal="left" vertical="center" indent="2"/>
    </xf>
    <xf numFmtId="0" fontId="31" fillId="2" borderId="6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 indent="2"/>
    </xf>
    <xf numFmtId="0" fontId="33" fillId="2" borderId="6" xfId="0" applyFont="1" applyFill="1" applyBorder="1" applyAlignment="1">
      <alignment horizontal="center"/>
    </xf>
    <xf numFmtId="0" fontId="63" fillId="2" borderId="6" xfId="0" applyFont="1" applyFill="1" applyBorder="1" applyAlignment="1">
      <alignment horizontal="left" indent="2"/>
    </xf>
    <xf numFmtId="0" fontId="64" fillId="2" borderId="6" xfId="0" applyFont="1" applyFill="1" applyBorder="1" applyAlignment="1">
      <alignment horizontal="left" indent="2"/>
    </xf>
    <xf numFmtId="0" fontId="64" fillId="2" borderId="0" xfId="0" applyFont="1" applyFill="1" applyBorder="1" applyAlignment="1">
      <alignment horizontal="left" indent="2"/>
    </xf>
    <xf numFmtId="0" fontId="32" fillId="2" borderId="39" xfId="0" applyFont="1" applyFill="1" applyBorder="1" applyAlignment="1">
      <alignment horizontal="left" indent="2"/>
    </xf>
    <xf numFmtId="0" fontId="32" fillId="2" borderId="7" xfId="0" applyFont="1" applyFill="1" applyBorder="1" applyAlignment="1">
      <alignment horizontal="left" indent="2"/>
    </xf>
    <xf numFmtId="0" fontId="32" fillId="2" borderId="38" xfId="0" applyFont="1" applyFill="1" applyBorder="1" applyAlignment="1">
      <alignment horizontal="left" indent="2"/>
    </xf>
    <xf numFmtId="0" fontId="32" fillId="2" borderId="12" xfId="0" applyFont="1" applyFill="1" applyBorder="1" applyAlignment="1">
      <alignment horizontal="left" indent="2"/>
    </xf>
    <xf numFmtId="0" fontId="32" fillId="2" borderId="43" xfId="0" applyFont="1" applyFill="1" applyBorder="1" applyAlignment="1">
      <alignment horizontal="left" indent="2"/>
    </xf>
    <xf numFmtId="4" fontId="32" fillId="2" borderId="41" xfId="0" applyNumberFormat="1" applyFont="1" applyFill="1" applyBorder="1" applyAlignment="1">
      <alignment horizontal="left" indent="2"/>
    </xf>
    <xf numFmtId="0" fontId="31" fillId="2" borderId="6" xfId="0" applyFont="1" applyFill="1" applyBorder="1" applyAlignment="1">
      <alignment horizontal="left" vertical="center" wrapText="1" indent="2"/>
    </xf>
    <xf numFmtId="0" fontId="65" fillId="2" borderId="0" xfId="0" applyFont="1" applyFill="1" applyProtection="1">
      <protection hidden="1"/>
    </xf>
    <xf numFmtId="0" fontId="28" fillId="2" borderId="0" xfId="0" applyFont="1" applyFill="1" applyProtection="1">
      <protection hidden="1"/>
    </xf>
    <xf numFmtId="0" fontId="66" fillId="3" borderId="0" xfId="3" applyFont="1" applyFill="1" applyBorder="1" applyProtection="1">
      <protection hidden="1"/>
    </xf>
    <xf numFmtId="0" fontId="28" fillId="2" borderId="0" xfId="0" applyFont="1" applyFill="1"/>
    <xf numFmtId="0" fontId="67" fillId="2" borderId="0" xfId="0" applyFont="1" applyFill="1" applyAlignment="1">
      <alignment horizontal="center"/>
    </xf>
    <xf numFmtId="17" fontId="65" fillId="2" borderId="2" xfId="0" applyNumberFormat="1" applyFont="1" applyFill="1" applyBorder="1" applyAlignment="1" applyProtection="1">
      <alignment horizontal="center"/>
      <protection hidden="1"/>
    </xf>
    <xf numFmtId="0" fontId="28" fillId="2" borderId="13" xfId="0" applyFont="1" applyFill="1" applyBorder="1" applyProtection="1">
      <protection hidden="1"/>
    </xf>
    <xf numFmtId="0" fontId="28" fillId="2" borderId="13" xfId="0" applyFont="1" applyFill="1" applyBorder="1" applyAlignment="1" applyProtection="1">
      <alignment horizontal="center"/>
      <protection locked="0"/>
    </xf>
    <xf numFmtId="4" fontId="28" fillId="2" borderId="13" xfId="2" applyNumberFormat="1" applyFont="1" applyFill="1" applyBorder="1" applyProtection="1">
      <protection hidden="1"/>
    </xf>
    <xf numFmtId="0" fontId="28" fillId="2" borderId="1" xfId="0" applyFont="1" applyFill="1" applyBorder="1" applyProtection="1">
      <protection hidden="1"/>
    </xf>
    <xf numFmtId="0" fontId="28" fillId="2" borderId="1" xfId="0" applyFont="1" applyFill="1" applyBorder="1" applyAlignment="1" applyProtection="1">
      <alignment horizontal="center"/>
      <protection locked="0"/>
    </xf>
    <xf numFmtId="4" fontId="28" fillId="2" borderId="1" xfId="2" applyNumberFormat="1" applyFont="1" applyFill="1" applyBorder="1" applyProtection="1">
      <protection hidden="1"/>
    </xf>
    <xf numFmtId="4" fontId="28" fillId="2" borderId="0" xfId="0" applyNumberFormat="1" applyFont="1" applyFill="1"/>
    <xf numFmtId="4" fontId="28" fillId="2" borderId="17" xfId="2" applyNumberFormat="1" applyFont="1" applyFill="1" applyBorder="1" applyProtection="1">
      <protection hidden="1"/>
    </xf>
    <xf numFmtId="0" fontId="65" fillId="2" borderId="1" xfId="0" applyFont="1" applyFill="1" applyBorder="1" applyAlignment="1" applyProtection="1">
      <alignment horizontal="right"/>
      <protection hidden="1"/>
    </xf>
    <xf numFmtId="4" fontId="65" fillId="2" borderId="2" xfId="2" applyNumberFormat="1" applyFont="1" applyFill="1" applyBorder="1" applyProtection="1">
      <protection hidden="1"/>
    </xf>
    <xf numFmtId="0" fontId="65" fillId="2" borderId="1" xfId="0" applyFont="1" applyFill="1" applyBorder="1" applyAlignment="1" applyProtection="1">
      <alignment horizontal="left"/>
      <protection hidden="1"/>
    </xf>
    <xf numFmtId="0" fontId="65" fillId="2" borderId="17" xfId="0" applyFont="1" applyFill="1" applyBorder="1" applyAlignment="1" applyProtection="1">
      <alignment horizontal="left"/>
      <protection hidden="1"/>
    </xf>
    <xf numFmtId="0" fontId="28" fillId="2" borderId="17" xfId="0" applyFont="1" applyFill="1" applyBorder="1" applyAlignment="1" applyProtection="1">
      <alignment horizontal="center"/>
      <protection locked="0"/>
    </xf>
    <xf numFmtId="4" fontId="28" fillId="2" borderId="2" xfId="0" applyNumberFormat="1" applyFont="1" applyFill="1" applyBorder="1" applyProtection="1">
      <protection hidden="1"/>
    </xf>
    <xf numFmtId="0" fontId="65" fillId="2" borderId="0" xfId="0" applyFont="1" applyFill="1" applyAlignment="1" applyProtection="1">
      <alignment horizontal="left"/>
      <protection hidden="1"/>
    </xf>
    <xf numFmtId="4" fontId="28" fillId="2" borderId="0" xfId="0" applyNumberFormat="1" applyFont="1" applyFill="1" applyProtection="1">
      <protection hidden="1"/>
    </xf>
    <xf numFmtId="0" fontId="28" fillId="2" borderId="17" xfId="0" applyFont="1" applyFill="1" applyBorder="1" applyProtection="1">
      <protection hidden="1"/>
    </xf>
    <xf numFmtId="167" fontId="65" fillId="2" borderId="2" xfId="0" applyNumberFormat="1" applyFont="1" applyFill="1" applyBorder="1" applyAlignment="1" applyProtection="1">
      <alignment horizontal="center"/>
      <protection hidden="1"/>
    </xf>
    <xf numFmtId="0" fontId="68" fillId="12" borderId="0" xfId="0" applyFont="1" applyFill="1"/>
    <xf numFmtId="0" fontId="69" fillId="12" borderId="0" xfId="0" applyFont="1" applyFill="1" applyAlignment="1">
      <alignment horizontal="center"/>
    </xf>
    <xf numFmtId="0" fontId="69" fillId="12" borderId="0" xfId="0" applyFont="1" applyFill="1"/>
    <xf numFmtId="1" fontId="69" fillId="12" borderId="0" xfId="0" applyNumberFormat="1" applyFont="1" applyFill="1"/>
    <xf numFmtId="0" fontId="70" fillId="17" borderId="33" xfId="0" applyFont="1" applyFill="1" applyBorder="1" applyAlignment="1" applyProtection="1">
      <alignment horizontal="left"/>
    </xf>
    <xf numFmtId="0" fontId="70" fillId="17" borderId="34" xfId="0" applyFont="1" applyFill="1" applyBorder="1"/>
    <xf numFmtId="186" fontId="71" fillId="4" borderId="8" xfId="0" applyNumberFormat="1" applyFont="1" applyFill="1" applyBorder="1" applyAlignment="1" applyProtection="1">
      <alignment horizontal="center"/>
      <protection locked="0"/>
    </xf>
    <xf numFmtId="186" fontId="72" fillId="17" borderId="34" xfId="0" applyNumberFormat="1" applyFont="1" applyFill="1" applyBorder="1" applyProtection="1">
      <protection locked="0"/>
    </xf>
    <xf numFmtId="0" fontId="70" fillId="17" borderId="34" xfId="0" applyFont="1" applyFill="1" applyBorder="1" applyAlignment="1" applyProtection="1">
      <alignment horizontal="left"/>
    </xf>
    <xf numFmtId="0" fontId="70" fillId="17" borderId="34" xfId="0" applyFont="1" applyFill="1" applyBorder="1" applyAlignment="1">
      <alignment horizontal="center"/>
    </xf>
    <xf numFmtId="0" fontId="71" fillId="4" borderId="8" xfId="0" applyFont="1" applyFill="1" applyBorder="1" applyProtection="1">
      <protection locked="0"/>
    </xf>
    <xf numFmtId="0" fontId="70" fillId="12" borderId="0" xfId="0" applyFont="1" applyFill="1" applyBorder="1" applyProtection="1">
      <protection locked="0"/>
    </xf>
    <xf numFmtId="0" fontId="70" fillId="17" borderId="25" xfId="0" applyFont="1" applyFill="1" applyBorder="1" applyAlignment="1" applyProtection="1">
      <alignment horizontal="left"/>
    </xf>
    <xf numFmtId="0" fontId="70" fillId="17" borderId="0" xfId="0" applyFont="1" applyFill="1" applyBorder="1"/>
    <xf numFmtId="10" fontId="71" fillId="4" borderId="8" xfId="0" applyNumberFormat="1" applyFont="1" applyFill="1" applyBorder="1" applyAlignment="1" applyProtection="1">
      <alignment horizontal="center"/>
    </xf>
    <xf numFmtId="187" fontId="73" fillId="17" borderId="0" xfId="0" applyNumberFormat="1" applyFont="1" applyFill="1" applyBorder="1" applyProtection="1"/>
    <xf numFmtId="0" fontId="70" fillId="17" borderId="0" xfId="0" applyFont="1" applyFill="1" applyBorder="1" applyAlignment="1" applyProtection="1">
      <alignment horizontal="left"/>
    </xf>
    <xf numFmtId="0" fontId="70" fillId="17" borderId="0" xfId="0" applyFont="1" applyFill="1" applyBorder="1" applyAlignment="1">
      <alignment horizontal="center"/>
    </xf>
    <xf numFmtId="0" fontId="71" fillId="12" borderId="8" xfId="0" applyFont="1" applyFill="1" applyBorder="1" applyProtection="1">
      <protection locked="0"/>
    </xf>
    <xf numFmtId="0" fontId="70" fillId="17" borderId="27" xfId="0" applyFont="1" applyFill="1" applyBorder="1" applyAlignment="1" applyProtection="1">
      <alignment horizontal="left"/>
    </xf>
    <xf numFmtId="0" fontId="70" fillId="17" borderId="35" xfId="0" applyFont="1" applyFill="1" applyBorder="1"/>
    <xf numFmtId="186" fontId="70" fillId="12" borderId="8" xfId="0" applyNumberFormat="1" applyFont="1" applyFill="1" applyBorder="1" applyAlignment="1" applyProtection="1">
      <alignment horizontal="center"/>
    </xf>
    <xf numFmtId="188" fontId="73" fillId="17" borderId="35" xfId="0" applyNumberFormat="1" applyFont="1" applyFill="1" applyBorder="1" applyProtection="1"/>
    <xf numFmtId="0" fontId="70" fillId="17" borderId="35" xfId="0" applyFont="1" applyFill="1" applyBorder="1" applyAlignment="1" applyProtection="1">
      <alignment horizontal="left"/>
    </xf>
    <xf numFmtId="0" fontId="70" fillId="17" borderId="35" xfId="0" applyFont="1" applyFill="1" applyBorder="1" applyAlignment="1">
      <alignment horizontal="center"/>
    </xf>
    <xf numFmtId="1" fontId="70" fillId="12" borderId="8" xfId="0" applyNumberFormat="1" applyFont="1" applyFill="1" applyBorder="1" applyProtection="1"/>
    <xf numFmtId="0" fontId="70" fillId="12" borderId="0" xfId="0" applyFont="1" applyFill="1" applyBorder="1" applyProtection="1"/>
    <xf numFmtId="0" fontId="70" fillId="17" borderId="8" xfId="0" applyFont="1" applyFill="1" applyBorder="1" applyAlignment="1">
      <alignment horizontal="center"/>
    </xf>
    <xf numFmtId="0" fontId="70" fillId="17" borderId="67" xfId="0" applyFont="1" applyFill="1" applyBorder="1" applyAlignment="1">
      <alignment horizontal="center"/>
    </xf>
    <xf numFmtId="0" fontId="70" fillId="17" borderId="8" xfId="0" applyFont="1" applyFill="1" applyBorder="1"/>
    <xf numFmtId="1" fontId="69" fillId="0" borderId="0" xfId="0" applyNumberFormat="1" applyFont="1"/>
    <xf numFmtId="2" fontId="68" fillId="12" borderId="0" xfId="0" applyNumberFormat="1" applyFont="1" applyFill="1"/>
    <xf numFmtId="0" fontId="69" fillId="12" borderId="26" xfId="0" applyFont="1" applyFill="1" applyBorder="1" applyAlignment="1">
      <alignment horizontal="center"/>
    </xf>
    <xf numFmtId="4" fontId="69" fillId="12" borderId="34" xfId="0" applyNumberFormat="1" applyFont="1" applyFill="1" applyBorder="1"/>
    <xf numFmtId="4" fontId="69" fillId="12" borderId="26" xfId="0" applyNumberFormat="1" applyFont="1" applyFill="1" applyBorder="1"/>
    <xf numFmtId="4" fontId="69" fillId="12" borderId="26" xfId="0" applyNumberFormat="1" applyFont="1" applyFill="1" applyBorder="1" applyAlignment="1">
      <alignment horizontal="center"/>
    </xf>
    <xf numFmtId="4" fontId="69" fillId="12" borderId="0" xfId="0" applyNumberFormat="1" applyFont="1" applyFill="1" applyBorder="1"/>
    <xf numFmtId="4" fontId="69" fillId="12" borderId="21" xfId="0" applyNumberFormat="1" applyFont="1" applyFill="1" applyBorder="1" applyAlignment="1">
      <alignment horizontal="center"/>
    </xf>
    <xf numFmtId="4" fontId="69" fillId="12" borderId="0" xfId="0" applyNumberFormat="1" applyFont="1" applyFill="1" applyBorder="1" applyAlignment="1">
      <alignment horizontal="right"/>
    </xf>
    <xf numFmtId="189" fontId="69" fillId="12" borderId="0" xfId="0" applyNumberFormat="1" applyFont="1" applyFill="1" applyBorder="1" applyAlignment="1">
      <alignment horizontal="center"/>
    </xf>
    <xf numFmtId="4" fontId="69" fillId="12" borderId="21" xfId="0" applyNumberFormat="1" applyFont="1" applyFill="1" applyBorder="1"/>
    <xf numFmtId="190" fontId="69" fillId="12" borderId="0" xfId="0" applyNumberFormat="1" applyFont="1" applyFill="1"/>
    <xf numFmtId="0" fontId="69" fillId="12" borderId="21" xfId="0" applyFont="1" applyFill="1" applyBorder="1" applyAlignment="1">
      <alignment horizontal="center"/>
    </xf>
    <xf numFmtId="1" fontId="68" fillId="12" borderId="0" xfId="0" applyNumberFormat="1" applyFont="1" applyFill="1"/>
    <xf numFmtId="4" fontId="69" fillId="12" borderId="0" xfId="0" applyNumberFormat="1" applyFont="1" applyFill="1"/>
    <xf numFmtId="4" fontId="69" fillId="12" borderId="0" xfId="0" applyNumberFormat="1" applyFont="1" applyFill="1" applyAlignment="1">
      <alignment horizontal="right"/>
    </xf>
    <xf numFmtId="189" fontId="69" fillId="12" borderId="0" xfId="0" applyNumberFormat="1" applyFont="1" applyFill="1" applyAlignment="1">
      <alignment horizontal="center"/>
    </xf>
    <xf numFmtId="4" fontId="70" fillId="12" borderId="0" xfId="0" applyNumberFormat="1" applyFont="1" applyFill="1" applyAlignment="1">
      <alignment horizontal="right"/>
    </xf>
    <xf numFmtId="0" fontId="74" fillId="19" borderId="21" xfId="0" applyFont="1" applyFill="1" applyBorder="1" applyAlignment="1">
      <alignment horizontal="center"/>
    </xf>
    <xf numFmtId="4" fontId="74" fillId="19" borderId="0" xfId="0" applyNumberFormat="1" applyFont="1" applyFill="1"/>
    <xf numFmtId="4" fontId="70" fillId="19" borderId="21" xfId="0" applyNumberFormat="1" applyFont="1" applyFill="1" applyBorder="1"/>
    <xf numFmtId="4" fontId="74" fillId="19" borderId="21" xfId="0" applyNumberFormat="1" applyFont="1" applyFill="1" applyBorder="1" applyAlignment="1">
      <alignment horizontal="center"/>
    </xf>
    <xf numFmtId="4" fontId="70" fillId="19" borderId="0" xfId="0" applyNumberFormat="1" applyFont="1" applyFill="1"/>
    <xf numFmtId="4" fontId="70" fillId="19" borderId="0" xfId="0" applyNumberFormat="1" applyFont="1" applyFill="1" applyAlignment="1">
      <alignment horizontal="right"/>
    </xf>
    <xf numFmtId="189" fontId="74" fillId="19" borderId="0" xfId="0" applyNumberFormat="1" applyFont="1" applyFill="1" applyAlignment="1">
      <alignment horizontal="center"/>
    </xf>
    <xf numFmtId="4" fontId="74" fillId="19" borderId="21" xfId="0" applyNumberFormat="1" applyFont="1" applyFill="1" applyBorder="1"/>
    <xf numFmtId="4" fontId="69" fillId="19" borderId="21" xfId="0" applyNumberFormat="1" applyFont="1" applyFill="1" applyBorder="1"/>
    <xf numFmtId="1" fontId="75" fillId="2" borderId="0" xfId="0" applyNumberFormat="1" applyFont="1" applyFill="1"/>
    <xf numFmtId="1" fontId="75" fillId="19" borderId="0" xfId="0" applyNumberFormat="1" applyFont="1" applyFill="1"/>
    <xf numFmtId="190" fontId="74" fillId="19" borderId="0" xfId="0" applyNumberFormat="1" applyFont="1" applyFill="1"/>
    <xf numFmtId="1" fontId="68" fillId="19" borderId="0" xfId="0" applyNumberFormat="1" applyFont="1" applyFill="1"/>
    <xf numFmtId="0" fontId="69" fillId="19" borderId="0" xfId="0" applyFont="1" applyFill="1"/>
    <xf numFmtId="4" fontId="69" fillId="12" borderId="0" xfId="0" applyNumberFormat="1" applyFont="1" applyFill="1" applyAlignment="1">
      <alignment horizontal="center"/>
    </xf>
    <xf numFmtId="0" fontId="74" fillId="19" borderId="8" xfId="0" applyFont="1" applyFill="1" applyBorder="1" applyAlignment="1">
      <alignment horizontal="center"/>
    </xf>
    <xf numFmtId="4" fontId="74" fillId="19" borderId="67" xfId="0" applyNumberFormat="1" applyFont="1" applyFill="1" applyBorder="1"/>
    <xf numFmtId="4" fontId="70" fillId="19" borderId="8" xfId="0" applyNumberFormat="1" applyFont="1" applyFill="1" applyBorder="1"/>
    <xf numFmtId="4" fontId="74" fillId="19" borderId="8" xfId="0" applyNumberFormat="1" applyFont="1" applyFill="1" applyBorder="1" applyAlignment="1">
      <alignment horizontal="center"/>
    </xf>
    <xf numFmtId="4" fontId="74" fillId="19" borderId="67" xfId="0" applyNumberFormat="1" applyFont="1" applyFill="1" applyBorder="1" applyAlignment="1">
      <alignment horizontal="right"/>
    </xf>
    <xf numFmtId="189" fontId="74" fillId="19" borderId="67" xfId="0" applyNumberFormat="1" applyFont="1" applyFill="1" applyBorder="1" applyAlignment="1">
      <alignment horizontal="center"/>
    </xf>
    <xf numFmtId="4" fontId="74" fillId="19" borderId="8" xfId="0" applyNumberFormat="1" applyFont="1" applyFill="1" applyBorder="1"/>
    <xf numFmtId="4" fontId="69" fillId="19" borderId="8" xfId="0" applyNumberFormat="1" applyFont="1" applyFill="1" applyBorder="1"/>
    <xf numFmtId="3" fontId="69" fillId="12" borderId="0" xfId="0" applyNumberFormat="1" applyFont="1" applyFill="1"/>
    <xf numFmtId="4" fontId="74" fillId="2" borderId="0" xfId="0" applyNumberFormat="1" applyFont="1" applyFill="1" applyBorder="1" applyAlignment="1">
      <alignment horizontal="center"/>
    </xf>
    <xf numFmtId="4" fontId="69" fillId="12" borderId="8" xfId="0" applyNumberFormat="1" applyFont="1" applyFill="1" applyBorder="1" applyAlignment="1">
      <alignment horizontal="center"/>
    </xf>
    <xf numFmtId="0" fontId="69" fillId="0" borderId="8" xfId="0" applyFont="1" applyBorder="1" applyAlignment="1">
      <alignment horizontal="center"/>
    </xf>
    <xf numFmtId="0" fontId="69" fillId="0" borderId="0" xfId="0" applyFont="1" applyBorder="1" applyAlignment="1">
      <alignment horizontal="center"/>
    </xf>
    <xf numFmtId="4" fontId="69" fillId="12" borderId="8" xfId="0" applyNumberFormat="1" applyFont="1" applyFill="1" applyBorder="1"/>
    <xf numFmtId="3" fontId="76" fillId="12" borderId="8" xfId="0" applyNumberFormat="1" applyFont="1" applyFill="1" applyBorder="1"/>
    <xf numFmtId="3" fontId="69" fillId="12" borderId="8" xfId="0" applyNumberFormat="1" applyFont="1" applyFill="1" applyBorder="1" applyAlignment="1">
      <alignment horizontal="right"/>
    </xf>
    <xf numFmtId="3" fontId="69" fillId="12" borderId="8" xfId="0" applyNumberFormat="1" applyFont="1" applyFill="1" applyBorder="1"/>
    <xf numFmtId="3" fontId="69" fillId="12" borderId="0" xfId="0" applyNumberFormat="1" applyFont="1" applyFill="1" applyBorder="1" applyAlignment="1">
      <alignment horizontal="right"/>
    </xf>
    <xf numFmtId="4" fontId="74" fillId="12" borderId="8" xfId="0" applyNumberFormat="1" applyFont="1" applyFill="1" applyBorder="1"/>
    <xf numFmtId="4" fontId="74" fillId="12" borderId="0" xfId="0" applyNumberFormat="1" applyFont="1" applyFill="1" applyBorder="1"/>
    <xf numFmtId="4" fontId="76" fillId="12" borderId="8" xfId="0" applyNumberFormat="1" applyFont="1" applyFill="1" applyBorder="1"/>
    <xf numFmtId="4" fontId="77" fillId="12" borderId="0" xfId="0" applyNumberFormat="1" applyFont="1" applyFill="1" applyBorder="1"/>
    <xf numFmtId="9" fontId="77" fillId="12" borderId="8" xfId="53" applyFont="1" applyFill="1" applyBorder="1"/>
    <xf numFmtId="9" fontId="77" fillId="12" borderId="0" xfId="53" applyFont="1" applyFill="1" applyBorder="1"/>
    <xf numFmtId="0" fontId="69" fillId="0" borderId="0" xfId="0" applyFont="1" applyAlignment="1">
      <alignment horizontal="center"/>
    </xf>
    <xf numFmtId="0" fontId="69" fillId="0" borderId="0" xfId="0" applyFont="1"/>
    <xf numFmtId="0" fontId="80" fillId="8" borderId="0" xfId="0" applyFont="1" applyFill="1"/>
    <xf numFmtId="0" fontId="28" fillId="2" borderId="0" xfId="0" applyFont="1" applyFill="1" applyBorder="1" applyProtection="1">
      <protection hidden="1"/>
    </xf>
    <xf numFmtId="4" fontId="28" fillId="2" borderId="0" xfId="0" applyNumberFormat="1" applyFont="1" applyFill="1" applyBorder="1" applyProtection="1">
      <protection hidden="1"/>
    </xf>
    <xf numFmtId="0" fontId="28" fillId="2" borderId="0" xfId="0" applyFont="1" applyFill="1" applyBorder="1"/>
    <xf numFmtId="0" fontId="79" fillId="8" borderId="0" xfId="0" applyFont="1" applyFill="1" applyBorder="1" applyProtection="1">
      <protection hidden="1"/>
    </xf>
    <xf numFmtId="0" fontId="80" fillId="8" borderId="0" xfId="0" applyFont="1" applyFill="1" applyBorder="1" applyProtection="1">
      <protection hidden="1"/>
    </xf>
    <xf numFmtId="167" fontId="79" fillId="8" borderId="0" xfId="0" applyNumberFormat="1" applyFont="1" applyFill="1" applyBorder="1" applyAlignment="1" applyProtection="1">
      <alignment horizontal="center"/>
      <protection hidden="1"/>
    </xf>
    <xf numFmtId="0" fontId="80" fillId="8" borderId="0" xfId="0" applyFont="1" applyFill="1" applyBorder="1"/>
    <xf numFmtId="4" fontId="79" fillId="8" borderId="0" xfId="0" applyNumberFormat="1" applyFont="1" applyFill="1" applyBorder="1" applyProtection="1">
      <protection hidden="1"/>
    </xf>
    <xf numFmtId="4" fontId="80" fillId="8" borderId="0" xfId="0" applyNumberFormat="1" applyFont="1" applyFill="1" applyBorder="1" applyProtection="1">
      <protection hidden="1"/>
    </xf>
    <xf numFmtId="0" fontId="80" fillId="8" borderId="0" xfId="0" applyFont="1" applyFill="1" applyBorder="1" applyAlignment="1" applyProtection="1">
      <alignment horizontal="left"/>
      <protection hidden="1"/>
    </xf>
    <xf numFmtId="4" fontId="80" fillId="8" borderId="0" xfId="0" applyNumberFormat="1" applyFont="1" applyFill="1" applyBorder="1" applyAlignment="1" applyProtection="1">
      <alignment horizontal="right"/>
      <protection hidden="1"/>
    </xf>
    <xf numFmtId="170" fontId="81" fillId="0" borderId="0" xfId="0" applyNumberFormat="1" applyFont="1" applyAlignment="1">
      <alignment horizontal="left" vertical="center" wrapText="1"/>
    </xf>
    <xf numFmtId="170" fontId="81" fillId="0" borderId="0" xfId="0" applyNumberFormat="1" applyFont="1" applyAlignment="1">
      <alignment vertical="center" wrapText="1"/>
    </xf>
    <xf numFmtId="170" fontId="82" fillId="0" borderId="0" xfId="0" applyNumberFormat="1" applyFont="1" applyAlignment="1">
      <alignment horizontal="right" vertical="center"/>
    </xf>
    <xf numFmtId="170" fontId="86" fillId="0" borderId="0" xfId="0" applyNumberFormat="1" applyFont="1" applyAlignment="1">
      <alignment vertical="center" wrapText="1"/>
    </xf>
    <xf numFmtId="170" fontId="85" fillId="21" borderId="59" xfId="0" applyNumberFormat="1" applyFont="1" applyFill="1" applyBorder="1" applyAlignment="1">
      <alignment horizontal="center" vertical="center" wrapText="1"/>
    </xf>
    <xf numFmtId="170" fontId="87" fillId="11" borderId="59" xfId="0" applyNumberFormat="1" applyFont="1" applyFill="1" applyBorder="1" applyAlignment="1">
      <alignment horizontal="left" vertical="center" wrapText="1"/>
    </xf>
    <xf numFmtId="0" fontId="87" fillId="11" borderId="59" xfId="0" applyNumberFormat="1" applyFont="1" applyFill="1" applyBorder="1" applyAlignment="1">
      <alignment horizontal="center" vertical="center" wrapText="1"/>
    </xf>
    <xf numFmtId="170" fontId="88" fillId="10" borderId="58" xfId="0" applyNumberFormat="1" applyFont="1" applyFill="1" applyBorder="1" applyAlignment="1">
      <alignment horizontal="left" vertical="center" wrapText="1" indent="1"/>
    </xf>
    <xf numFmtId="170" fontId="37" fillId="9" borderId="59" xfId="0" applyNumberFormat="1" applyFont="1" applyFill="1" applyBorder="1" applyAlignment="1">
      <alignment horizontal="right" vertical="center" wrapText="1"/>
    </xf>
    <xf numFmtId="170" fontId="37" fillId="11" borderId="59" xfId="0" applyNumberFormat="1" applyFont="1" applyFill="1" applyBorder="1" applyAlignment="1">
      <alignment horizontal="right" vertical="center" wrapText="1"/>
    </xf>
    <xf numFmtId="170" fontId="88" fillId="10" borderId="59" xfId="0" applyNumberFormat="1" applyFont="1" applyFill="1" applyBorder="1" applyAlignment="1">
      <alignment horizontal="left" vertical="center" wrapText="1" indent="1"/>
    </xf>
    <xf numFmtId="0" fontId="89" fillId="11" borderId="59" xfId="0" applyNumberFormat="1" applyFont="1" applyFill="1" applyBorder="1" applyAlignment="1">
      <alignment horizontal="center" vertical="center" wrapText="1"/>
    </xf>
    <xf numFmtId="0" fontId="90" fillId="11" borderId="59" xfId="0" applyNumberFormat="1" applyFont="1" applyFill="1" applyBorder="1" applyAlignment="1">
      <alignment horizontal="center" vertical="center" wrapText="1"/>
    </xf>
    <xf numFmtId="170" fontId="86" fillId="0" borderId="0" xfId="0" applyNumberFormat="1" applyFont="1" applyAlignment="1">
      <alignment horizontal="left" vertical="center" wrapText="1"/>
    </xf>
    <xf numFmtId="49" fontId="37" fillId="0" borderId="0" xfId="4" applyNumberFormat="1" applyFont="1" applyAlignment="1">
      <alignment vertical="center"/>
    </xf>
    <xf numFmtId="0" fontId="37" fillId="0" borderId="0" xfId="4" applyFont="1" applyAlignment="1">
      <alignment vertical="center"/>
    </xf>
    <xf numFmtId="0" fontId="44" fillId="0" borderId="0" xfId="4" applyFont="1" applyAlignment="1">
      <alignment vertical="center"/>
    </xf>
    <xf numFmtId="0" fontId="38" fillId="0" borderId="0" xfId="4" applyFont="1" applyAlignment="1">
      <alignment vertical="center"/>
    </xf>
    <xf numFmtId="169" fontId="40" fillId="10" borderId="59" xfId="4" applyNumberFormat="1" applyFont="1" applyFill="1" applyBorder="1" applyAlignment="1">
      <alignment horizontal="center" vertical="center"/>
    </xf>
    <xf numFmtId="169" fontId="40" fillId="10" borderId="58" xfId="4" applyNumberFormat="1" applyFont="1" applyFill="1" applyBorder="1" applyAlignment="1">
      <alignment horizontal="center" vertical="center"/>
    </xf>
    <xf numFmtId="49" fontId="88" fillId="10" borderId="57" xfId="4" applyNumberFormat="1" applyFont="1" applyFill="1" applyBorder="1" applyAlignment="1">
      <alignment horizontal="left" vertical="center" indent="1"/>
    </xf>
    <xf numFmtId="0" fontId="41" fillId="10" borderId="61" xfId="4" applyFont="1" applyFill="1" applyBorder="1" applyAlignment="1">
      <alignment horizontal="left" vertical="center"/>
    </xf>
    <xf numFmtId="0" fontId="37" fillId="9" borderId="61" xfId="4" applyFont="1" applyFill="1" applyBorder="1" applyAlignment="1">
      <alignment horizontal="center" vertical="center"/>
    </xf>
    <xf numFmtId="170" fontId="37" fillId="9" borderId="70" xfId="4" applyNumberFormat="1" applyFont="1" applyFill="1" applyBorder="1" applyAlignment="1">
      <alignment vertical="center"/>
    </xf>
    <xf numFmtId="170" fontId="37" fillId="9" borderId="71" xfId="4" applyNumberFormat="1" applyFont="1" applyFill="1" applyBorder="1" applyAlignment="1">
      <alignment vertical="center"/>
    </xf>
    <xf numFmtId="0" fontId="41" fillId="10" borderId="56" xfId="4" applyFont="1" applyFill="1" applyBorder="1" applyAlignment="1">
      <alignment horizontal="left" vertical="center" indent="1"/>
    </xf>
    <xf numFmtId="0" fontId="37" fillId="9" borderId="56" xfId="4" applyFont="1" applyFill="1" applyBorder="1" applyAlignment="1">
      <alignment horizontal="center" vertical="center"/>
    </xf>
    <xf numFmtId="170" fontId="37" fillId="9" borderId="72" xfId="4" applyNumberFormat="1" applyFont="1" applyFill="1" applyBorder="1" applyAlignment="1">
      <alignment vertical="center"/>
    </xf>
    <xf numFmtId="170" fontId="37" fillId="9" borderId="73" xfId="4" applyNumberFormat="1" applyFont="1" applyFill="1" applyBorder="1" applyAlignment="1">
      <alignment vertical="center"/>
    </xf>
    <xf numFmtId="0" fontId="40" fillId="10" borderId="56" xfId="4" applyFont="1" applyFill="1" applyBorder="1" applyAlignment="1">
      <alignment horizontal="left" vertical="center" indent="2"/>
    </xf>
    <xf numFmtId="49" fontId="88" fillId="10" borderId="57" xfId="4" applyNumberFormat="1" applyFont="1" applyFill="1" applyBorder="1" applyAlignment="1">
      <alignment horizontal="left" vertical="center" wrapText="1" indent="1"/>
    </xf>
    <xf numFmtId="49" fontId="93" fillId="10" borderId="57" xfId="4" applyNumberFormat="1" applyFont="1" applyFill="1" applyBorder="1" applyAlignment="1">
      <alignment horizontal="left" vertical="center" wrapText="1" indent="1"/>
    </xf>
    <xf numFmtId="0" fontId="40" fillId="10" borderId="56" xfId="4" applyFont="1" applyFill="1" applyBorder="1" applyAlignment="1">
      <alignment vertical="center"/>
    </xf>
    <xf numFmtId="170" fontId="37" fillId="11" borderId="74" xfId="4" applyNumberFormat="1" applyFont="1" applyFill="1" applyBorder="1" applyAlignment="1">
      <alignment vertical="center"/>
    </xf>
    <xf numFmtId="170" fontId="37" fillId="11" borderId="75" xfId="4" applyNumberFormat="1" applyFont="1" applyFill="1" applyBorder="1" applyAlignment="1">
      <alignment vertical="center"/>
    </xf>
    <xf numFmtId="49" fontId="88" fillId="10" borderId="57" xfId="4" quotePrefix="1" applyNumberFormat="1" applyFont="1" applyFill="1" applyBorder="1" applyAlignment="1">
      <alignment horizontal="left" vertical="center" indent="1"/>
    </xf>
    <xf numFmtId="49" fontId="88" fillId="10" borderId="57" xfId="4" quotePrefix="1" applyNumberFormat="1" applyFont="1" applyFill="1" applyBorder="1" applyAlignment="1">
      <alignment horizontal="left" vertical="center" wrapText="1" indent="1"/>
    </xf>
    <xf numFmtId="49" fontId="88" fillId="10" borderId="65" xfId="4" applyNumberFormat="1" applyFont="1" applyFill="1" applyBorder="1" applyAlignment="1">
      <alignment horizontal="left" vertical="center" indent="1"/>
    </xf>
    <xf numFmtId="0" fontId="41" fillId="10" borderId="64" xfId="4" applyFont="1" applyFill="1" applyBorder="1" applyAlignment="1">
      <alignment vertical="center"/>
    </xf>
    <xf numFmtId="0" fontId="37" fillId="9" borderId="76" xfId="4" applyFont="1" applyFill="1" applyBorder="1" applyAlignment="1">
      <alignment horizontal="center" vertical="center"/>
    </xf>
    <xf numFmtId="0" fontId="41" fillId="10" borderId="56" xfId="4" applyFont="1" applyFill="1" applyBorder="1" applyAlignment="1">
      <alignment horizontal="left" vertical="center"/>
    </xf>
    <xf numFmtId="0" fontId="37" fillId="9" borderId="77" xfId="4" applyFont="1" applyFill="1" applyBorder="1" applyAlignment="1">
      <alignment horizontal="center" vertical="center"/>
    </xf>
    <xf numFmtId="0" fontId="41" fillId="10" borderId="56" xfId="4" applyFont="1" applyFill="1" applyBorder="1" applyAlignment="1">
      <alignment horizontal="left" vertical="center" indent="2"/>
    </xf>
    <xf numFmtId="170" fontId="37" fillId="9" borderId="78" xfId="4" applyNumberFormat="1" applyFont="1" applyFill="1" applyBorder="1" applyAlignment="1">
      <alignment vertical="center"/>
    </xf>
    <xf numFmtId="0" fontId="41" fillId="10" borderId="56" xfId="4" applyFont="1" applyFill="1" applyBorder="1" applyAlignment="1">
      <alignment vertical="center"/>
    </xf>
    <xf numFmtId="49" fontId="94" fillId="10" borderId="57" xfId="4" applyNumberFormat="1" applyFont="1" applyFill="1" applyBorder="1" applyAlignment="1">
      <alignment horizontal="left" vertical="center" indent="1"/>
    </xf>
    <xf numFmtId="170" fontId="37" fillId="11" borderId="78" xfId="4" applyNumberFormat="1" applyFont="1" applyFill="1" applyBorder="1" applyAlignment="1">
      <alignment vertical="center"/>
    </xf>
    <xf numFmtId="170" fontId="37" fillId="11" borderId="79" xfId="4" applyNumberFormat="1" applyFont="1" applyFill="1" applyBorder="1" applyAlignment="1">
      <alignment vertical="center"/>
    </xf>
    <xf numFmtId="0" fontId="37" fillId="0" borderId="0" xfId="4" applyFont="1" applyBorder="1" applyAlignment="1">
      <alignment vertical="top" wrapText="1"/>
    </xf>
    <xf numFmtId="169" fontId="43" fillId="10" borderId="59" xfId="4" applyNumberFormat="1" applyFont="1" applyFill="1" applyBorder="1" applyAlignment="1">
      <alignment horizontal="center" vertical="center"/>
    </xf>
    <xf numFmtId="49" fontId="94" fillId="10" borderId="61" xfId="4" applyNumberFormat="1" applyFont="1" applyFill="1" applyBorder="1" applyAlignment="1">
      <alignment horizontal="left" vertical="center" indent="1"/>
    </xf>
    <xf numFmtId="0" fontId="41" fillId="10" borderId="61" xfId="4" applyFont="1" applyFill="1" applyBorder="1" applyAlignment="1">
      <alignment horizontal="center" vertical="center" wrapText="1"/>
    </xf>
    <xf numFmtId="0" fontId="97" fillId="10" borderId="61" xfId="4" applyFont="1" applyFill="1" applyBorder="1" applyAlignment="1">
      <alignment horizontal="center" vertical="center" wrapText="1"/>
    </xf>
    <xf numFmtId="0" fontId="38" fillId="9" borderId="61" xfId="4" applyNumberFormat="1" applyFont="1" applyFill="1" applyBorder="1" applyAlignment="1">
      <alignment horizontal="center" vertical="center" wrapText="1"/>
    </xf>
    <xf numFmtId="170" fontId="37" fillId="9" borderId="61" xfId="4" applyNumberFormat="1" applyFont="1" applyFill="1" applyBorder="1" applyAlignment="1">
      <alignment horizontal="center" vertical="center"/>
    </xf>
    <xf numFmtId="49" fontId="88" fillId="10" borderId="56" xfId="4" applyNumberFormat="1" applyFont="1" applyFill="1" applyBorder="1" applyAlignment="1">
      <alignment horizontal="left" vertical="center" indent="1"/>
    </xf>
    <xf numFmtId="0" fontId="40" fillId="10" borderId="56" xfId="4" applyFont="1" applyFill="1" applyBorder="1" applyAlignment="1">
      <alignment horizontal="left" vertical="center" indent="1"/>
    </xf>
    <xf numFmtId="168" fontId="40" fillId="10" borderId="56" xfId="41" applyNumberFormat="1" applyFont="1" applyFill="1" applyBorder="1" applyAlignment="1">
      <alignment horizontal="center" vertical="center"/>
    </xf>
    <xf numFmtId="0" fontId="37" fillId="9" borderId="56" xfId="41" applyNumberFormat="1" applyFont="1" applyFill="1" applyBorder="1" applyAlignment="1">
      <alignment horizontal="center" vertical="center"/>
    </xf>
    <xf numFmtId="0" fontId="41" fillId="10" borderId="56" xfId="4" applyFont="1" applyFill="1" applyBorder="1" applyAlignment="1">
      <alignment horizontal="right" vertical="center"/>
    </xf>
    <xf numFmtId="168" fontId="41" fillId="10" borderId="56" xfId="41" applyNumberFormat="1" applyFont="1" applyFill="1" applyBorder="1" applyAlignment="1">
      <alignment horizontal="center" vertical="center"/>
    </xf>
    <xf numFmtId="0" fontId="38" fillId="9" borderId="56" xfId="41" applyNumberFormat="1" applyFont="1" applyFill="1" applyBorder="1" applyAlignment="1">
      <alignment horizontal="center" vertical="center"/>
    </xf>
    <xf numFmtId="49" fontId="88" fillId="10" borderId="64" xfId="4" applyNumberFormat="1" applyFont="1" applyFill="1" applyBorder="1" applyAlignment="1">
      <alignment horizontal="left" vertical="center" indent="1"/>
    </xf>
    <xf numFmtId="0" fontId="41" fillId="10" borderId="64" xfId="4" applyFont="1" applyFill="1" applyBorder="1" applyAlignment="1">
      <alignment horizontal="right" vertical="center"/>
    </xf>
    <xf numFmtId="0" fontId="41" fillId="10" borderId="64" xfId="4" applyFont="1" applyFill="1" applyBorder="1" applyAlignment="1">
      <alignment horizontal="center" vertical="center"/>
    </xf>
    <xf numFmtId="0" fontId="38" fillId="9" borderId="64" xfId="4" applyNumberFormat="1" applyFont="1" applyFill="1" applyBorder="1" applyAlignment="1">
      <alignment horizontal="center" vertical="center"/>
    </xf>
    <xf numFmtId="0" fontId="64" fillId="2" borderId="6" xfId="0" applyFont="1" applyFill="1" applyBorder="1" applyAlignment="1">
      <alignment horizontal="left" indent="3"/>
    </xf>
    <xf numFmtId="169" fontId="38" fillId="0" borderId="0" xfId="4" applyNumberFormat="1" applyFont="1" applyAlignment="1">
      <alignment vertical="center"/>
    </xf>
    <xf numFmtId="168" fontId="37" fillId="0" borderId="0" xfId="4" applyNumberFormat="1" applyFont="1" applyAlignment="1">
      <alignment horizontal="center" vertical="center" wrapText="1"/>
    </xf>
    <xf numFmtId="168" fontId="41" fillId="10" borderId="61" xfId="4" applyNumberFormat="1" applyFont="1" applyFill="1" applyBorder="1" applyAlignment="1">
      <alignment horizontal="center" vertical="center"/>
    </xf>
    <xf numFmtId="168" fontId="40" fillId="10" borderId="56" xfId="4" applyNumberFormat="1" applyFont="1" applyFill="1" applyBorder="1" applyAlignment="1">
      <alignment horizontal="center" vertical="center"/>
    </xf>
    <xf numFmtId="170" fontId="40" fillId="10" borderId="59" xfId="0" applyNumberFormat="1" applyFont="1" applyFill="1" applyBorder="1" applyAlignment="1">
      <alignment horizontal="center" vertical="center" wrapText="1"/>
    </xf>
    <xf numFmtId="170" fontId="40" fillId="10" borderId="59" xfId="0" applyNumberFormat="1" applyFont="1" applyFill="1" applyBorder="1" applyAlignment="1">
      <alignment horizontal="left" vertical="center" wrapText="1" indent="1"/>
    </xf>
    <xf numFmtId="170" fontId="88" fillId="10" borderId="62" xfId="0" applyNumberFormat="1" applyFont="1" applyFill="1" applyBorder="1" applyAlignment="1">
      <alignment horizontal="right" vertical="center" wrapText="1" indent="1"/>
    </xf>
    <xf numFmtId="191" fontId="40" fillId="10" borderId="59" xfId="0" applyNumberFormat="1" applyFont="1" applyFill="1" applyBorder="1" applyAlignment="1">
      <alignment horizontal="right" vertical="center" wrapText="1"/>
    </xf>
    <xf numFmtId="170" fontId="44" fillId="0" borderId="0" xfId="0" applyNumberFormat="1" applyFont="1" applyAlignment="1">
      <alignment vertical="center" wrapText="1"/>
    </xf>
    <xf numFmtId="170" fontId="40" fillId="10" borderId="59" xfId="0" applyNumberFormat="1" applyFont="1" applyFill="1" applyBorder="1" applyAlignment="1">
      <alignment horizontal="left" vertical="center" wrapText="1" indent="1"/>
    </xf>
    <xf numFmtId="170" fontId="40" fillId="10" borderId="62" xfId="0" applyNumberFormat="1" applyFont="1" applyFill="1" applyBorder="1" applyAlignment="1">
      <alignment horizontal="right" vertical="center" wrapText="1" indent="1"/>
    </xf>
    <xf numFmtId="170" fontId="88" fillId="10" borderId="59" xfId="0" applyNumberFormat="1" applyFont="1" applyFill="1" applyBorder="1" applyAlignment="1">
      <alignment horizontal="center" vertical="center" wrapText="1"/>
    </xf>
    <xf numFmtId="170" fontId="88" fillId="10" borderId="59" xfId="0" applyNumberFormat="1" applyFont="1" applyFill="1" applyBorder="1" applyAlignment="1">
      <alignment horizontal="left" vertical="center" wrapText="1" indent="2"/>
    </xf>
    <xf numFmtId="0" fontId="65" fillId="22" borderId="45" xfId="0" applyFont="1" applyFill="1" applyBorder="1" applyProtection="1">
      <protection hidden="1"/>
    </xf>
    <xf numFmtId="0" fontId="28" fillId="22" borderId="46" xfId="0" applyFont="1" applyFill="1" applyBorder="1" applyProtection="1">
      <protection hidden="1"/>
    </xf>
    <xf numFmtId="167" fontId="65" fillId="22" borderId="2" xfId="0" applyNumberFormat="1" applyFont="1" applyFill="1" applyBorder="1" applyAlignment="1" applyProtection="1">
      <alignment horizontal="center"/>
      <protection hidden="1"/>
    </xf>
    <xf numFmtId="168" fontId="98" fillId="0" borderId="0" xfId="4" applyNumberFormat="1" applyFont="1" applyAlignment="1">
      <alignment vertical="center"/>
    </xf>
    <xf numFmtId="169" fontId="99" fillId="10" borderId="59" xfId="4" applyNumberFormat="1" applyFont="1" applyFill="1" applyBorder="1" applyAlignment="1">
      <alignment horizontal="center" vertical="center" wrapText="1"/>
    </xf>
    <xf numFmtId="3" fontId="100" fillId="9" borderId="61" xfId="4" applyNumberFormat="1" applyFont="1" applyFill="1" applyBorder="1" applyAlignment="1">
      <alignment vertical="center"/>
    </xf>
    <xf numFmtId="170" fontId="100" fillId="11" borderId="59" xfId="4" applyNumberFormat="1" applyFont="1" applyFill="1" applyBorder="1" applyAlignment="1">
      <alignment vertical="center"/>
    </xf>
    <xf numFmtId="170" fontId="100" fillId="11" borderId="58" xfId="4" applyNumberFormat="1" applyFont="1" applyFill="1" applyBorder="1" applyAlignment="1">
      <alignment vertical="center"/>
    </xf>
    <xf numFmtId="3" fontId="100" fillId="9" borderId="56" xfId="4" applyNumberFormat="1" applyFont="1" applyFill="1" applyBorder="1" applyAlignment="1">
      <alignment vertical="center"/>
    </xf>
    <xf numFmtId="170" fontId="100" fillId="9" borderId="56" xfId="4" applyNumberFormat="1" applyFont="1" applyFill="1" applyBorder="1" applyAlignment="1">
      <alignment vertical="center"/>
    </xf>
    <xf numFmtId="170" fontId="100" fillId="11" borderId="55" xfId="4" applyNumberFormat="1" applyFont="1" applyFill="1" applyBorder="1" applyAlignment="1">
      <alignment vertical="center"/>
    </xf>
    <xf numFmtId="170" fontId="100" fillId="11" borderId="61" xfId="4" applyNumberFormat="1" applyFont="1" applyFill="1" applyBorder="1" applyAlignment="1">
      <alignment vertical="center"/>
    </xf>
    <xf numFmtId="170" fontId="100" fillId="11" borderId="60" xfId="4" applyNumberFormat="1" applyFont="1" applyFill="1" applyBorder="1" applyAlignment="1">
      <alignment vertical="center"/>
    </xf>
    <xf numFmtId="168" fontId="101" fillId="10" borderId="69" xfId="4" applyNumberFormat="1" applyFont="1" applyFill="1" applyBorder="1" applyAlignment="1">
      <alignment vertical="center" wrapText="1"/>
    </xf>
    <xf numFmtId="168" fontId="101" fillId="10" borderId="57" xfId="4" applyNumberFormat="1" applyFont="1" applyFill="1" applyBorder="1" applyAlignment="1">
      <alignment vertical="center" wrapText="1"/>
    </xf>
    <xf numFmtId="168" fontId="102" fillId="10" borderId="57" xfId="4" applyNumberFormat="1" applyFont="1" applyFill="1" applyBorder="1" applyAlignment="1">
      <alignment horizontal="left" vertical="center" wrapText="1" indent="1"/>
    </xf>
    <xf numFmtId="168" fontId="102" fillId="10" borderId="57" xfId="4" applyNumberFormat="1" applyFont="1" applyFill="1" applyBorder="1" applyAlignment="1">
      <alignment vertical="center" wrapText="1"/>
    </xf>
    <xf numFmtId="170" fontId="103" fillId="11" borderId="59" xfId="0" applyNumberFormat="1" applyFont="1" applyFill="1" applyBorder="1" applyAlignment="1">
      <alignment horizontal="right" vertical="center" wrapText="1"/>
    </xf>
    <xf numFmtId="0" fontId="0" fillId="2" borderId="0" xfId="0" applyFill="1"/>
    <xf numFmtId="0" fontId="29" fillId="2" borderId="26" xfId="0" applyFont="1" applyFill="1" applyBorder="1" applyAlignment="1">
      <alignment horizontal="right" vertical="center"/>
    </xf>
    <xf numFmtId="4" fontId="30" fillId="2" borderId="26" xfId="0" applyNumberFormat="1" applyFont="1" applyFill="1" applyBorder="1" applyAlignment="1">
      <alignment horizontal="right" vertical="center"/>
    </xf>
    <xf numFmtId="4" fontId="31" fillId="2" borderId="21" xfId="0" applyNumberFormat="1" applyFont="1" applyFill="1" applyBorder="1" applyAlignment="1">
      <alignment horizontal="right" vertical="center"/>
    </xf>
    <xf numFmtId="0" fontId="28" fillId="2" borderId="0" xfId="0" applyFont="1" applyFill="1" applyAlignment="1">
      <alignment horizontal="right" vertical="center"/>
    </xf>
    <xf numFmtId="4" fontId="32" fillId="2" borderId="21" xfId="0" applyNumberFormat="1" applyFont="1" applyFill="1" applyBorder="1" applyAlignment="1">
      <alignment horizontal="right" vertical="center"/>
    </xf>
    <xf numFmtId="4" fontId="30" fillId="2" borderId="21" xfId="0" applyNumberFormat="1" applyFont="1" applyFill="1" applyBorder="1" applyAlignment="1">
      <alignment horizontal="right" vertical="center"/>
    </xf>
    <xf numFmtId="4" fontId="28" fillId="2" borderId="0" xfId="0" applyNumberFormat="1" applyFont="1" applyFill="1" applyAlignment="1">
      <alignment horizontal="right" vertical="center"/>
    </xf>
    <xf numFmtId="4" fontId="34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4" fontId="31" fillId="2" borderId="0" xfId="0" applyNumberFormat="1" applyFont="1" applyFill="1" applyBorder="1" applyAlignment="1">
      <alignment horizontal="right" vertical="center"/>
    </xf>
    <xf numFmtId="0" fontId="1" fillId="23" borderId="47" xfId="54" applyFont="1" applyFill="1" applyBorder="1" applyAlignment="1"/>
    <xf numFmtId="0" fontId="1" fillId="23" borderId="84" xfId="54" applyFont="1" applyFill="1" applyBorder="1" applyAlignment="1"/>
    <xf numFmtId="0" fontId="1" fillId="0" borderId="0" xfId="54" applyFont="1"/>
    <xf numFmtId="0" fontId="1" fillId="23" borderId="48" xfId="54" applyFont="1" applyFill="1" applyBorder="1" applyAlignment="1"/>
    <xf numFmtId="0" fontId="1" fillId="23" borderId="23" xfId="54" applyFont="1" applyFill="1" applyBorder="1" applyAlignment="1"/>
    <xf numFmtId="0" fontId="1" fillId="0" borderId="0" xfId="54" applyFont="1" applyAlignment="1">
      <alignment vertical="center"/>
    </xf>
    <xf numFmtId="0" fontId="108" fillId="0" borderId="2" xfId="54" applyFont="1" applyBorder="1" applyAlignment="1">
      <alignment horizontal="center" vertical="center"/>
    </xf>
    <xf numFmtId="0" fontId="116" fillId="0" borderId="89" xfId="54" applyFont="1" applyBorder="1" applyAlignment="1">
      <alignment horizontal="center" vertical="center"/>
    </xf>
    <xf numFmtId="0" fontId="1" fillId="0" borderId="90" xfId="54" applyFont="1" applyBorder="1" applyAlignment="1">
      <alignment vertical="center"/>
    </xf>
    <xf numFmtId="0" fontId="1" fillId="0" borderId="89" xfId="54" applyFont="1" applyBorder="1" applyAlignment="1">
      <alignment vertical="center"/>
    </xf>
    <xf numFmtId="0" fontId="1" fillId="0" borderId="23" xfId="54" applyFont="1" applyBorder="1" applyAlignment="1">
      <alignment vertical="center"/>
    </xf>
    <xf numFmtId="0" fontId="1" fillId="0" borderId="0" xfId="54" applyFont="1" applyBorder="1" applyAlignment="1">
      <alignment vertical="center"/>
    </xf>
    <xf numFmtId="0" fontId="118" fillId="0" borderId="0" xfId="54" applyFont="1" applyBorder="1" applyAlignment="1">
      <alignment vertical="center"/>
    </xf>
    <xf numFmtId="0" fontId="1" fillId="23" borderId="85" xfId="54" applyFont="1" applyFill="1" applyBorder="1" applyAlignment="1"/>
    <xf numFmtId="0" fontId="1" fillId="23" borderId="49" xfId="54" applyFont="1" applyFill="1" applyBorder="1" applyAlignment="1"/>
    <xf numFmtId="0" fontId="1" fillId="0" borderId="105" xfId="54" applyFont="1" applyBorder="1" applyAlignment="1">
      <alignment vertical="center"/>
    </xf>
    <xf numFmtId="0" fontId="115" fillId="23" borderId="87" xfId="54" applyFont="1" applyFill="1" applyBorder="1" applyAlignment="1">
      <alignment horizontal="center" vertical="center"/>
    </xf>
    <xf numFmtId="0" fontId="104" fillId="0" borderId="0" xfId="54"/>
    <xf numFmtId="0" fontId="1" fillId="4" borderId="0" xfId="54" applyFont="1" applyFill="1" applyAlignment="1">
      <alignment vertical="center"/>
    </xf>
    <xf numFmtId="4" fontId="1" fillId="0" borderId="0" xfId="54" applyNumberFormat="1" applyFont="1" applyAlignment="1">
      <alignment vertical="center"/>
    </xf>
    <xf numFmtId="194" fontId="1" fillId="0" borderId="0" xfId="54" applyNumberFormat="1" applyFont="1" applyAlignment="1">
      <alignment vertical="center"/>
    </xf>
    <xf numFmtId="0" fontId="30" fillId="4" borderId="21" xfId="0" applyFont="1" applyFill="1" applyBorder="1" applyAlignment="1">
      <alignment horizontal="left" vertical="center"/>
    </xf>
    <xf numFmtId="4" fontId="30" fillId="4" borderId="21" xfId="0" applyNumberFormat="1" applyFont="1" applyFill="1" applyBorder="1" applyAlignment="1">
      <alignment horizontal="left" vertical="center"/>
    </xf>
    <xf numFmtId="0" fontId="107" fillId="15" borderId="117" xfId="54" applyFont="1" applyFill="1" applyBorder="1" applyAlignment="1">
      <alignment horizontal="center" vertical="center"/>
    </xf>
    <xf numFmtId="0" fontId="128" fillId="15" borderId="47" xfId="54" applyFont="1" applyFill="1" applyBorder="1"/>
    <xf numFmtId="0" fontId="2" fillId="0" borderId="2" xfId="54" applyFont="1" applyBorder="1" applyAlignment="1">
      <alignment horizontal="center"/>
    </xf>
    <xf numFmtId="0" fontId="131" fillId="0" borderId="2" xfId="54" applyFont="1" applyBorder="1" applyAlignment="1">
      <alignment horizontal="center"/>
    </xf>
    <xf numFmtId="0" fontId="132" fillId="15" borderId="25" xfId="54" applyFont="1" applyFill="1" applyBorder="1"/>
    <xf numFmtId="0" fontId="135" fillId="17" borderId="0" xfId="54" applyFont="1" applyFill="1" applyBorder="1"/>
    <xf numFmtId="0" fontId="104" fillId="17" borderId="0" xfId="54" applyFont="1" applyFill="1" applyBorder="1"/>
    <xf numFmtId="0" fontId="104" fillId="17" borderId="0" xfId="54" applyFont="1" applyFill="1" applyBorder="1" applyAlignment="1">
      <alignment horizontal="left"/>
    </xf>
    <xf numFmtId="0" fontId="104" fillId="0" borderId="119" xfId="54" applyBorder="1" applyAlignment="1">
      <alignment horizontal="left"/>
    </xf>
    <xf numFmtId="0" fontId="104" fillId="0" borderId="0" xfId="54" applyBorder="1" applyAlignment="1">
      <alignment horizontal="left"/>
    </xf>
    <xf numFmtId="0" fontId="132" fillId="15" borderId="0" xfId="54" applyFont="1" applyFill="1" applyBorder="1"/>
    <xf numFmtId="0" fontId="136" fillId="17" borderId="0" xfId="54" applyFont="1" applyFill="1" applyBorder="1"/>
    <xf numFmtId="0" fontId="104" fillId="17" borderId="0" xfId="54" applyFill="1" applyBorder="1"/>
    <xf numFmtId="0" fontId="104" fillId="0" borderId="20" xfId="54" applyBorder="1"/>
    <xf numFmtId="0" fontId="116" fillId="0" borderId="2" xfId="54" applyFont="1" applyBorder="1" applyAlignment="1">
      <alignment horizontal="center" vertical="center"/>
    </xf>
    <xf numFmtId="0" fontId="116" fillId="0" borderId="0" xfId="54" applyFont="1" applyBorder="1" applyAlignment="1">
      <alignment horizontal="center" vertical="center"/>
    </xf>
    <xf numFmtId="0" fontId="133" fillId="15" borderId="25" xfId="54" applyFont="1" applyFill="1" applyBorder="1"/>
    <xf numFmtId="0" fontId="134" fillId="0" borderId="0" xfId="54" applyFont="1"/>
    <xf numFmtId="0" fontId="104" fillId="0" borderId="0" xfId="54" applyBorder="1"/>
    <xf numFmtId="0" fontId="135" fillId="0" borderId="0" xfId="54" applyFont="1" applyAlignment="1"/>
    <xf numFmtId="3" fontId="140" fillId="15" borderId="48" xfId="54" applyNumberFormat="1" applyFont="1" applyFill="1" applyBorder="1" applyAlignment="1">
      <alignment horizontal="right" vertical="center"/>
    </xf>
    <xf numFmtId="195" fontId="140" fillId="15" borderId="48" xfId="54" applyNumberFormat="1" applyFont="1" applyFill="1" applyBorder="1" applyAlignment="1">
      <alignment horizontal="right" vertical="center"/>
    </xf>
    <xf numFmtId="0" fontId="140" fillId="15" borderId="48" xfId="54" applyFont="1" applyFill="1" applyBorder="1" applyAlignment="1">
      <alignment horizontal="right" vertical="center"/>
    </xf>
    <xf numFmtId="0" fontId="140" fillId="15" borderId="0" xfId="54" applyFont="1" applyFill="1" applyBorder="1" applyAlignment="1">
      <alignment horizontal="right" vertical="center"/>
    </xf>
    <xf numFmtId="3" fontId="140" fillId="15" borderId="0" xfId="54" applyNumberFormat="1" applyFont="1" applyFill="1" applyBorder="1" applyAlignment="1">
      <alignment horizontal="right" vertical="center"/>
    </xf>
    <xf numFmtId="0" fontId="140" fillId="26" borderId="141" xfId="54" applyFont="1" applyFill="1" applyBorder="1" applyAlignment="1">
      <alignment horizontal="center"/>
    </xf>
    <xf numFmtId="0" fontId="107" fillId="15" borderId="33" xfId="54" applyFont="1" applyFill="1" applyBorder="1"/>
    <xf numFmtId="0" fontId="104" fillId="0" borderId="25" xfId="54" applyBorder="1"/>
    <xf numFmtId="0" fontId="140" fillId="15" borderId="0" xfId="54" applyFont="1" applyFill="1" applyBorder="1"/>
    <xf numFmtId="0" fontId="143" fillId="15" borderId="117" xfId="54" applyFont="1" applyFill="1" applyBorder="1"/>
    <xf numFmtId="0" fontId="104" fillId="0" borderId="145" xfId="54" applyBorder="1"/>
    <xf numFmtId="0" fontId="143" fillId="15" borderId="25" xfId="54" applyFont="1" applyFill="1" applyBorder="1"/>
    <xf numFmtId="0" fontId="140" fillId="15" borderId="0" xfId="54" applyFont="1" applyFill="1" applyBorder="1" applyAlignment="1">
      <alignment horizontal="center" vertical="center"/>
    </xf>
    <xf numFmtId="0" fontId="126" fillId="0" borderId="25" xfId="54" applyFont="1" applyBorder="1"/>
    <xf numFmtId="0" fontId="145" fillId="15" borderId="0" xfId="54" applyFont="1" applyFill="1" applyBorder="1" applyAlignment="1">
      <alignment horizontal="center" vertical="center"/>
    </xf>
    <xf numFmtId="0" fontId="124" fillId="0" borderId="25" xfId="54" applyFont="1" applyBorder="1" applyAlignment="1">
      <alignment horizontal="left" vertical="center" indent="1"/>
    </xf>
    <xf numFmtId="0" fontId="126" fillId="0" borderId="0" xfId="54" applyFont="1" applyBorder="1" applyAlignment="1">
      <alignment horizontal="left" vertical="center" indent="1"/>
    </xf>
    <xf numFmtId="0" fontId="126" fillId="0" borderId="0" xfId="54" applyFont="1" applyBorder="1"/>
    <xf numFmtId="0" fontId="1" fillId="0" borderId="20" xfId="54" applyFont="1" applyBorder="1"/>
    <xf numFmtId="0" fontId="126" fillId="0" borderId="23" xfId="54" applyFont="1" applyBorder="1"/>
    <xf numFmtId="0" fontId="126" fillId="0" borderId="48" xfId="54" applyFont="1" applyBorder="1"/>
    <xf numFmtId="0" fontId="126" fillId="0" borderId="0" xfId="54" applyFont="1"/>
    <xf numFmtId="3" fontId="104" fillId="0" borderId="0" xfId="54" applyNumberFormat="1"/>
    <xf numFmtId="0" fontId="0" fillId="0" borderId="2" xfId="0" applyBorder="1"/>
    <xf numFmtId="10" fontId="0" fillId="0" borderId="2" xfId="53" applyNumberFormat="1" applyFont="1" applyBorder="1"/>
    <xf numFmtId="0" fontId="0" fillId="0" borderId="2" xfId="0" applyBorder="1" applyAlignment="1">
      <alignment horizontal="right"/>
    </xf>
    <xf numFmtId="10" fontId="0" fillId="0" borderId="2" xfId="0" applyNumberFormat="1" applyBorder="1"/>
    <xf numFmtId="0" fontId="3" fillId="0" borderId="2" xfId="0" applyFont="1" applyBorder="1"/>
    <xf numFmtId="9" fontId="0" fillId="0" borderId="2" xfId="53" applyFont="1" applyBorder="1"/>
    <xf numFmtId="9" fontId="0" fillId="0" borderId="2" xfId="0" applyNumberFormat="1" applyBorder="1"/>
    <xf numFmtId="4" fontId="0" fillId="0" borderId="2" xfId="0" applyNumberFormat="1" applyBorder="1"/>
    <xf numFmtId="4" fontId="0" fillId="0" borderId="0" xfId="0" applyNumberFormat="1"/>
    <xf numFmtId="0" fontId="148" fillId="0" borderId="86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3" fontId="0" fillId="0" borderId="2" xfId="0" applyNumberFormat="1" applyBorder="1"/>
    <xf numFmtId="3" fontId="6" fillId="0" borderId="2" xfId="0" applyNumberFormat="1" applyFont="1" applyBorder="1" applyAlignment="1">
      <alignment horizontal="right"/>
    </xf>
    <xf numFmtId="3" fontId="0" fillId="0" borderId="2" xfId="0" applyNumberFormat="1" applyBorder="1" applyAlignment="1">
      <alignment horizontal="right" vertical="center"/>
    </xf>
    <xf numFmtId="0" fontId="13" fillId="0" borderId="2" xfId="0" applyFont="1" applyFill="1" applyBorder="1" applyAlignment="1">
      <alignment horizontal="left" vertical="center"/>
    </xf>
    <xf numFmtId="0" fontId="3" fillId="19" borderId="2" xfId="0" applyFont="1" applyFill="1" applyBorder="1" applyAlignment="1">
      <alignment horizontal="left" vertical="center"/>
    </xf>
    <xf numFmtId="3" fontId="0" fillId="0" borderId="2" xfId="0" applyNumberFormat="1" applyBorder="1" applyAlignment="1">
      <alignment horizontal="right"/>
    </xf>
    <xf numFmtId="0" fontId="149" fillId="0" borderId="0" xfId="0" applyFont="1" applyAlignment="1">
      <alignment horizontal="right"/>
    </xf>
    <xf numFmtId="0" fontId="0" fillId="19" borderId="2" xfId="0" applyFill="1" applyBorder="1" applyAlignment="1">
      <alignment horizontal="right" vertical="center"/>
    </xf>
    <xf numFmtId="0" fontId="3" fillId="19" borderId="1" xfId="0" applyFont="1" applyFill="1" applyBorder="1" applyAlignment="1">
      <alignment horizontal="right" vertical="center"/>
    </xf>
    <xf numFmtId="169" fontId="43" fillId="10" borderId="59" xfId="4" applyNumberFormat="1" applyFont="1" applyFill="1" applyBorder="1" applyAlignment="1">
      <alignment horizontal="center" vertical="center"/>
    </xf>
    <xf numFmtId="0" fontId="65" fillId="22" borderId="45" xfId="0" applyFont="1" applyFill="1" applyBorder="1" applyAlignment="1" applyProtection="1">
      <alignment horizontal="left" vertical="center" wrapText="1"/>
      <protection hidden="1"/>
    </xf>
    <xf numFmtId="9" fontId="0" fillId="0" borderId="0" xfId="0" applyNumberFormat="1"/>
    <xf numFmtId="0" fontId="2" fillId="2" borderId="13" xfId="0" applyFont="1" applyFill="1" applyBorder="1" applyAlignment="1" applyProtection="1">
      <alignment horizontal="left" vertical="center" indent="1"/>
      <protection hidden="1"/>
    </xf>
    <xf numFmtId="0" fontId="2" fillId="2" borderId="16" xfId="0" applyFont="1" applyFill="1" applyBorder="1" applyAlignment="1" applyProtection="1">
      <alignment horizontal="left" vertical="center" indent="1"/>
      <protection hidden="1"/>
    </xf>
    <xf numFmtId="164" fontId="2" fillId="2" borderId="14" xfId="0" applyNumberFormat="1" applyFont="1" applyFill="1" applyBorder="1" applyAlignment="1" applyProtection="1">
      <alignment horizontal="left" indent="1"/>
      <protection hidden="1"/>
    </xf>
    <xf numFmtId="164" fontId="2" fillId="2" borderId="15" xfId="0" applyNumberFormat="1" applyFont="1" applyFill="1" applyBorder="1" applyAlignment="1" applyProtection="1">
      <alignment horizontal="left" indent="1"/>
      <protection hidden="1"/>
    </xf>
    <xf numFmtId="166" fontId="0" fillId="2" borderId="0" xfId="0" applyNumberFormat="1" applyFill="1" applyAlignment="1" applyProtection="1">
      <alignment horizontal="left" indent="14"/>
      <protection hidden="1"/>
    </xf>
    <xf numFmtId="0" fontId="69" fillId="12" borderId="0" xfId="0" applyFont="1" applyFill="1" applyAlignment="1">
      <alignment horizontal="center"/>
    </xf>
    <xf numFmtId="4" fontId="74" fillId="20" borderId="11" xfId="0" applyNumberFormat="1" applyFont="1" applyFill="1" applyBorder="1" applyAlignment="1">
      <alignment horizontal="center"/>
    </xf>
    <xf numFmtId="4" fontId="74" fillId="20" borderId="67" xfId="0" applyNumberFormat="1" applyFont="1" applyFill="1" applyBorder="1" applyAlignment="1">
      <alignment horizontal="center"/>
    </xf>
    <xf numFmtId="4" fontId="74" fillId="20" borderId="52" xfId="0" applyNumberFormat="1" applyFont="1" applyFill="1" applyBorder="1" applyAlignment="1">
      <alignment horizontal="center"/>
    </xf>
    <xf numFmtId="4" fontId="78" fillId="12" borderId="11" xfId="0" applyNumberFormat="1" applyFont="1" applyFill="1" applyBorder="1" applyAlignment="1">
      <alignment horizontal="center"/>
    </xf>
    <xf numFmtId="4" fontId="78" fillId="12" borderId="67" xfId="0" applyNumberFormat="1" applyFont="1" applyFill="1" applyBorder="1" applyAlignment="1">
      <alignment horizontal="center"/>
    </xf>
    <xf numFmtId="4" fontId="78" fillId="12" borderId="52" xfId="0" applyNumberFormat="1" applyFont="1" applyFill="1" applyBorder="1" applyAlignment="1">
      <alignment horizontal="center"/>
    </xf>
    <xf numFmtId="4" fontId="21" fillId="2" borderId="82" xfId="0" applyNumberFormat="1" applyFont="1" applyFill="1" applyBorder="1" applyAlignment="1">
      <alignment horizontal="center" vertical="center"/>
    </xf>
    <xf numFmtId="0" fontId="21" fillId="2" borderId="82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vertical="center"/>
    </xf>
    <xf numFmtId="0" fontId="21" fillId="2" borderId="7" xfId="0" applyFont="1" applyFill="1" applyBorder="1" applyAlignment="1">
      <alignment vertical="center"/>
    </xf>
    <xf numFmtId="0" fontId="23" fillId="2" borderId="7" xfId="0" applyFont="1" applyFill="1" applyBorder="1" applyAlignment="1">
      <alignment vertical="center"/>
    </xf>
    <xf numFmtId="0" fontId="21" fillId="2" borderId="7" xfId="0" applyNumberFormat="1" applyFont="1" applyFill="1" applyBorder="1" applyAlignment="1">
      <alignment vertical="center"/>
    </xf>
    <xf numFmtId="4" fontId="21" fillId="2" borderId="7" xfId="0" applyNumberFormat="1" applyFont="1" applyFill="1" applyBorder="1" applyAlignment="1">
      <alignment vertical="center"/>
    </xf>
    <xf numFmtId="4" fontId="23" fillId="2" borderId="7" xfId="0" applyNumberFormat="1" applyFont="1" applyFill="1" applyBorder="1" applyAlignment="1">
      <alignment vertical="center"/>
    </xf>
    <xf numFmtId="0" fontId="65" fillId="2" borderId="13" xfId="0" applyFont="1" applyFill="1" applyBorder="1" applyAlignment="1" applyProtection="1">
      <alignment horizontal="center" vertical="center"/>
      <protection hidden="1"/>
    </xf>
    <xf numFmtId="0" fontId="65" fillId="2" borderId="17" xfId="0" applyFont="1" applyFill="1" applyBorder="1" applyAlignment="1" applyProtection="1">
      <alignment horizontal="center" vertical="center"/>
      <protection hidden="1"/>
    </xf>
    <xf numFmtId="0" fontId="65" fillId="2" borderId="45" xfId="0" applyFont="1" applyFill="1" applyBorder="1" applyAlignment="1" applyProtection="1">
      <alignment horizontal="center"/>
      <protection hidden="1"/>
    </xf>
    <xf numFmtId="0" fontId="65" fillId="2" borderId="46" xfId="0" applyFont="1" applyFill="1" applyBorder="1" applyAlignment="1" applyProtection="1">
      <alignment horizontal="center"/>
      <protection hidden="1"/>
    </xf>
    <xf numFmtId="0" fontId="28" fillId="2" borderId="13" xfId="0" applyFont="1" applyFill="1" applyBorder="1" applyAlignment="1" applyProtection="1">
      <alignment vertical="center"/>
      <protection locked="0"/>
    </xf>
    <xf numFmtId="0" fontId="28" fillId="2" borderId="17" xfId="0" applyFont="1" applyFill="1" applyBorder="1" applyAlignment="1" applyProtection="1">
      <alignment vertical="center"/>
      <protection locked="0"/>
    </xf>
    <xf numFmtId="4" fontId="28" fillId="2" borderId="13" xfId="0" applyNumberFormat="1" applyFont="1" applyFill="1" applyBorder="1" applyAlignment="1" applyProtection="1">
      <alignment vertical="center"/>
      <protection locked="0"/>
    </xf>
    <xf numFmtId="4" fontId="28" fillId="2" borderId="17" xfId="0" applyNumberFormat="1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left" vertical="center"/>
      <protection hidden="1"/>
    </xf>
    <xf numFmtId="0" fontId="8" fillId="2" borderId="13" xfId="0" applyFont="1" applyFill="1" applyBorder="1" applyAlignment="1" applyProtection="1">
      <alignment horizontal="center" vertical="center"/>
      <protection hidden="1"/>
    </xf>
    <xf numFmtId="0" fontId="8" fillId="2" borderId="16" xfId="0" applyFont="1" applyFill="1" applyBorder="1" applyAlignment="1" applyProtection="1">
      <alignment horizontal="center" vertical="center"/>
      <protection hidden="1"/>
    </xf>
    <xf numFmtId="164" fontId="8" fillId="2" borderId="14" xfId="0" applyNumberFormat="1" applyFont="1" applyFill="1" applyBorder="1" applyAlignment="1" applyProtection="1">
      <alignment horizontal="center"/>
      <protection hidden="1"/>
    </xf>
    <xf numFmtId="164" fontId="8" fillId="2" borderId="15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alignment horizontal="center"/>
      <protection hidden="1"/>
    </xf>
    <xf numFmtId="0" fontId="25" fillId="2" borderId="13" xfId="0" applyFont="1" applyFill="1" applyBorder="1" applyAlignment="1" applyProtection="1">
      <alignment horizontal="center" vertical="center"/>
      <protection hidden="1"/>
    </xf>
    <xf numFmtId="0" fontId="25" fillId="2" borderId="16" xfId="0" applyFont="1" applyFill="1" applyBorder="1" applyAlignment="1" applyProtection="1">
      <alignment horizontal="center" vertical="center"/>
      <protection hidden="1"/>
    </xf>
    <xf numFmtId="0" fontId="25" fillId="2" borderId="14" xfId="0" applyFont="1" applyFill="1" applyBorder="1" applyAlignment="1" applyProtection="1">
      <alignment horizontal="center"/>
      <protection hidden="1"/>
    </xf>
    <xf numFmtId="0" fontId="25" fillId="2" borderId="15" xfId="0" applyFont="1" applyFill="1" applyBorder="1" applyAlignment="1" applyProtection="1">
      <alignment horizontal="center"/>
      <protection hidden="1"/>
    </xf>
    <xf numFmtId="49" fontId="40" fillId="10" borderId="65" xfId="4" applyNumberFormat="1" applyFont="1" applyFill="1" applyBorder="1" applyAlignment="1">
      <alignment horizontal="center" vertical="center"/>
    </xf>
    <xf numFmtId="49" fontId="40" fillId="10" borderId="62" xfId="4" applyNumberFormat="1" applyFont="1" applyFill="1" applyBorder="1" applyAlignment="1">
      <alignment horizontal="center" vertical="center"/>
    </xf>
    <xf numFmtId="0" fontId="40" fillId="10" borderId="64" xfId="4" applyFont="1" applyFill="1" applyBorder="1" applyAlignment="1">
      <alignment horizontal="center" vertical="center"/>
    </xf>
    <xf numFmtId="0" fontId="40" fillId="10" borderId="59" xfId="4" applyFont="1" applyFill="1" applyBorder="1" applyAlignment="1">
      <alignment horizontal="center" vertical="center"/>
    </xf>
    <xf numFmtId="0" fontId="40" fillId="10" borderId="64" xfId="4" applyNumberFormat="1" applyFont="1" applyFill="1" applyBorder="1" applyAlignment="1">
      <alignment horizontal="center" vertical="center"/>
    </xf>
    <xf numFmtId="0" fontId="40" fillId="10" borderId="63" xfId="4" applyNumberFormat="1" applyFont="1" applyFill="1" applyBorder="1" applyAlignment="1">
      <alignment horizontal="center" vertical="center"/>
    </xf>
    <xf numFmtId="0" fontId="37" fillId="0" borderId="0" xfId="4" applyFont="1" applyBorder="1" applyAlignment="1">
      <alignment horizontal="left" vertical="center" wrapText="1"/>
    </xf>
    <xf numFmtId="0" fontId="44" fillId="0" borderId="80" xfId="4" applyFont="1" applyBorder="1" applyAlignment="1">
      <alignment horizontal="left" vertical="center"/>
    </xf>
    <xf numFmtId="0" fontId="45" fillId="0" borderId="0" xfId="4" applyFont="1" applyAlignment="1">
      <alignment horizontal="left" vertical="center"/>
    </xf>
    <xf numFmtId="49" fontId="43" fillId="10" borderId="61" xfId="4" applyNumberFormat="1" applyFont="1" applyFill="1" applyBorder="1" applyAlignment="1">
      <alignment horizontal="center" vertical="center"/>
    </xf>
    <xf numFmtId="49" fontId="43" fillId="10" borderId="64" xfId="4" applyNumberFormat="1" applyFont="1" applyFill="1" applyBorder="1" applyAlignment="1">
      <alignment horizontal="center" vertical="center"/>
    </xf>
    <xf numFmtId="0" fontId="43" fillId="10" borderId="59" xfId="4" applyFont="1" applyFill="1" applyBorder="1" applyAlignment="1">
      <alignment horizontal="center" vertical="center" wrapText="1"/>
    </xf>
    <xf numFmtId="0" fontId="96" fillId="10" borderId="59" xfId="4" applyFont="1" applyFill="1" applyBorder="1" applyAlignment="1">
      <alignment horizontal="center" vertical="center" wrapText="1"/>
    </xf>
    <xf numFmtId="0" fontId="43" fillId="10" borderId="59" xfId="4" applyNumberFormat="1" applyFont="1" applyFill="1" applyBorder="1" applyAlignment="1">
      <alignment horizontal="center" vertical="center"/>
    </xf>
    <xf numFmtId="168" fontId="43" fillId="10" borderId="65" xfId="4" applyNumberFormat="1" applyFont="1" applyFill="1" applyBorder="1" applyAlignment="1">
      <alignment horizontal="center" vertical="center"/>
    </xf>
    <xf numFmtId="168" fontId="43" fillId="10" borderId="64" xfId="4" applyNumberFormat="1" applyFont="1" applyFill="1" applyBorder="1" applyAlignment="1">
      <alignment horizontal="center" vertical="center"/>
    </xf>
    <xf numFmtId="168" fontId="43" fillId="10" borderId="62" xfId="4" applyNumberFormat="1" applyFont="1" applyFill="1" applyBorder="1" applyAlignment="1">
      <alignment horizontal="center" vertical="center"/>
    </xf>
    <xf numFmtId="168" fontId="43" fillId="10" borderId="59" xfId="4" applyNumberFormat="1" applyFont="1" applyFill="1" applyBorder="1" applyAlignment="1">
      <alignment horizontal="center" vertical="center"/>
    </xf>
    <xf numFmtId="168" fontId="43" fillId="10" borderId="64" xfId="4" applyNumberFormat="1" applyFont="1" applyFill="1" applyBorder="1" applyAlignment="1">
      <alignment horizontal="center" vertical="center" wrapText="1"/>
    </xf>
    <xf numFmtId="168" fontId="43" fillId="10" borderId="61" xfId="4" applyNumberFormat="1" applyFont="1" applyFill="1" applyBorder="1" applyAlignment="1">
      <alignment horizontal="center" vertical="center" wrapText="1"/>
    </xf>
    <xf numFmtId="0" fontId="43" fillId="10" borderId="64" xfId="4" applyNumberFormat="1" applyFont="1" applyFill="1" applyBorder="1" applyAlignment="1">
      <alignment horizontal="center" vertical="center"/>
    </xf>
    <xf numFmtId="0" fontId="43" fillId="10" borderId="63" xfId="4" applyNumberFormat="1" applyFont="1" applyFill="1" applyBorder="1" applyAlignment="1">
      <alignment horizontal="center" vertical="center"/>
    </xf>
    <xf numFmtId="168" fontId="39" fillId="0" borderId="0" xfId="4" applyNumberFormat="1" applyFont="1" applyBorder="1" applyAlignment="1">
      <alignment horizontal="left" vertical="center" wrapText="1"/>
    </xf>
    <xf numFmtId="168" fontId="40" fillId="10" borderId="65" xfId="4" applyNumberFormat="1" applyFont="1" applyFill="1" applyBorder="1" applyAlignment="1">
      <alignment horizontal="center" vertical="center" wrapText="1"/>
    </xf>
    <xf numFmtId="168" fontId="40" fillId="10" borderId="64" xfId="4" applyNumberFormat="1" applyFont="1" applyFill="1" applyBorder="1" applyAlignment="1">
      <alignment horizontal="center" vertical="center" wrapText="1"/>
    </xf>
    <xf numFmtId="168" fontId="40" fillId="10" borderId="62" xfId="4" applyNumberFormat="1" applyFont="1" applyFill="1" applyBorder="1" applyAlignment="1">
      <alignment horizontal="center" vertical="center" wrapText="1"/>
    </xf>
    <xf numFmtId="168" fontId="40" fillId="10" borderId="59" xfId="4" applyNumberFormat="1" applyFont="1" applyFill="1" applyBorder="1" applyAlignment="1">
      <alignment horizontal="center" vertical="center" wrapText="1"/>
    </xf>
    <xf numFmtId="168" fontId="99" fillId="10" borderId="64" xfId="4" applyNumberFormat="1" applyFont="1" applyFill="1" applyBorder="1" applyAlignment="1">
      <alignment horizontal="center" vertical="center" wrapText="1"/>
    </xf>
    <xf numFmtId="168" fontId="99" fillId="10" borderId="59" xfId="4" applyNumberFormat="1" applyFont="1" applyFill="1" applyBorder="1" applyAlignment="1">
      <alignment horizontal="center" vertical="center" wrapText="1"/>
    </xf>
    <xf numFmtId="169" fontId="99" fillId="10" borderId="63" xfId="4" applyNumberFormat="1" applyFont="1" applyFill="1" applyBorder="1" applyAlignment="1">
      <alignment horizontal="center" vertical="center"/>
    </xf>
    <xf numFmtId="169" fontId="99" fillId="10" borderId="80" xfId="4" applyNumberFormat="1" applyFont="1" applyFill="1" applyBorder="1" applyAlignment="1">
      <alignment horizontal="center" vertical="center"/>
    </xf>
    <xf numFmtId="169" fontId="99" fillId="10" borderId="65" xfId="4" applyNumberFormat="1" applyFont="1" applyFill="1" applyBorder="1" applyAlignment="1">
      <alignment horizontal="center" vertical="center"/>
    </xf>
    <xf numFmtId="169" fontId="99" fillId="10" borderId="56" xfId="4" applyNumberFormat="1" applyFont="1" applyFill="1" applyBorder="1" applyAlignment="1">
      <alignment horizontal="center" vertical="center" wrapText="1"/>
    </xf>
    <xf numFmtId="169" fontId="99" fillId="10" borderId="64" xfId="4" applyNumberFormat="1" applyFont="1" applyFill="1" applyBorder="1" applyAlignment="1">
      <alignment horizontal="center" vertical="center" wrapText="1"/>
    </xf>
    <xf numFmtId="169" fontId="99" fillId="10" borderId="63" xfId="4" applyNumberFormat="1" applyFont="1" applyFill="1" applyBorder="1" applyAlignment="1">
      <alignment horizontal="center" vertical="center" wrapText="1"/>
    </xf>
    <xf numFmtId="169" fontId="99" fillId="10" borderId="58" xfId="4" applyNumberFormat="1" applyFont="1" applyFill="1" applyBorder="1" applyAlignment="1">
      <alignment horizontal="center" vertical="center" wrapText="1"/>
    </xf>
    <xf numFmtId="0" fontId="1" fillId="0" borderId="85" xfId="54" applyFont="1" applyBorder="1" applyAlignment="1">
      <alignment horizontal="center" vertical="center"/>
    </xf>
    <xf numFmtId="0" fontId="1" fillId="0" borderId="86" xfId="54" applyFont="1" applyBorder="1" applyAlignment="1">
      <alignment horizontal="center" vertical="center"/>
    </xf>
    <xf numFmtId="0" fontId="1" fillId="0" borderId="49" xfId="54" applyFont="1" applyBorder="1" applyAlignment="1">
      <alignment horizontal="center" vertical="center"/>
    </xf>
    <xf numFmtId="0" fontId="109" fillId="0" borderId="47" xfId="54" applyFont="1" applyBorder="1" applyAlignment="1">
      <alignment horizontal="center" vertical="center"/>
    </xf>
    <xf numFmtId="0" fontId="109" fillId="0" borderId="83" xfId="54" applyFont="1" applyBorder="1" applyAlignment="1">
      <alignment horizontal="center" vertical="center"/>
    </xf>
    <xf numFmtId="0" fontId="109" fillId="0" borderId="84" xfId="54" applyFont="1" applyBorder="1" applyAlignment="1">
      <alignment horizontal="center" vertical="center"/>
    </xf>
    <xf numFmtId="0" fontId="110" fillId="0" borderId="47" xfId="54" applyFont="1" applyBorder="1" applyAlignment="1">
      <alignment horizontal="center" vertical="justify"/>
    </xf>
    <xf numFmtId="0" fontId="111" fillId="0" borderId="83" xfId="54" applyFont="1" applyBorder="1" applyAlignment="1">
      <alignment horizontal="center" vertical="justify"/>
    </xf>
    <xf numFmtId="0" fontId="111" fillId="0" borderId="84" xfId="54" applyFont="1" applyBorder="1" applyAlignment="1">
      <alignment horizontal="center" vertical="justify"/>
    </xf>
    <xf numFmtId="0" fontId="111" fillId="0" borderId="48" xfId="54" applyFont="1" applyBorder="1" applyAlignment="1">
      <alignment horizontal="center" vertical="justify"/>
    </xf>
    <xf numFmtId="0" fontId="111" fillId="0" borderId="0" xfId="54" applyFont="1" applyBorder="1" applyAlignment="1">
      <alignment horizontal="center" vertical="justify"/>
    </xf>
    <xf numFmtId="0" fontId="111" fillId="0" borderId="23" xfId="54" applyFont="1" applyBorder="1" applyAlignment="1">
      <alignment horizontal="center" vertical="justify"/>
    </xf>
    <xf numFmtId="0" fontId="111" fillId="0" borderId="85" xfId="54" applyFont="1" applyBorder="1" applyAlignment="1">
      <alignment horizontal="center" vertical="justify"/>
    </xf>
    <xf numFmtId="0" fontId="111" fillId="0" borderId="86" xfId="54" applyFont="1" applyBorder="1" applyAlignment="1">
      <alignment horizontal="center" vertical="justify"/>
    </xf>
    <xf numFmtId="0" fontId="111" fillId="0" borderId="49" xfId="54" applyFont="1" applyBorder="1" applyAlignment="1">
      <alignment horizontal="center" vertical="justify"/>
    </xf>
    <xf numFmtId="0" fontId="1" fillId="0" borderId="48" xfId="54" applyFont="1" applyBorder="1" applyAlignment="1">
      <alignment horizontal="center" vertical="center"/>
    </xf>
    <xf numFmtId="0" fontId="1" fillId="0" borderId="0" xfId="54" applyFont="1" applyBorder="1" applyAlignment="1">
      <alignment horizontal="center" vertical="center"/>
    </xf>
    <xf numFmtId="0" fontId="1" fillId="0" borderId="23" xfId="54" applyFont="1" applyBorder="1" applyAlignment="1">
      <alignment horizontal="center" vertical="center"/>
    </xf>
    <xf numFmtId="0" fontId="112" fillId="0" borderId="45" xfId="54" applyFont="1" applyBorder="1" applyAlignment="1">
      <alignment horizontal="center" vertical="center"/>
    </xf>
    <xf numFmtId="0" fontId="112" fillId="0" borderId="87" xfId="54" applyFont="1" applyBorder="1" applyAlignment="1">
      <alignment horizontal="center" vertical="center"/>
    </xf>
    <xf numFmtId="0" fontId="112" fillId="0" borderId="46" xfId="54" applyFont="1" applyBorder="1" applyAlignment="1">
      <alignment horizontal="center" vertical="center"/>
    </xf>
    <xf numFmtId="0" fontId="1" fillId="0" borderId="48" xfId="54" applyFont="1" applyBorder="1" applyAlignment="1">
      <alignment horizontal="center"/>
    </xf>
    <xf numFmtId="0" fontId="1" fillId="0" borderId="0" xfId="54" applyFont="1" applyBorder="1" applyAlignment="1">
      <alignment horizontal="center"/>
    </xf>
    <xf numFmtId="0" fontId="1" fillId="0" borderId="23" xfId="54" applyFont="1" applyBorder="1" applyAlignment="1">
      <alignment horizontal="center"/>
    </xf>
    <xf numFmtId="0" fontId="1" fillId="23" borderId="83" xfId="54" applyFont="1" applyFill="1" applyBorder="1" applyAlignment="1">
      <alignment horizontal="center"/>
    </xf>
    <xf numFmtId="0" fontId="105" fillId="0" borderId="47" xfId="54" applyFont="1" applyBorder="1" applyAlignment="1">
      <alignment horizontal="center" vertical="justify"/>
    </xf>
    <xf numFmtId="0" fontId="105" fillId="0" borderId="83" xfId="54" applyFont="1" applyBorder="1" applyAlignment="1">
      <alignment horizontal="center" vertical="justify"/>
    </xf>
    <xf numFmtId="0" fontId="106" fillId="0" borderId="83" xfId="54" applyFont="1" applyBorder="1" applyAlignment="1">
      <alignment horizontal="center" vertical="center"/>
    </xf>
    <xf numFmtId="0" fontId="106" fillId="0" borderId="84" xfId="54" applyFont="1" applyBorder="1" applyAlignment="1">
      <alignment horizontal="center" vertical="center"/>
    </xf>
    <xf numFmtId="0" fontId="107" fillId="15" borderId="47" xfId="54" applyFont="1" applyFill="1" applyBorder="1" applyAlignment="1">
      <alignment horizontal="center" vertical="center"/>
    </xf>
    <xf numFmtId="0" fontId="107" fillId="15" borderId="83" xfId="54" applyFont="1" applyFill="1" applyBorder="1" applyAlignment="1">
      <alignment horizontal="center" vertical="center"/>
    </xf>
    <xf numFmtId="0" fontId="107" fillId="15" borderId="84" xfId="54" applyFont="1" applyFill="1" applyBorder="1" applyAlignment="1">
      <alignment horizontal="center" vertical="center"/>
    </xf>
    <xf numFmtId="0" fontId="1" fillId="0" borderId="48" xfId="54" applyFont="1" applyBorder="1" applyAlignment="1">
      <alignment horizontal="right" vertical="center" indent="1"/>
    </xf>
    <xf numFmtId="0" fontId="1" fillId="0" borderId="0" xfId="54" applyFont="1" applyBorder="1"/>
    <xf numFmtId="0" fontId="1" fillId="0" borderId="23" xfId="54" applyFont="1" applyBorder="1"/>
    <xf numFmtId="0" fontId="1" fillId="0" borderId="0" xfId="54" applyFont="1" applyBorder="1" applyAlignment="1">
      <alignment horizontal="right" vertical="center" indent="1"/>
    </xf>
    <xf numFmtId="0" fontId="1" fillId="0" borderId="23" xfId="54" applyFont="1" applyBorder="1" applyAlignment="1">
      <alignment horizontal="right" vertical="center" indent="1"/>
    </xf>
    <xf numFmtId="0" fontId="1" fillId="24" borderId="48" xfId="54" applyFont="1" applyFill="1" applyBorder="1" applyAlignment="1">
      <alignment horizontal="center" vertical="center"/>
    </xf>
    <xf numFmtId="0" fontId="1" fillId="24" borderId="0" xfId="54" applyFont="1" applyFill="1" applyBorder="1" applyAlignment="1">
      <alignment horizontal="center" vertical="center"/>
    </xf>
    <xf numFmtId="0" fontId="1" fillId="24" borderId="23" xfId="54" applyFont="1" applyFill="1" applyBorder="1" applyAlignment="1">
      <alignment horizontal="center" vertical="center"/>
    </xf>
    <xf numFmtId="0" fontId="1" fillId="0" borderId="88" xfId="54" applyFont="1" applyBorder="1" applyAlignment="1">
      <alignment horizontal="center" vertical="center"/>
    </xf>
    <xf numFmtId="0" fontId="1" fillId="0" borderId="89" xfId="54" applyFont="1" applyBorder="1" applyAlignment="1">
      <alignment horizontal="center" vertical="center"/>
    </xf>
    <xf numFmtId="0" fontId="108" fillId="0" borderId="89" xfId="54" applyFont="1" applyBorder="1" applyAlignment="1">
      <alignment horizontal="left" vertical="center"/>
    </xf>
    <xf numFmtId="0" fontId="108" fillId="0" borderId="90" xfId="54" applyFont="1" applyBorder="1" applyAlignment="1">
      <alignment horizontal="left" vertical="center"/>
    </xf>
    <xf numFmtId="0" fontId="1" fillId="0" borderId="89" xfId="54" applyFont="1" applyBorder="1" applyAlignment="1">
      <alignment vertical="center"/>
    </xf>
    <xf numFmtId="0" fontId="1" fillId="0" borderId="90" xfId="54" applyFont="1" applyBorder="1" applyAlignment="1">
      <alignment vertical="center"/>
    </xf>
    <xf numFmtId="0" fontId="116" fillId="0" borderId="88" xfId="54" applyFont="1" applyBorder="1" applyAlignment="1">
      <alignment horizontal="right" vertical="center"/>
    </xf>
    <xf numFmtId="0" fontId="116" fillId="0" borderId="89" xfId="54" applyFont="1" applyBorder="1" applyAlignment="1">
      <alignment horizontal="right" vertical="center"/>
    </xf>
    <xf numFmtId="0" fontId="114" fillId="24" borderId="45" xfId="54" applyFont="1" applyFill="1" applyBorder="1" applyAlignment="1">
      <alignment horizontal="center" vertical="center"/>
    </xf>
    <xf numFmtId="0" fontId="114" fillId="24" borderId="87" xfId="54" applyFont="1" applyFill="1" applyBorder="1" applyAlignment="1">
      <alignment horizontal="center" vertical="center"/>
    </xf>
    <xf numFmtId="0" fontId="114" fillId="24" borderId="46" xfId="54" applyFont="1" applyFill="1" applyBorder="1" applyAlignment="1">
      <alignment horizontal="center" vertical="center"/>
    </xf>
    <xf numFmtId="0" fontId="115" fillId="0" borderId="85" xfId="54" applyFont="1" applyBorder="1" applyAlignment="1">
      <alignment horizontal="center" vertical="center"/>
    </xf>
    <xf numFmtId="0" fontId="115" fillId="0" borderId="86" xfId="54" applyFont="1" applyBorder="1" applyAlignment="1">
      <alignment horizontal="center" vertical="center"/>
    </xf>
    <xf numFmtId="14" fontId="108" fillId="0" borderId="86" xfId="54" applyNumberFormat="1" applyFont="1" applyBorder="1" applyAlignment="1">
      <alignment horizontal="center" vertical="center"/>
    </xf>
    <xf numFmtId="14" fontId="108" fillId="0" borderId="49" xfId="54" applyNumberFormat="1" applyFont="1" applyBorder="1" applyAlignment="1">
      <alignment horizontal="center" vertical="center"/>
    </xf>
    <xf numFmtId="0" fontId="104" fillId="0" borderId="47" xfId="54" applyBorder="1" applyAlignment="1">
      <alignment horizontal="center"/>
    </xf>
    <xf numFmtId="0" fontId="104" fillId="0" borderId="85" xfId="54" applyBorder="1" applyAlignment="1">
      <alignment horizontal="center"/>
    </xf>
    <xf numFmtId="0" fontId="113" fillId="0" borderId="83" xfId="54" applyFont="1" applyBorder="1" applyAlignment="1">
      <alignment horizontal="center" vertical="justify"/>
    </xf>
    <xf numFmtId="0" fontId="113" fillId="0" borderId="86" xfId="54" applyFont="1" applyBorder="1" applyAlignment="1">
      <alignment horizontal="center" vertical="justify"/>
    </xf>
    <xf numFmtId="0" fontId="104" fillId="0" borderId="84" xfId="54" applyBorder="1" applyAlignment="1">
      <alignment horizontal="center"/>
    </xf>
    <xf numFmtId="0" fontId="104" fillId="0" borderId="49" xfId="54" applyBorder="1" applyAlignment="1">
      <alignment horizontal="center"/>
    </xf>
    <xf numFmtId="0" fontId="18" fillId="24" borderId="47" xfId="54" applyFont="1" applyFill="1" applyBorder="1" applyAlignment="1">
      <alignment horizontal="center" vertical="justify"/>
    </xf>
    <xf numFmtId="0" fontId="18" fillId="24" borderId="83" xfId="54" applyFont="1" applyFill="1" applyBorder="1" applyAlignment="1">
      <alignment horizontal="center" vertical="justify"/>
    </xf>
    <xf numFmtId="0" fontId="18" fillId="24" borderId="84" xfId="54" applyFont="1" applyFill="1" applyBorder="1" applyAlignment="1">
      <alignment horizontal="center" vertical="justify"/>
    </xf>
    <xf numFmtId="0" fontId="18" fillId="24" borderId="48" xfId="54" applyFont="1" applyFill="1" applyBorder="1" applyAlignment="1">
      <alignment horizontal="center" vertical="justify"/>
    </xf>
    <xf numFmtId="0" fontId="18" fillId="24" borderId="0" xfId="54" applyFont="1" applyFill="1" applyBorder="1" applyAlignment="1">
      <alignment horizontal="center" vertical="justify"/>
    </xf>
    <xf numFmtId="0" fontId="18" fillId="24" borderId="23" xfId="54" applyFont="1" applyFill="1" applyBorder="1" applyAlignment="1">
      <alignment horizontal="center" vertical="justify"/>
    </xf>
    <xf numFmtId="0" fontId="18" fillId="24" borderId="85" xfId="54" applyFont="1" applyFill="1" applyBorder="1" applyAlignment="1">
      <alignment horizontal="center" vertical="justify"/>
    </xf>
    <xf numFmtId="0" fontId="18" fillId="24" borderId="86" xfId="54" applyFont="1" applyFill="1" applyBorder="1" applyAlignment="1">
      <alignment horizontal="center" vertical="justify"/>
    </xf>
    <xf numFmtId="0" fontId="18" fillId="24" borderId="49" xfId="54" applyFont="1" applyFill="1" applyBorder="1" applyAlignment="1">
      <alignment horizontal="center" vertical="justify"/>
    </xf>
    <xf numFmtId="0" fontId="1" fillId="0" borderId="85" xfId="54" applyFont="1" applyBorder="1" applyAlignment="1">
      <alignment horizontal="center"/>
    </xf>
    <xf numFmtId="0" fontId="1" fillId="0" borderId="86" xfId="54" applyFont="1" applyBorder="1" applyAlignment="1">
      <alignment horizontal="center"/>
    </xf>
    <xf numFmtId="0" fontId="1" fillId="0" borderId="49" xfId="54" applyFont="1" applyBorder="1" applyAlignment="1">
      <alignment horizontal="center"/>
    </xf>
    <xf numFmtId="0" fontId="1" fillId="0" borderId="47" xfId="54" applyFont="1" applyBorder="1" applyAlignment="1">
      <alignment horizontal="center" vertical="center"/>
    </xf>
    <xf numFmtId="0" fontId="1" fillId="0" borderId="83" xfId="54" applyFont="1" applyBorder="1" applyAlignment="1">
      <alignment horizontal="center" vertical="center"/>
    </xf>
    <xf numFmtId="0" fontId="1" fillId="0" borderId="84" xfId="54" applyFont="1" applyBorder="1" applyAlignment="1">
      <alignment horizontal="center" vertical="center"/>
    </xf>
    <xf numFmtId="0" fontId="108" fillId="0" borderId="91" xfId="54" applyFont="1" applyBorder="1" applyAlignment="1">
      <alignment horizontal="center" vertical="center"/>
    </xf>
    <xf numFmtId="0" fontId="108" fillId="0" borderId="92" xfId="54" applyFont="1" applyBorder="1" applyAlignment="1">
      <alignment horizontal="center" vertical="center"/>
    </xf>
    <xf numFmtId="0" fontId="108" fillId="0" borderId="93" xfId="54" applyFont="1" applyBorder="1" applyAlignment="1">
      <alignment horizontal="center" vertical="center"/>
    </xf>
    <xf numFmtId="0" fontId="108" fillId="0" borderId="88" xfId="54" applyFont="1" applyBorder="1" applyAlignment="1">
      <alignment horizontal="left" vertical="center"/>
    </xf>
    <xf numFmtId="0" fontId="108" fillId="0" borderId="94" xfId="54" applyFont="1" applyBorder="1" applyAlignment="1">
      <alignment horizontal="center" vertical="center"/>
    </xf>
    <xf numFmtId="0" fontId="108" fillId="0" borderId="91" xfId="54" applyFont="1" applyBorder="1" applyAlignment="1">
      <alignment horizontal="right" vertical="center"/>
    </xf>
    <xf numFmtId="0" fontId="108" fillId="0" borderId="92" xfId="54" applyFont="1" applyBorder="1" applyAlignment="1">
      <alignment horizontal="right" vertical="center"/>
    </xf>
    <xf numFmtId="0" fontId="108" fillId="0" borderId="93" xfId="54" applyFont="1" applyBorder="1" applyAlignment="1">
      <alignment horizontal="right" vertical="center"/>
    </xf>
    <xf numFmtId="0" fontId="1" fillId="0" borderId="95" xfId="54" applyFont="1" applyBorder="1" applyAlignment="1">
      <alignment horizontal="center" vertical="center"/>
    </xf>
    <xf numFmtId="0" fontId="1" fillId="0" borderId="96" xfId="54" applyFont="1" applyBorder="1" applyAlignment="1">
      <alignment horizontal="center" vertical="center"/>
    </xf>
    <xf numFmtId="0" fontId="1" fillId="0" borderId="97" xfId="54" applyFont="1" applyBorder="1" applyAlignment="1">
      <alignment horizontal="center" vertical="center"/>
    </xf>
    <xf numFmtId="0" fontId="1" fillId="0" borderId="48" xfId="54" applyFont="1" applyBorder="1" applyAlignment="1">
      <alignment horizontal="right" vertical="center"/>
    </xf>
    <xf numFmtId="0" fontId="1" fillId="0" borderId="0" xfId="54" applyFont="1" applyBorder="1" applyAlignment="1">
      <alignment horizontal="right" vertical="center"/>
    </xf>
    <xf numFmtId="0" fontId="1" fillId="0" borderId="23" xfId="54" applyFont="1" applyBorder="1" applyAlignment="1">
      <alignment horizontal="right" vertical="center"/>
    </xf>
    <xf numFmtId="0" fontId="117" fillId="0" borderId="101" xfId="54" applyFont="1" applyBorder="1" applyAlignment="1">
      <alignment horizontal="left" vertical="center" indent="1"/>
    </xf>
    <xf numFmtId="0" fontId="117" fillId="0" borderId="92" xfId="54" applyFont="1" applyBorder="1" applyAlignment="1">
      <alignment horizontal="left" vertical="center" indent="1"/>
    </xf>
    <xf numFmtId="0" fontId="117" fillId="0" borderId="93" xfId="54" applyFont="1" applyBorder="1" applyAlignment="1">
      <alignment horizontal="left" vertical="center" indent="1"/>
    </xf>
    <xf numFmtId="4" fontId="105" fillId="24" borderId="101" xfId="54" applyNumberFormat="1" applyFont="1" applyFill="1" applyBorder="1" applyAlignment="1">
      <alignment horizontal="right" vertical="center"/>
    </xf>
    <xf numFmtId="4" fontId="105" fillId="24" borderId="92" xfId="54" applyNumberFormat="1" applyFont="1" applyFill="1" applyBorder="1" applyAlignment="1">
      <alignment horizontal="right" vertical="center"/>
    </xf>
    <xf numFmtId="4" fontId="105" fillId="24" borderId="93" xfId="54" applyNumberFormat="1" applyFont="1" applyFill="1" applyBorder="1" applyAlignment="1">
      <alignment horizontal="right" vertical="center"/>
    </xf>
    <xf numFmtId="0" fontId="115" fillId="0" borderId="101" xfId="54" applyFont="1" applyBorder="1" applyAlignment="1">
      <alignment horizontal="center" vertical="center"/>
    </xf>
    <xf numFmtId="0" fontId="115" fillId="0" borderId="92" xfId="54" applyFont="1" applyBorder="1" applyAlignment="1">
      <alignment horizontal="center" vertical="center"/>
    </xf>
    <xf numFmtId="0" fontId="115" fillId="0" borderId="93" xfId="54" applyFont="1" applyBorder="1" applyAlignment="1">
      <alignment horizontal="center" vertical="center"/>
    </xf>
    <xf numFmtId="0" fontId="105" fillId="0" borderId="101" xfId="54" applyFont="1" applyBorder="1" applyAlignment="1">
      <alignment horizontal="left" vertical="center" indent="7"/>
    </xf>
    <xf numFmtId="0" fontId="105" fillId="0" borderId="92" xfId="54" applyFont="1" applyBorder="1" applyAlignment="1">
      <alignment horizontal="left" vertical="center" indent="7"/>
    </xf>
    <xf numFmtId="0" fontId="105" fillId="0" borderId="93" xfId="54" applyFont="1" applyBorder="1" applyAlignment="1">
      <alignment horizontal="left" vertical="center" indent="7"/>
    </xf>
    <xf numFmtId="4" fontId="115" fillId="0" borderId="101" xfId="54" applyNumberFormat="1" applyFont="1" applyBorder="1" applyAlignment="1">
      <alignment horizontal="right" vertical="center"/>
    </xf>
    <xf numFmtId="4" fontId="115" fillId="0" borderId="92" xfId="54" applyNumberFormat="1" applyFont="1" applyBorder="1" applyAlignment="1">
      <alignment horizontal="right" vertical="center"/>
    </xf>
    <xf numFmtId="4" fontId="115" fillId="0" borderId="93" xfId="54" applyNumberFormat="1" applyFont="1" applyBorder="1" applyAlignment="1">
      <alignment horizontal="right" vertical="center"/>
    </xf>
    <xf numFmtId="0" fontId="1" fillId="0" borderId="98" xfId="54" applyFont="1" applyBorder="1" applyAlignment="1">
      <alignment horizontal="center" vertical="center"/>
    </xf>
    <xf numFmtId="0" fontId="1" fillId="0" borderId="99" xfId="54" applyFont="1" applyBorder="1" applyAlignment="1">
      <alignment horizontal="center" vertical="center"/>
    </xf>
    <xf numFmtId="0" fontId="1" fillId="0" borderId="100" xfId="54" applyFont="1" applyBorder="1" applyAlignment="1">
      <alignment horizontal="center" vertical="center"/>
    </xf>
    <xf numFmtId="0" fontId="5" fillId="15" borderId="101" xfId="54" applyFont="1" applyFill="1" applyBorder="1" applyAlignment="1">
      <alignment horizontal="center" vertical="center"/>
    </xf>
    <xf numFmtId="0" fontId="5" fillId="15" borderId="92" xfId="54" applyFont="1" applyFill="1" applyBorder="1" applyAlignment="1">
      <alignment horizontal="center" vertical="center"/>
    </xf>
    <xf numFmtId="0" fontId="1" fillId="24" borderId="92" xfId="54" applyFont="1" applyFill="1" applyBorder="1" applyAlignment="1">
      <alignment horizontal="center" vertical="center"/>
    </xf>
    <xf numFmtId="0" fontId="1" fillId="24" borderId="93" xfId="54" applyFont="1" applyFill="1" applyBorder="1" applyAlignment="1">
      <alignment horizontal="center" vertical="center"/>
    </xf>
    <xf numFmtId="0" fontId="115" fillId="0" borderId="101" xfId="54" applyFont="1" applyBorder="1" applyAlignment="1">
      <alignment horizontal="left" vertical="center" indent="1"/>
    </xf>
    <xf numFmtId="0" fontId="115" fillId="0" borderId="92" xfId="54" applyFont="1" applyBorder="1" applyAlignment="1">
      <alignment horizontal="left" vertical="center" indent="1"/>
    </xf>
    <xf numFmtId="4" fontId="105" fillId="24" borderId="101" xfId="54" applyNumberFormat="1" applyFont="1" applyFill="1" applyBorder="1" applyAlignment="1">
      <alignment vertical="center"/>
    </xf>
    <xf numFmtId="4" fontId="105" fillId="24" borderId="92" xfId="54" applyNumberFormat="1" applyFont="1" applyFill="1" applyBorder="1" applyAlignment="1">
      <alignment vertical="center"/>
    </xf>
    <xf numFmtId="4" fontId="105" fillId="24" borderId="93" xfId="54" applyNumberFormat="1" applyFont="1" applyFill="1" applyBorder="1" applyAlignment="1">
      <alignment vertical="center"/>
    </xf>
    <xf numFmtId="0" fontId="115" fillId="0" borderId="101" xfId="54" applyFont="1" applyBorder="1" applyAlignment="1">
      <alignment horizontal="left" vertical="center" indent="7"/>
    </xf>
    <xf numFmtId="0" fontId="115" fillId="0" borderId="92" xfId="54" applyFont="1" applyBorder="1" applyAlignment="1">
      <alignment horizontal="left" vertical="center" indent="7"/>
    </xf>
    <xf numFmtId="0" fontId="115" fillId="0" borderId="93" xfId="54" applyFont="1" applyBorder="1" applyAlignment="1">
      <alignment horizontal="left" vertical="center" indent="7"/>
    </xf>
    <xf numFmtId="0" fontId="115" fillId="0" borderId="101" xfId="54" applyFont="1" applyBorder="1" applyAlignment="1">
      <alignment horizontal="right" vertical="center" indent="1"/>
    </xf>
    <xf numFmtId="0" fontId="115" fillId="0" borderId="92" xfId="54" applyFont="1" applyBorder="1" applyAlignment="1">
      <alignment horizontal="right" vertical="center" indent="1"/>
    </xf>
    <xf numFmtId="0" fontId="115" fillId="0" borderId="93" xfId="54" applyFont="1" applyBorder="1" applyAlignment="1">
      <alignment horizontal="right" vertical="center" indent="1"/>
    </xf>
    <xf numFmtId="0" fontId="115" fillId="0" borderId="93" xfId="54" applyFont="1" applyBorder="1" applyAlignment="1">
      <alignment horizontal="left" vertical="center" indent="1"/>
    </xf>
    <xf numFmtId="0" fontId="115" fillId="0" borderId="102" xfId="54" applyFont="1" applyBorder="1" applyAlignment="1">
      <alignment horizontal="right" vertical="center" indent="1"/>
    </xf>
    <xf numFmtId="0" fontId="115" fillId="0" borderId="103" xfId="54" applyFont="1" applyBorder="1" applyAlignment="1">
      <alignment horizontal="right" vertical="center" indent="1"/>
    </xf>
    <xf numFmtId="0" fontId="115" fillId="0" borderId="104" xfId="54" applyFont="1" applyBorder="1" applyAlignment="1">
      <alignment horizontal="right" vertical="center" indent="1"/>
    </xf>
    <xf numFmtId="0" fontId="117" fillId="0" borderId="101" xfId="54" applyFont="1" applyBorder="1" applyAlignment="1">
      <alignment horizontal="center" vertical="center"/>
    </xf>
    <xf numFmtId="0" fontId="104" fillId="0" borderId="92" xfId="54" applyBorder="1"/>
    <xf numFmtId="0" fontId="1" fillId="23" borderId="87" xfId="54" applyFont="1" applyFill="1" applyBorder="1" applyAlignment="1">
      <alignment horizontal="center" vertical="center"/>
    </xf>
    <xf numFmtId="0" fontId="115" fillId="0" borderId="98" xfId="54" applyFont="1" applyBorder="1" applyAlignment="1">
      <alignment horizontal="left" vertical="center" indent="1"/>
    </xf>
    <xf numFmtId="0" fontId="115" fillId="0" borderId="99" xfId="54" applyFont="1" applyBorder="1" applyAlignment="1">
      <alignment horizontal="left" vertical="center" indent="1"/>
    </xf>
    <xf numFmtId="0" fontId="115" fillId="0" borderId="100" xfId="54" applyFont="1" applyBorder="1" applyAlignment="1">
      <alignment horizontal="left" vertical="center" indent="1"/>
    </xf>
    <xf numFmtId="192" fontId="115" fillId="0" borderId="98" xfId="54" applyNumberFormat="1" applyFont="1" applyBorder="1" applyAlignment="1">
      <alignment horizontal="right" vertical="center"/>
    </xf>
    <xf numFmtId="192" fontId="115" fillId="0" borderId="99" xfId="54" applyNumberFormat="1" applyFont="1" applyBorder="1" applyAlignment="1">
      <alignment horizontal="right" vertical="center"/>
    </xf>
    <xf numFmtId="192" fontId="115" fillId="0" borderId="100" xfId="54" applyNumberFormat="1" applyFont="1" applyBorder="1" applyAlignment="1">
      <alignment horizontal="right" vertical="center"/>
    </xf>
    <xf numFmtId="0" fontId="119" fillId="0" borderId="106" xfId="54" applyFont="1" applyBorder="1" applyAlignment="1">
      <alignment horizontal="left" vertical="center" indent="1"/>
    </xf>
    <xf numFmtId="0" fontId="119" fillId="0" borderId="107" xfId="54" applyFont="1" applyBorder="1" applyAlignment="1">
      <alignment horizontal="left" vertical="center" indent="1"/>
    </xf>
    <xf numFmtId="0" fontId="119" fillId="0" borderId="108" xfId="54" applyFont="1" applyBorder="1" applyAlignment="1">
      <alignment horizontal="left" vertical="center" indent="1"/>
    </xf>
    <xf numFmtId="193" fontId="115" fillId="0" borderId="101" xfId="54" applyNumberFormat="1" applyFont="1" applyFill="1" applyBorder="1" applyAlignment="1">
      <alignment horizontal="right" vertical="center"/>
    </xf>
    <xf numFmtId="193" fontId="115" fillId="0" borderId="92" xfId="54" applyNumberFormat="1" applyFont="1" applyFill="1" applyBorder="1" applyAlignment="1">
      <alignment horizontal="right" vertical="center"/>
    </xf>
    <xf numFmtId="193" fontId="115" fillId="0" borderId="93" xfId="54" applyNumberFormat="1" applyFont="1" applyFill="1" applyBorder="1" applyAlignment="1">
      <alignment horizontal="right" vertical="center"/>
    </xf>
    <xf numFmtId="189" fontId="115" fillId="0" borderId="101" xfId="54" applyNumberFormat="1" applyFont="1" applyFill="1" applyBorder="1" applyAlignment="1">
      <alignment horizontal="right" vertical="center" indent="1"/>
    </xf>
    <xf numFmtId="189" fontId="115" fillId="0" borderId="92" xfId="54" applyNumberFormat="1" applyFont="1" applyFill="1" applyBorder="1" applyAlignment="1">
      <alignment horizontal="right" vertical="center" indent="1"/>
    </xf>
    <xf numFmtId="189" fontId="115" fillId="0" borderId="93" xfId="54" applyNumberFormat="1" applyFont="1" applyFill="1" applyBorder="1" applyAlignment="1">
      <alignment horizontal="right" vertical="center" indent="1"/>
    </xf>
    <xf numFmtId="189" fontId="105" fillId="0" borderId="101" xfId="54" applyNumberFormat="1" applyFont="1" applyFill="1" applyBorder="1" applyAlignment="1">
      <alignment horizontal="right" vertical="center" indent="1"/>
    </xf>
    <xf numFmtId="189" fontId="105" fillId="0" borderId="92" xfId="54" applyNumberFormat="1" applyFont="1" applyFill="1" applyBorder="1" applyAlignment="1">
      <alignment horizontal="right" vertical="center" indent="1"/>
    </xf>
    <xf numFmtId="189" fontId="105" fillId="0" borderId="93" xfId="54" applyNumberFormat="1" applyFont="1" applyFill="1" applyBorder="1" applyAlignment="1">
      <alignment horizontal="right" vertical="center" indent="1"/>
    </xf>
    <xf numFmtId="0" fontId="1" fillId="0" borderId="101" xfId="54" applyFont="1" applyBorder="1" applyAlignment="1">
      <alignment horizontal="center" vertical="center"/>
    </xf>
    <xf numFmtId="0" fontId="1" fillId="0" borderId="92" xfId="54" applyFont="1" applyBorder="1" applyAlignment="1">
      <alignment horizontal="center" vertical="center"/>
    </xf>
    <xf numFmtId="0" fontId="1" fillId="0" borderId="93" xfId="54" applyFont="1" applyBorder="1" applyAlignment="1">
      <alignment horizontal="center" vertical="center"/>
    </xf>
    <xf numFmtId="194" fontId="115" fillId="0" borderId="101" xfId="54" applyNumberFormat="1" applyFont="1" applyBorder="1" applyAlignment="1">
      <alignment horizontal="right" vertical="center"/>
    </xf>
    <xf numFmtId="194" fontId="115" fillId="0" borderId="92" xfId="54" applyNumberFormat="1" applyFont="1" applyBorder="1" applyAlignment="1">
      <alignment horizontal="right" vertical="center"/>
    </xf>
    <xf numFmtId="194" fontId="115" fillId="0" borderId="93" xfId="54" applyNumberFormat="1" applyFont="1" applyBorder="1" applyAlignment="1">
      <alignment horizontal="right" vertical="center"/>
    </xf>
    <xf numFmtId="0" fontId="1" fillId="0" borderId="101" xfId="54" applyFont="1" applyBorder="1" applyAlignment="1">
      <alignment horizontal="right" vertical="center" indent="1"/>
    </xf>
    <xf numFmtId="0" fontId="1" fillId="0" borderId="92" xfId="54" applyFont="1" applyBorder="1" applyAlignment="1">
      <alignment horizontal="right" vertical="center" indent="1"/>
    </xf>
    <xf numFmtId="0" fontId="1" fillId="0" borderId="93" xfId="54" applyFont="1" applyBorder="1" applyAlignment="1">
      <alignment horizontal="right" vertical="center" indent="1"/>
    </xf>
    <xf numFmtId="0" fontId="115" fillId="0" borderId="101" xfId="54" applyFont="1" applyFill="1" applyBorder="1" applyAlignment="1">
      <alignment horizontal="left" vertical="center" indent="1"/>
    </xf>
    <xf numFmtId="0" fontId="115" fillId="0" borderId="92" xfId="54" applyFont="1" applyFill="1" applyBorder="1" applyAlignment="1">
      <alignment horizontal="left" vertical="center" indent="1"/>
    </xf>
    <xf numFmtId="0" fontId="115" fillId="0" borderId="93" xfId="54" applyFont="1" applyFill="1" applyBorder="1" applyAlignment="1">
      <alignment horizontal="left" vertical="center" indent="1"/>
    </xf>
    <xf numFmtId="194" fontId="105" fillId="24" borderId="101" xfId="54" applyNumberFormat="1" applyFont="1" applyFill="1" applyBorder="1" applyAlignment="1">
      <alignment horizontal="right" vertical="center"/>
    </xf>
    <xf numFmtId="194" fontId="105" fillId="24" borderId="92" xfId="54" applyNumberFormat="1" applyFont="1" applyFill="1" applyBorder="1" applyAlignment="1">
      <alignment horizontal="right" vertical="center"/>
    </xf>
    <xf numFmtId="194" fontId="105" fillId="24" borderId="93" xfId="54" applyNumberFormat="1" applyFont="1" applyFill="1" applyBorder="1" applyAlignment="1">
      <alignment horizontal="right" vertical="center"/>
    </xf>
    <xf numFmtId="0" fontId="114" fillId="0" borderId="101" xfId="54" applyFont="1" applyBorder="1" applyAlignment="1">
      <alignment horizontal="center" vertical="center"/>
    </xf>
    <xf numFmtId="0" fontId="114" fillId="0" borderId="92" xfId="54" applyFont="1" applyBorder="1" applyAlignment="1">
      <alignment horizontal="center" vertical="center"/>
    </xf>
    <xf numFmtId="0" fontId="114" fillId="0" borderId="93" xfId="54" applyFont="1" applyBorder="1" applyAlignment="1">
      <alignment horizontal="center" vertical="center"/>
    </xf>
    <xf numFmtId="0" fontId="115" fillId="0" borderId="101" xfId="54" applyFont="1" applyFill="1" applyBorder="1" applyAlignment="1">
      <alignment horizontal="left" vertical="center"/>
    </xf>
    <xf numFmtId="0" fontId="115" fillId="0" borderId="92" xfId="54" applyFont="1" applyFill="1" applyBorder="1" applyAlignment="1">
      <alignment horizontal="left" vertical="center"/>
    </xf>
    <xf numFmtId="0" fontId="115" fillId="0" borderId="93" xfId="54" applyFont="1" applyFill="1" applyBorder="1" applyAlignment="1">
      <alignment horizontal="left" vertical="center"/>
    </xf>
    <xf numFmtId="0" fontId="105" fillId="0" borderId="101" xfId="54" applyFont="1" applyBorder="1" applyAlignment="1">
      <alignment horizontal="left" vertical="center"/>
    </xf>
    <xf numFmtId="0" fontId="105" fillId="0" borderId="92" xfId="54" applyFont="1" applyBorder="1" applyAlignment="1">
      <alignment horizontal="left" vertical="center"/>
    </xf>
    <xf numFmtId="0" fontId="105" fillId="0" borderId="93" xfId="54" applyFont="1" applyBorder="1" applyAlignment="1">
      <alignment horizontal="left" vertical="center"/>
    </xf>
    <xf numFmtId="0" fontId="114" fillId="0" borderId="101" xfId="54" applyFont="1" applyFill="1" applyBorder="1" applyAlignment="1">
      <alignment horizontal="left" vertical="center"/>
    </xf>
    <xf numFmtId="0" fontId="114" fillId="0" borderId="92" xfId="54" applyFont="1" applyFill="1" applyBorder="1" applyAlignment="1">
      <alignment horizontal="left" vertical="center"/>
    </xf>
    <xf numFmtId="0" fontId="114" fillId="0" borderId="93" xfId="54" applyFont="1" applyFill="1" applyBorder="1" applyAlignment="1">
      <alignment horizontal="left" vertical="center"/>
    </xf>
    <xf numFmtId="0" fontId="115" fillId="0" borderId="101" xfId="54" applyFont="1" applyBorder="1" applyAlignment="1">
      <alignment horizontal="left" vertical="center"/>
    </xf>
    <xf numFmtId="0" fontId="115" fillId="0" borderId="92" xfId="54" applyFont="1" applyBorder="1" applyAlignment="1">
      <alignment horizontal="left" vertical="center"/>
    </xf>
    <xf numFmtId="0" fontId="115" fillId="0" borderId="93" xfId="54" applyFont="1" applyBorder="1" applyAlignment="1">
      <alignment horizontal="left" vertical="center"/>
    </xf>
    <xf numFmtId="194" fontId="120" fillId="24" borderId="101" xfId="54" applyNumberFormat="1" applyFont="1" applyFill="1" applyBorder="1" applyAlignment="1">
      <alignment horizontal="right" vertical="center"/>
    </xf>
    <xf numFmtId="194" fontId="120" fillId="24" borderId="92" xfId="54" applyNumberFormat="1" applyFont="1" applyFill="1" applyBorder="1" applyAlignment="1">
      <alignment horizontal="right" vertical="center"/>
    </xf>
    <xf numFmtId="194" fontId="120" fillId="24" borderId="93" xfId="54" applyNumberFormat="1" applyFont="1" applyFill="1" applyBorder="1" applyAlignment="1">
      <alignment horizontal="right" vertical="center"/>
    </xf>
    <xf numFmtId="194" fontId="120" fillId="25" borderId="101" xfId="54" applyNumberFormat="1" applyFont="1" applyFill="1" applyBorder="1" applyAlignment="1">
      <alignment horizontal="right" vertical="center"/>
    </xf>
    <xf numFmtId="194" fontId="120" fillId="25" borderId="92" xfId="54" applyNumberFormat="1" applyFont="1" applyFill="1" applyBorder="1" applyAlignment="1">
      <alignment horizontal="right" vertical="center"/>
    </xf>
    <xf numFmtId="194" fontId="120" fillId="25" borderId="93" xfId="54" applyNumberFormat="1" applyFont="1" applyFill="1" applyBorder="1" applyAlignment="1">
      <alignment horizontal="right" vertical="center"/>
    </xf>
    <xf numFmtId="194" fontId="115" fillId="2" borderId="101" xfId="54" applyNumberFormat="1" applyFont="1" applyFill="1" applyBorder="1" applyAlignment="1">
      <alignment horizontal="right" vertical="center"/>
    </xf>
    <xf numFmtId="194" fontId="115" fillId="2" borderId="92" xfId="54" applyNumberFormat="1" applyFont="1" applyFill="1" applyBorder="1" applyAlignment="1">
      <alignment horizontal="right" vertical="center"/>
    </xf>
    <xf numFmtId="194" fontId="115" fillId="2" borderId="93" xfId="54" applyNumberFormat="1" applyFont="1" applyFill="1" applyBorder="1" applyAlignment="1">
      <alignment horizontal="right" vertical="center"/>
    </xf>
    <xf numFmtId="0" fontId="117" fillId="0" borderId="101" xfId="54" applyFont="1" applyBorder="1" applyAlignment="1">
      <alignment horizontal="left" vertical="center" indent="7"/>
    </xf>
    <xf numFmtId="0" fontId="117" fillId="0" borderId="92" xfId="54" applyFont="1" applyBorder="1" applyAlignment="1">
      <alignment horizontal="left" vertical="center" indent="7"/>
    </xf>
    <xf numFmtId="0" fontId="117" fillId="0" borderId="93" xfId="54" applyFont="1" applyBorder="1" applyAlignment="1">
      <alignment horizontal="left" vertical="center" indent="7"/>
    </xf>
    <xf numFmtId="194" fontId="120" fillId="24" borderId="101" xfId="54" applyNumberFormat="1" applyFont="1" applyFill="1" applyBorder="1" applyAlignment="1">
      <alignment vertical="center"/>
    </xf>
    <xf numFmtId="194" fontId="120" fillId="24" borderId="92" xfId="54" applyNumberFormat="1" applyFont="1" applyFill="1" applyBorder="1" applyAlignment="1">
      <alignment vertical="center"/>
    </xf>
    <xf numFmtId="194" fontId="120" fillId="24" borderId="93" xfId="54" applyNumberFormat="1" applyFont="1" applyFill="1" applyBorder="1" applyAlignment="1">
      <alignment vertical="center"/>
    </xf>
    <xf numFmtId="0" fontId="115" fillId="0" borderId="85" xfId="54" applyFont="1" applyBorder="1" applyAlignment="1">
      <alignment horizontal="left" vertical="center" indent="1"/>
    </xf>
    <xf numFmtId="0" fontId="115" fillId="0" borderId="86" xfId="54" applyFont="1" applyBorder="1" applyAlignment="1">
      <alignment horizontal="left" vertical="center" indent="1"/>
    </xf>
    <xf numFmtId="0" fontId="115" fillId="0" borderId="49" xfId="54" applyFont="1" applyBorder="1" applyAlignment="1">
      <alignment horizontal="left" vertical="center" indent="1"/>
    </xf>
    <xf numFmtId="0" fontId="117" fillId="0" borderId="109" xfId="54" applyFont="1" applyBorder="1" applyAlignment="1">
      <alignment horizontal="left" vertical="center" indent="7"/>
    </xf>
    <xf numFmtId="0" fontId="117" fillId="0" borderId="110" xfId="54" applyFont="1" applyBorder="1" applyAlignment="1">
      <alignment horizontal="left" vertical="center" indent="7"/>
    </xf>
    <xf numFmtId="0" fontId="117" fillId="0" borderId="111" xfId="54" applyFont="1" applyBorder="1" applyAlignment="1">
      <alignment horizontal="left" vertical="center" indent="7"/>
    </xf>
    <xf numFmtId="0" fontId="105" fillId="0" borderId="101" xfId="54" applyFont="1" applyBorder="1" applyAlignment="1">
      <alignment horizontal="left" vertical="center" indent="1"/>
    </xf>
    <xf numFmtId="0" fontId="105" fillId="0" borderId="92" xfId="54" applyFont="1" applyBorder="1" applyAlignment="1">
      <alignment horizontal="left" vertical="center" indent="1"/>
    </xf>
    <xf numFmtId="0" fontId="105" fillId="0" borderId="93" xfId="54" applyFont="1" applyBorder="1" applyAlignment="1">
      <alignment horizontal="left" vertical="center" indent="1"/>
    </xf>
    <xf numFmtId="194" fontId="115" fillId="2" borderId="101" xfId="54" applyNumberFormat="1" applyFont="1" applyFill="1" applyBorder="1" applyAlignment="1">
      <alignment horizontal="right"/>
    </xf>
    <xf numFmtId="194" fontId="115" fillId="2" borderId="92" xfId="54" applyNumberFormat="1" applyFont="1" applyFill="1" applyBorder="1" applyAlignment="1">
      <alignment horizontal="right"/>
    </xf>
    <xf numFmtId="194" fontId="115" fillId="2" borderId="93" xfId="54" applyNumberFormat="1" applyFont="1" applyFill="1" applyBorder="1" applyAlignment="1">
      <alignment horizontal="right"/>
    </xf>
    <xf numFmtId="0" fontId="115" fillId="23" borderId="87" xfId="54" applyFont="1" applyFill="1" applyBorder="1" applyAlignment="1">
      <alignment horizontal="center" vertical="center"/>
    </xf>
    <xf numFmtId="0" fontId="115" fillId="0" borderId="109" xfId="54" applyFont="1" applyBorder="1" applyAlignment="1">
      <alignment horizontal="left" vertical="center" indent="1"/>
    </xf>
    <xf numFmtId="0" fontId="115" fillId="0" borderId="110" xfId="54" applyFont="1" applyBorder="1" applyAlignment="1">
      <alignment horizontal="left" vertical="center" indent="1"/>
    </xf>
    <xf numFmtId="0" fontId="115" fillId="0" borderId="111" xfId="54" applyFont="1" applyBorder="1" applyAlignment="1">
      <alignment horizontal="left" vertical="center" indent="1"/>
    </xf>
    <xf numFmtId="194" fontId="115" fillId="0" borderId="109" xfId="54" applyNumberFormat="1" applyFont="1" applyBorder="1" applyAlignment="1">
      <alignment vertical="center"/>
    </xf>
    <xf numFmtId="194" fontId="115" fillId="0" borderId="110" xfId="54" applyNumberFormat="1" applyFont="1" applyBorder="1" applyAlignment="1">
      <alignment vertical="center"/>
    </xf>
    <xf numFmtId="194" fontId="115" fillId="0" borderId="111" xfId="54" applyNumberFormat="1" applyFont="1" applyBorder="1" applyAlignment="1">
      <alignment vertical="center"/>
    </xf>
    <xf numFmtId="194" fontId="115" fillId="0" borderId="101" xfId="54" applyNumberFormat="1" applyFont="1" applyBorder="1" applyAlignment="1">
      <alignment vertical="center"/>
    </xf>
    <xf numFmtId="194" fontId="115" fillId="0" borderId="92" xfId="54" applyNumberFormat="1" applyFont="1" applyBorder="1" applyAlignment="1">
      <alignment vertical="center"/>
    </xf>
    <xf numFmtId="194" fontId="115" fillId="0" borderId="93" xfId="54" applyNumberFormat="1" applyFont="1" applyBorder="1" applyAlignment="1">
      <alignment vertical="center"/>
    </xf>
    <xf numFmtId="194" fontId="115" fillId="0" borderId="101" xfId="54" applyNumberFormat="1" applyFont="1" applyBorder="1" applyAlignment="1">
      <alignment horizontal="right"/>
    </xf>
    <xf numFmtId="194" fontId="115" fillId="0" borderId="92" xfId="54" applyNumberFormat="1" applyFont="1" applyBorder="1" applyAlignment="1">
      <alignment horizontal="right"/>
    </xf>
    <xf numFmtId="194" fontId="115" fillId="0" borderId="93" xfId="54" applyNumberFormat="1" applyFont="1" applyBorder="1" applyAlignment="1">
      <alignment horizontal="right"/>
    </xf>
    <xf numFmtId="0" fontId="115" fillId="0" borderId="102" xfId="54" applyFont="1" applyFill="1" applyBorder="1" applyAlignment="1">
      <alignment horizontal="left" vertical="center" indent="1"/>
    </xf>
    <xf numFmtId="0" fontId="115" fillId="0" borderId="103" xfId="54" applyFont="1" applyFill="1" applyBorder="1" applyAlignment="1">
      <alignment horizontal="left" vertical="center" indent="1"/>
    </xf>
    <xf numFmtId="0" fontId="115" fillId="0" borderId="104" xfId="54" applyFont="1" applyFill="1" applyBorder="1" applyAlignment="1">
      <alignment horizontal="left" vertical="center" indent="1"/>
    </xf>
    <xf numFmtId="194" fontId="115" fillId="0" borderId="102" xfId="54" applyNumberFormat="1" applyFont="1" applyBorder="1" applyAlignment="1">
      <alignment horizontal="right"/>
    </xf>
    <xf numFmtId="194" fontId="115" fillId="0" borderId="103" xfId="54" applyNumberFormat="1" applyFont="1" applyBorder="1" applyAlignment="1">
      <alignment horizontal="right"/>
    </xf>
    <xf numFmtId="194" fontId="115" fillId="0" borderId="104" xfId="54" applyNumberFormat="1" applyFont="1" applyBorder="1" applyAlignment="1">
      <alignment horizontal="right"/>
    </xf>
    <xf numFmtId="194" fontId="105" fillId="24" borderId="101" xfId="54" applyNumberFormat="1" applyFont="1" applyFill="1" applyBorder="1" applyAlignment="1">
      <alignment vertical="center"/>
    </xf>
    <xf numFmtId="194" fontId="105" fillId="24" borderId="92" xfId="54" applyNumberFormat="1" applyFont="1" applyFill="1" applyBorder="1" applyAlignment="1">
      <alignment vertical="center"/>
    </xf>
    <xf numFmtId="194" fontId="105" fillId="24" borderId="93" xfId="54" applyNumberFormat="1" applyFont="1" applyFill="1" applyBorder="1" applyAlignment="1">
      <alignment vertical="center"/>
    </xf>
    <xf numFmtId="194" fontId="115" fillId="0" borderId="98" xfId="54" applyNumberFormat="1" applyFont="1" applyBorder="1" applyAlignment="1">
      <alignment vertical="center"/>
    </xf>
    <xf numFmtId="194" fontId="115" fillId="0" borderId="99" xfId="54" applyNumberFormat="1" applyFont="1" applyBorder="1" applyAlignment="1">
      <alignment vertical="center"/>
    </xf>
    <xf numFmtId="194" fontId="115" fillId="0" borderId="100" xfId="54" applyNumberFormat="1" applyFont="1" applyBorder="1" applyAlignment="1">
      <alignment vertical="center"/>
    </xf>
    <xf numFmtId="14" fontId="1" fillId="0" borderId="92" xfId="54" applyNumberFormat="1" applyFont="1" applyBorder="1" applyAlignment="1">
      <alignment horizontal="center" vertical="center"/>
    </xf>
    <xf numFmtId="0" fontId="1" fillId="24" borderId="101" xfId="54" applyFont="1" applyFill="1" applyBorder="1" applyAlignment="1">
      <alignment horizontal="center" vertical="center"/>
    </xf>
    <xf numFmtId="0" fontId="114" fillId="0" borderId="95" xfId="54" applyFont="1" applyBorder="1" applyAlignment="1">
      <alignment horizontal="center" vertical="center"/>
    </xf>
    <xf numFmtId="0" fontId="114" fillId="0" borderId="96" xfId="54" applyFont="1" applyBorder="1" applyAlignment="1">
      <alignment horizontal="center" vertical="center"/>
    </xf>
    <xf numFmtId="0" fontId="121" fillId="0" borderId="0" xfId="54" applyFont="1" applyBorder="1" applyAlignment="1">
      <alignment horizontal="left" vertical="center"/>
    </xf>
    <xf numFmtId="0" fontId="121" fillId="0" borderId="23" xfId="54" applyFont="1" applyBorder="1" applyAlignment="1">
      <alignment horizontal="left" vertical="center"/>
    </xf>
    <xf numFmtId="0" fontId="121" fillId="0" borderId="48" xfId="54" applyFont="1" applyBorder="1" applyAlignment="1">
      <alignment horizontal="left" vertical="center" indent="1"/>
    </xf>
    <xf numFmtId="0" fontId="121" fillId="0" borderId="0" xfId="54" applyFont="1" applyBorder="1" applyAlignment="1">
      <alignment horizontal="left" vertical="center" indent="1"/>
    </xf>
    <xf numFmtId="0" fontId="121" fillId="0" borderId="23" xfId="54" applyFont="1" applyBorder="1" applyAlignment="1">
      <alignment horizontal="left" vertical="center" indent="1"/>
    </xf>
    <xf numFmtId="0" fontId="109" fillId="0" borderId="48" xfId="54" applyFont="1" applyBorder="1" applyAlignment="1">
      <alignment horizontal="left" vertical="justify" indent="1"/>
    </xf>
    <xf numFmtId="0" fontId="109" fillId="0" borderId="0" xfId="54" applyFont="1" applyBorder="1" applyAlignment="1">
      <alignment horizontal="left" vertical="justify" indent="1"/>
    </xf>
    <xf numFmtId="0" fontId="109" fillId="0" borderId="23" xfId="54" applyFont="1" applyBorder="1" applyAlignment="1">
      <alignment horizontal="left" vertical="justify" indent="1"/>
    </xf>
    <xf numFmtId="0" fontId="114" fillId="0" borderId="48" xfId="54" applyFont="1" applyBorder="1" applyAlignment="1">
      <alignment horizontal="left" vertical="center"/>
    </xf>
    <xf numFmtId="0" fontId="114" fillId="0" borderId="0" xfId="54" applyFont="1" applyBorder="1" applyAlignment="1">
      <alignment horizontal="left" vertical="center"/>
    </xf>
    <xf numFmtId="0" fontId="114" fillId="0" borderId="23" xfId="54" applyFont="1" applyBorder="1" applyAlignment="1">
      <alignment horizontal="left" vertical="center"/>
    </xf>
    <xf numFmtId="0" fontId="109" fillId="0" borderId="48" xfId="54" applyFont="1" applyBorder="1" applyAlignment="1">
      <alignment horizontal="left" vertical="center"/>
    </xf>
    <xf numFmtId="0" fontId="109" fillId="0" borderId="0" xfId="54" applyFont="1" applyBorder="1" applyAlignment="1">
      <alignment horizontal="left" vertical="center"/>
    </xf>
    <xf numFmtId="0" fontId="109" fillId="0" borderId="23" xfId="54" applyFont="1" applyBorder="1" applyAlignment="1">
      <alignment horizontal="left" vertical="center"/>
    </xf>
    <xf numFmtId="0" fontId="122" fillId="0" borderId="85" xfId="54" applyFont="1" applyBorder="1" applyAlignment="1">
      <alignment horizontal="center" vertical="center"/>
    </xf>
    <xf numFmtId="0" fontId="122" fillId="0" borderId="86" xfId="54" applyFont="1" applyBorder="1" applyAlignment="1">
      <alignment horizontal="center" vertical="center"/>
    </xf>
    <xf numFmtId="0" fontId="122" fillId="0" borderId="49" xfId="54" applyFont="1" applyBorder="1" applyAlignment="1">
      <alignment horizontal="center" vertical="center"/>
    </xf>
    <xf numFmtId="0" fontId="114" fillId="0" borderId="47" xfId="54" applyFont="1" applyBorder="1" applyAlignment="1">
      <alignment horizontal="left" vertical="center"/>
    </xf>
    <xf numFmtId="0" fontId="114" fillId="0" borderId="83" xfId="54" applyFont="1" applyBorder="1" applyAlignment="1">
      <alignment horizontal="left" vertical="center"/>
    </xf>
    <xf numFmtId="0" fontId="114" fillId="0" borderId="84" xfId="54" applyFont="1" applyBorder="1" applyAlignment="1">
      <alignment horizontal="left" vertical="center"/>
    </xf>
    <xf numFmtId="0" fontId="1" fillId="23" borderId="86" xfId="54" applyFont="1" applyFill="1" applyBorder="1" applyAlignment="1">
      <alignment horizontal="center" vertical="center"/>
    </xf>
    <xf numFmtId="0" fontId="119" fillId="0" borderId="48" xfId="54" applyFont="1" applyBorder="1" applyAlignment="1">
      <alignment horizontal="left" vertical="center" indent="1"/>
    </xf>
    <xf numFmtId="0" fontId="119" fillId="0" borderId="0" xfId="54" applyFont="1" applyBorder="1" applyAlignment="1">
      <alignment horizontal="left" vertical="center" indent="1"/>
    </xf>
    <xf numFmtId="0" fontId="119" fillId="0" borderId="23" xfId="54" applyFont="1" applyBorder="1" applyAlignment="1">
      <alignment horizontal="left" vertical="center" indent="1"/>
    </xf>
    <xf numFmtId="0" fontId="119" fillId="0" borderId="85" xfId="54" applyFont="1" applyBorder="1" applyAlignment="1">
      <alignment horizontal="left" vertical="center" indent="1"/>
    </xf>
    <xf numFmtId="0" fontId="119" fillId="0" borderId="86" xfId="54" applyFont="1" applyBorder="1" applyAlignment="1">
      <alignment horizontal="left" vertical="center" indent="1"/>
    </xf>
    <xf numFmtId="0" fontId="119" fillId="0" borderId="49" xfId="54" applyFont="1" applyBorder="1" applyAlignment="1">
      <alignment horizontal="left" vertical="center" indent="1"/>
    </xf>
    <xf numFmtId="0" fontId="119" fillId="0" borderId="85" xfId="54" applyFont="1" applyFill="1" applyBorder="1" applyAlignment="1">
      <alignment horizontal="left" vertical="center" indent="1"/>
    </xf>
    <xf numFmtId="0" fontId="119" fillId="0" borderId="86" xfId="54" applyFont="1" applyFill="1" applyBorder="1" applyAlignment="1">
      <alignment horizontal="left" vertical="center" indent="1"/>
    </xf>
    <xf numFmtId="0" fontId="119" fillId="0" borderId="49" xfId="54" applyFont="1" applyFill="1" applyBorder="1" applyAlignment="1">
      <alignment horizontal="left" vertical="center" indent="1"/>
    </xf>
    <xf numFmtId="0" fontId="119" fillId="0" borderId="47" xfId="54" applyFont="1" applyBorder="1" applyAlignment="1">
      <alignment horizontal="left" vertical="center" indent="1"/>
    </xf>
    <xf numFmtId="0" fontId="119" fillId="0" borderId="83" xfId="54" applyFont="1" applyBorder="1" applyAlignment="1">
      <alignment horizontal="left" vertical="center" indent="1"/>
    </xf>
    <xf numFmtId="0" fontId="119" fillId="0" borderId="84" xfId="54" applyFont="1" applyBorder="1" applyAlignment="1">
      <alignment horizontal="left" vertical="center" indent="1"/>
    </xf>
    <xf numFmtId="0" fontId="114" fillId="0" borderId="85" xfId="54" applyFont="1" applyBorder="1" applyAlignment="1">
      <alignment horizontal="left" vertical="center"/>
    </xf>
    <xf numFmtId="0" fontId="114" fillId="0" borderId="86" xfId="54" applyFont="1" applyBorder="1" applyAlignment="1">
      <alignment horizontal="left" vertical="center"/>
    </xf>
    <xf numFmtId="0" fontId="114" fillId="0" borderId="49" xfId="54" applyFont="1" applyBorder="1" applyAlignment="1">
      <alignment horizontal="left" vertical="center"/>
    </xf>
    <xf numFmtId="0" fontId="123" fillId="0" borderId="48" xfId="54" applyFont="1" applyBorder="1" applyAlignment="1">
      <alignment horizontal="center" vertical="center"/>
    </xf>
    <xf numFmtId="0" fontId="123" fillId="0" borderId="0" xfId="54" applyFont="1" applyBorder="1" applyAlignment="1">
      <alignment horizontal="center" vertical="center"/>
    </xf>
    <xf numFmtId="0" fontId="123" fillId="0" borderId="23" xfId="54" applyFont="1" applyBorder="1" applyAlignment="1">
      <alignment horizontal="center" vertical="center"/>
    </xf>
    <xf numFmtId="0" fontId="123" fillId="0" borderId="85" xfId="54" applyFont="1" applyBorder="1" applyAlignment="1">
      <alignment horizontal="center" vertical="center"/>
    </xf>
    <xf numFmtId="0" fontId="123" fillId="0" borderId="86" xfId="54" applyFont="1" applyBorder="1" applyAlignment="1">
      <alignment horizontal="center" vertical="center"/>
    </xf>
    <xf numFmtId="0" fontId="123" fillId="0" borderId="49" xfId="54" applyFont="1" applyBorder="1" applyAlignment="1">
      <alignment horizontal="center" vertical="center"/>
    </xf>
    <xf numFmtId="0" fontId="1" fillId="0" borderId="45" xfId="54" applyFont="1" applyBorder="1" applyAlignment="1">
      <alignment horizontal="center" vertical="center"/>
    </xf>
    <xf numFmtId="0" fontId="1" fillId="0" borderId="87" xfId="54" applyFont="1" applyBorder="1" applyAlignment="1">
      <alignment horizontal="center" vertical="center"/>
    </xf>
    <xf numFmtId="0" fontId="1" fillId="0" borderId="46" xfId="54" applyFont="1" applyBorder="1" applyAlignment="1">
      <alignment horizontal="center" vertical="center"/>
    </xf>
    <xf numFmtId="0" fontId="2" fillId="0" borderId="45" xfId="54" applyFont="1" applyBorder="1" applyAlignment="1">
      <alignment horizontal="center" vertical="center"/>
    </xf>
    <xf numFmtId="0" fontId="2" fillId="0" borderId="87" xfId="54" applyFont="1" applyBorder="1" applyAlignment="1">
      <alignment horizontal="center" vertical="center"/>
    </xf>
    <xf numFmtId="0" fontId="2" fillId="0" borderId="46" xfId="54" applyFont="1" applyBorder="1" applyAlignment="1">
      <alignment horizontal="center" vertical="center"/>
    </xf>
    <xf numFmtId="0" fontId="126" fillId="0" borderId="27" xfId="54" applyFont="1" applyBorder="1" applyAlignment="1">
      <alignment horizontal="center"/>
    </xf>
    <xf numFmtId="0" fontId="126" fillId="0" borderId="35" xfId="54" applyFont="1" applyBorder="1" applyAlignment="1">
      <alignment horizontal="center"/>
    </xf>
    <xf numFmtId="0" fontId="126" fillId="0" borderId="19" xfId="54" applyFont="1" applyBorder="1" applyAlignment="1">
      <alignment horizontal="center"/>
    </xf>
    <xf numFmtId="0" fontId="147" fillId="0" borderId="25" xfId="54" applyFont="1" applyBorder="1" applyAlignment="1">
      <alignment horizontal="left" vertical="center" indent="2"/>
    </xf>
    <xf numFmtId="0" fontId="147" fillId="0" borderId="0" xfId="54" applyFont="1" applyBorder="1" applyAlignment="1">
      <alignment horizontal="left" vertical="center" indent="2"/>
    </xf>
    <xf numFmtId="0" fontId="147" fillId="0" borderId="20" xfId="54" applyFont="1" applyBorder="1" applyAlignment="1">
      <alignment horizontal="left" vertical="center" indent="2"/>
    </xf>
    <xf numFmtId="0" fontId="147" fillId="0" borderId="115" xfId="54" applyFont="1" applyBorder="1" applyAlignment="1">
      <alignment horizontal="left" vertical="center" indent="2"/>
    </xf>
    <xf numFmtId="0" fontId="147" fillId="0" borderId="86" xfId="54" applyFont="1" applyBorder="1" applyAlignment="1">
      <alignment horizontal="left" vertical="center" indent="2"/>
    </xf>
    <xf numFmtId="0" fontId="147" fillId="0" borderId="116" xfId="54" applyFont="1" applyBorder="1" applyAlignment="1">
      <alignment horizontal="left" vertical="center" indent="2"/>
    </xf>
    <xf numFmtId="0" fontId="126" fillId="0" borderId="117" xfId="54" applyFont="1" applyFill="1" applyBorder="1" applyAlignment="1">
      <alignment horizontal="center"/>
    </xf>
    <xf numFmtId="0" fontId="126" fillId="0" borderId="83" xfId="54" applyFont="1" applyFill="1" applyBorder="1" applyAlignment="1">
      <alignment horizontal="center"/>
    </xf>
    <xf numFmtId="0" fontId="126" fillId="0" borderId="118" xfId="54" applyFont="1" applyFill="1" applyBorder="1" applyAlignment="1">
      <alignment horizontal="center"/>
    </xf>
    <xf numFmtId="0" fontId="126" fillId="0" borderId="25" xfId="54" applyFont="1" applyFill="1" applyBorder="1" applyAlignment="1">
      <alignment horizontal="center"/>
    </xf>
    <xf numFmtId="0" fontId="115" fillId="17" borderId="0" xfId="54" applyFont="1" applyFill="1" applyBorder="1" applyAlignment="1">
      <alignment horizontal="center" vertical="justify"/>
    </xf>
    <xf numFmtId="0" fontId="104" fillId="0" borderId="20" xfId="54" applyFill="1" applyBorder="1" applyAlignment="1">
      <alignment horizontal="center"/>
    </xf>
    <xf numFmtId="0" fontId="2" fillId="0" borderId="25" xfId="54" applyFont="1" applyBorder="1" applyAlignment="1">
      <alignment horizontal="center"/>
    </xf>
    <xf numFmtId="0" fontId="1" fillId="0" borderId="20" xfId="54" applyFont="1" applyBorder="1" applyAlignment="1">
      <alignment horizontal="center"/>
    </xf>
    <xf numFmtId="0" fontId="147" fillId="0" borderId="117" xfId="54" applyFont="1" applyBorder="1" applyAlignment="1">
      <alignment horizontal="left" vertical="center" indent="2"/>
    </xf>
    <xf numFmtId="0" fontId="147" fillId="0" borderId="83" xfId="54" applyFont="1" applyBorder="1" applyAlignment="1">
      <alignment horizontal="left" vertical="center" indent="2"/>
    </xf>
    <xf numFmtId="0" fontId="147" fillId="0" borderId="118" xfId="54" applyFont="1" applyBorder="1" applyAlignment="1">
      <alignment horizontal="left" vertical="center" indent="2"/>
    </xf>
    <xf numFmtId="0" fontId="115" fillId="0" borderId="25" xfId="54" applyFont="1" applyBorder="1" applyAlignment="1">
      <alignment horizontal="center"/>
    </xf>
    <xf numFmtId="0" fontId="115" fillId="0" borderId="0" xfId="54" applyFont="1" applyBorder="1" applyAlignment="1">
      <alignment horizontal="center"/>
    </xf>
    <xf numFmtId="0" fontId="115" fillId="0" borderId="23" xfId="54" applyFont="1" applyBorder="1" applyAlignment="1">
      <alignment horizontal="center"/>
    </xf>
    <xf numFmtId="0" fontId="109" fillId="0" borderId="48" xfId="54" applyFont="1" applyBorder="1" applyAlignment="1">
      <alignment horizontal="center"/>
    </xf>
    <xf numFmtId="0" fontId="109" fillId="0" borderId="0" xfId="54" applyFont="1" applyBorder="1" applyAlignment="1">
      <alignment horizontal="center"/>
    </xf>
    <xf numFmtId="0" fontId="109" fillId="0" borderId="20" xfId="54" applyFont="1" applyBorder="1" applyAlignment="1">
      <alignment horizontal="center"/>
    </xf>
    <xf numFmtId="0" fontId="126" fillId="0" borderId="25" xfId="54" applyFont="1" applyBorder="1" applyAlignment="1">
      <alignment horizontal="center"/>
    </xf>
    <xf numFmtId="0" fontId="126" fillId="0" borderId="0" xfId="54" applyFont="1" applyBorder="1" applyAlignment="1">
      <alignment horizontal="center"/>
    </xf>
    <xf numFmtId="0" fontId="126" fillId="0" borderId="23" xfId="54" applyFont="1" applyBorder="1" applyAlignment="1">
      <alignment horizontal="center"/>
    </xf>
    <xf numFmtId="0" fontId="126" fillId="0" borderId="48" xfId="54" applyFont="1" applyBorder="1" applyAlignment="1">
      <alignment horizontal="center"/>
    </xf>
    <xf numFmtId="0" fontId="126" fillId="0" borderId="20" xfId="54" applyFont="1" applyBorder="1" applyAlignment="1">
      <alignment horizontal="center"/>
    </xf>
    <xf numFmtId="0" fontId="113" fillId="0" borderId="115" xfId="54" applyFont="1" applyBorder="1" applyAlignment="1">
      <alignment horizontal="center"/>
    </xf>
    <xf numFmtId="0" fontId="113" fillId="0" borderId="86" xfId="54" applyFont="1" applyBorder="1" applyAlignment="1">
      <alignment horizontal="center"/>
    </xf>
    <xf numFmtId="0" fontId="113" fillId="0" borderId="49" xfId="54" applyFont="1" applyBorder="1" applyAlignment="1">
      <alignment horizontal="center"/>
    </xf>
    <xf numFmtId="0" fontId="113" fillId="0" borderId="85" xfId="54" applyFont="1" applyBorder="1" applyAlignment="1">
      <alignment horizontal="center"/>
    </xf>
    <xf numFmtId="0" fontId="113" fillId="0" borderId="116" xfId="54" applyFont="1" applyBorder="1" applyAlignment="1">
      <alignment horizontal="center"/>
    </xf>
    <xf numFmtId="0" fontId="1" fillId="0" borderId="25" xfId="54" applyFont="1" applyBorder="1" applyAlignment="1">
      <alignment horizontal="center"/>
    </xf>
    <xf numFmtId="0" fontId="126" fillId="0" borderId="47" xfId="54" applyFont="1" applyBorder="1" applyAlignment="1">
      <alignment horizontal="center"/>
    </xf>
    <xf numFmtId="0" fontId="126" fillId="0" borderId="83" xfId="54" applyFont="1" applyBorder="1" applyAlignment="1">
      <alignment horizontal="center"/>
    </xf>
    <xf numFmtId="0" fontId="126" fillId="0" borderId="118" xfId="54" applyFont="1" applyBorder="1" applyAlignment="1">
      <alignment horizontal="center"/>
    </xf>
    <xf numFmtId="0" fontId="2" fillId="0" borderId="45" xfId="54" applyFont="1" applyBorder="1" applyAlignment="1">
      <alignment horizontal="left" vertical="center" indent="2"/>
    </xf>
    <xf numFmtId="0" fontId="2" fillId="0" borderId="87" xfId="54" applyFont="1" applyBorder="1" applyAlignment="1">
      <alignment horizontal="left" vertical="center" indent="2"/>
    </xf>
    <xf numFmtId="0" fontId="2" fillId="0" borderId="46" xfId="54" applyFont="1" applyBorder="1" applyAlignment="1">
      <alignment horizontal="left" vertical="center" indent="2"/>
    </xf>
    <xf numFmtId="0" fontId="115" fillId="0" borderId="25" xfId="54" applyFont="1" applyBorder="1" applyAlignment="1">
      <alignment horizontal="left" vertical="center" indent="1"/>
    </xf>
    <xf numFmtId="0" fontId="115" fillId="0" borderId="0" xfId="54" applyFont="1" applyBorder="1" applyAlignment="1">
      <alignment horizontal="left" vertical="center" indent="1"/>
    </xf>
    <xf numFmtId="0" fontId="115" fillId="0" borderId="23" xfId="54" applyFont="1" applyBorder="1" applyAlignment="1">
      <alignment horizontal="left" vertical="center" indent="1"/>
    </xf>
    <xf numFmtId="196" fontId="2" fillId="0" borderId="45" xfId="54" applyNumberFormat="1" applyFont="1" applyBorder="1" applyAlignment="1">
      <alignment horizontal="center" vertical="center"/>
    </xf>
    <xf numFmtId="196" fontId="2" fillId="0" borderId="87" xfId="54" applyNumberFormat="1" applyFont="1" applyBorder="1" applyAlignment="1">
      <alignment horizontal="center" vertical="center"/>
    </xf>
    <xf numFmtId="196" fontId="2" fillId="0" borderId="46" xfId="54" applyNumberFormat="1" applyFont="1" applyBorder="1" applyAlignment="1">
      <alignment horizontal="center" vertical="center"/>
    </xf>
    <xf numFmtId="0" fontId="126" fillId="0" borderId="85" xfId="54" applyFont="1" applyBorder="1" applyAlignment="1">
      <alignment horizontal="center"/>
    </xf>
    <xf numFmtId="0" fontId="126" fillId="0" borderId="86" xfId="54" applyFont="1" applyBorder="1" applyAlignment="1">
      <alignment horizontal="center"/>
    </xf>
    <xf numFmtId="0" fontId="126" fillId="0" borderId="116" xfId="54" applyFont="1" applyBorder="1" applyAlignment="1">
      <alignment horizontal="center"/>
    </xf>
    <xf numFmtId="0" fontId="116" fillId="0" borderId="45" xfId="54" applyFont="1" applyBorder="1" applyAlignment="1">
      <alignment horizontal="center"/>
    </xf>
    <xf numFmtId="0" fontId="116" fillId="0" borderId="87" xfId="54" applyFont="1" applyBorder="1" applyAlignment="1">
      <alignment horizontal="center"/>
    </xf>
    <xf numFmtId="0" fontId="116" fillId="0" borderId="46" xfId="54" applyFont="1" applyBorder="1" applyAlignment="1">
      <alignment horizontal="center"/>
    </xf>
    <xf numFmtId="0" fontId="124" fillId="0" borderId="25" xfId="54" applyFont="1" applyBorder="1" applyAlignment="1">
      <alignment horizontal="left" vertical="center" indent="1"/>
    </xf>
    <xf numFmtId="0" fontId="124" fillId="0" borderId="0" xfId="54" applyFont="1" applyBorder="1" applyAlignment="1">
      <alignment horizontal="left" vertical="center" indent="1"/>
    </xf>
    <xf numFmtId="0" fontId="124" fillId="0" borderId="20" xfId="54" applyFont="1" applyBorder="1" applyAlignment="1">
      <alignment horizontal="left" vertical="center" indent="1"/>
    </xf>
    <xf numFmtId="0" fontId="124" fillId="17" borderId="146" xfId="54" applyFont="1" applyFill="1" applyBorder="1" applyAlignment="1">
      <alignment horizontal="center"/>
    </xf>
    <xf numFmtId="0" fontId="124" fillId="17" borderId="147" xfId="54" applyFont="1" applyFill="1" applyBorder="1" applyAlignment="1">
      <alignment horizontal="center"/>
    </xf>
    <xf numFmtId="0" fontId="105" fillId="17" borderId="83" xfId="54" applyFont="1" applyFill="1" applyBorder="1" applyAlignment="1">
      <alignment horizontal="center"/>
    </xf>
    <xf numFmtId="0" fontId="105" fillId="17" borderId="84" xfId="54" applyFont="1" applyFill="1" applyBorder="1" applyAlignment="1">
      <alignment horizontal="center"/>
    </xf>
    <xf numFmtId="0" fontId="105" fillId="17" borderId="0" xfId="54" applyFont="1" applyFill="1" applyBorder="1" applyAlignment="1">
      <alignment horizontal="center"/>
    </xf>
    <xf numFmtId="0" fontId="105" fillId="17" borderId="23" xfId="54" applyFont="1" applyFill="1" applyBorder="1" applyAlignment="1">
      <alignment horizontal="center"/>
    </xf>
    <xf numFmtId="0" fontId="146" fillId="17" borderId="47" xfId="54" applyFont="1" applyFill="1" applyBorder="1" applyAlignment="1">
      <alignment horizontal="left"/>
    </xf>
    <xf numFmtId="0" fontId="146" fillId="17" borderId="83" xfId="54" applyFont="1" applyFill="1" applyBorder="1" applyAlignment="1">
      <alignment horizontal="left"/>
    </xf>
    <xf numFmtId="0" fontId="146" fillId="17" borderId="118" xfId="54" applyFont="1" applyFill="1" applyBorder="1" applyAlignment="1">
      <alignment horizontal="left"/>
    </xf>
    <xf numFmtId="0" fontId="143" fillId="15" borderId="148" xfId="54" applyFont="1" applyFill="1" applyBorder="1" applyAlignment="1">
      <alignment horizontal="center"/>
    </xf>
    <xf numFmtId="0" fontId="143" fillId="15" borderId="149" xfId="54" applyFont="1" applyFill="1" applyBorder="1" applyAlignment="1">
      <alignment horizontal="center"/>
    </xf>
    <xf numFmtId="0" fontId="143" fillId="15" borderId="48" xfId="54" applyFont="1" applyFill="1" applyBorder="1" applyAlignment="1">
      <alignment horizontal="center"/>
    </xf>
    <xf numFmtId="0" fontId="143" fillId="15" borderId="0" xfId="54" applyFont="1" applyFill="1" applyBorder="1" applyAlignment="1">
      <alignment horizontal="center"/>
    </xf>
    <xf numFmtId="0" fontId="105" fillId="17" borderId="20" xfId="54" applyFont="1" applyFill="1" applyBorder="1" applyAlignment="1">
      <alignment horizontal="center"/>
    </xf>
    <xf numFmtId="3" fontId="131" fillId="0" borderId="45" xfId="54" applyNumberFormat="1" applyFont="1" applyBorder="1" applyAlignment="1">
      <alignment horizontal="center" vertical="center"/>
    </xf>
    <xf numFmtId="3" fontId="131" fillId="0" borderId="87" xfId="54" applyNumberFormat="1" applyFont="1" applyBorder="1" applyAlignment="1">
      <alignment horizontal="center" vertical="center"/>
    </xf>
    <xf numFmtId="3" fontId="131" fillId="0" borderId="46" xfId="54" applyNumberFormat="1" applyFont="1" applyBorder="1" applyAlignment="1">
      <alignment horizontal="center" vertical="center"/>
    </xf>
    <xf numFmtId="0" fontId="126" fillId="0" borderId="25" xfId="54" applyFont="1" applyBorder="1" applyAlignment="1">
      <alignment horizontal="right"/>
    </xf>
    <xf numFmtId="0" fontId="126" fillId="0" borderId="0" xfId="54" applyFont="1" applyBorder="1" applyAlignment="1">
      <alignment horizontal="right"/>
    </xf>
    <xf numFmtId="0" fontId="144" fillId="0" borderId="115" xfId="54" applyFont="1" applyBorder="1" applyAlignment="1">
      <alignment horizontal="left" vertical="center" indent="1"/>
    </xf>
    <xf numFmtId="0" fontId="144" fillId="0" borderId="86" xfId="54" applyFont="1" applyBorder="1" applyAlignment="1">
      <alignment horizontal="left" vertical="center" indent="1"/>
    </xf>
    <xf numFmtId="0" fontId="144" fillId="0" borderId="116" xfId="54" applyFont="1" applyBorder="1" applyAlignment="1">
      <alignment horizontal="left" vertical="center" indent="1"/>
    </xf>
    <xf numFmtId="0" fontId="143" fillId="26" borderId="117" xfId="54" applyFont="1" applyFill="1" applyBorder="1" applyAlignment="1">
      <alignment horizontal="center"/>
    </xf>
    <xf numFmtId="0" fontId="143" fillId="26" borderId="83" xfId="54" applyFont="1" applyFill="1" applyBorder="1" applyAlignment="1">
      <alignment horizontal="center"/>
    </xf>
    <xf numFmtId="0" fontId="2" fillId="17" borderId="83" xfId="54" applyFont="1" applyFill="1" applyBorder="1" applyAlignment="1">
      <alignment horizontal="center" vertical="center"/>
    </xf>
    <xf numFmtId="0" fontId="2" fillId="17" borderId="118" xfId="54" applyFont="1" applyFill="1" applyBorder="1" applyAlignment="1">
      <alignment horizontal="center" vertical="center"/>
    </xf>
    <xf numFmtId="0" fontId="2" fillId="0" borderId="25" xfId="54" applyFont="1" applyBorder="1" applyAlignment="1">
      <alignment horizontal="left"/>
    </xf>
    <xf numFmtId="0" fontId="2" fillId="0" borderId="0" xfId="54" applyFont="1" applyBorder="1" applyAlignment="1">
      <alignment horizontal="left"/>
    </xf>
    <xf numFmtId="0" fontId="2" fillId="0" borderId="20" xfId="54" applyFont="1" applyBorder="1" applyAlignment="1">
      <alignment horizontal="left"/>
    </xf>
    <xf numFmtId="0" fontId="115" fillId="0" borderId="25" xfId="54" applyFont="1" applyBorder="1" applyAlignment="1">
      <alignment horizontal="right"/>
    </xf>
    <xf numFmtId="0" fontId="115" fillId="0" borderId="0" xfId="54" applyFont="1" applyBorder="1" applyAlignment="1">
      <alignment horizontal="right"/>
    </xf>
    <xf numFmtId="3" fontId="2" fillId="0" borderId="45" xfId="54" applyNumberFormat="1" applyFont="1" applyBorder="1" applyAlignment="1">
      <alignment horizontal="center" vertical="center"/>
    </xf>
    <xf numFmtId="0" fontId="126" fillId="0" borderId="115" xfId="54" applyFont="1" applyBorder="1" applyAlignment="1">
      <alignment horizontal="center"/>
    </xf>
    <xf numFmtId="0" fontId="144" fillId="0" borderId="25" xfId="54" applyFont="1" applyBorder="1" applyAlignment="1">
      <alignment horizontal="left" vertical="center" indent="1"/>
    </xf>
    <xf numFmtId="0" fontId="144" fillId="0" borderId="0" xfId="54" applyFont="1" applyBorder="1" applyAlignment="1">
      <alignment horizontal="left" vertical="center" indent="1"/>
    </xf>
    <xf numFmtId="0" fontId="144" fillId="0" borderId="20" xfId="54" applyFont="1" applyBorder="1" applyAlignment="1">
      <alignment horizontal="left" vertical="center" indent="1"/>
    </xf>
    <xf numFmtId="0" fontId="1" fillId="0" borderId="25" xfId="54" applyFont="1" applyBorder="1" applyAlignment="1">
      <alignment horizontal="left"/>
    </xf>
    <xf numFmtId="0" fontId="1" fillId="0" borderId="0" xfId="54" applyFont="1" applyBorder="1" applyAlignment="1">
      <alignment horizontal="left"/>
    </xf>
    <xf numFmtId="0" fontId="1" fillId="0" borderId="23" xfId="54" applyFont="1" applyBorder="1" applyAlignment="1">
      <alignment horizontal="left"/>
    </xf>
    <xf numFmtId="0" fontId="2" fillId="0" borderId="45" xfId="54" applyFont="1" applyBorder="1" applyAlignment="1">
      <alignment horizontal="left"/>
    </xf>
    <xf numFmtId="0" fontId="2" fillId="0" borderId="87" xfId="54" applyFont="1" applyBorder="1" applyAlignment="1">
      <alignment horizontal="left"/>
    </xf>
    <xf numFmtId="0" fontId="2" fillId="0" borderId="46" xfId="54" applyFont="1" applyBorder="1" applyAlignment="1">
      <alignment horizontal="left"/>
    </xf>
    <xf numFmtId="0" fontId="1" fillId="0" borderId="48" xfId="54" applyFont="1" applyBorder="1" applyAlignment="1">
      <alignment horizontal="right"/>
    </xf>
    <xf numFmtId="0" fontId="1" fillId="0" borderId="0" xfId="54" applyFont="1" applyBorder="1" applyAlignment="1">
      <alignment horizontal="right"/>
    </xf>
    <xf numFmtId="0" fontId="104" fillId="0" borderId="0" xfId="54" applyBorder="1" applyAlignment="1">
      <alignment horizontal="center"/>
    </xf>
    <xf numFmtId="0" fontId="104" fillId="0" borderId="23" xfId="54" applyBorder="1" applyAlignment="1">
      <alignment horizontal="center"/>
    </xf>
    <xf numFmtId="0" fontId="2" fillId="0" borderId="45" xfId="54" applyFont="1" applyBorder="1" applyAlignment="1">
      <alignment horizontal="center"/>
    </xf>
    <xf numFmtId="0" fontId="2" fillId="0" borderId="87" xfId="54" applyFont="1" applyBorder="1" applyAlignment="1">
      <alignment horizontal="center"/>
    </xf>
    <xf numFmtId="0" fontId="2" fillId="0" borderId="46" xfId="54" applyFont="1" applyBorder="1" applyAlignment="1">
      <alignment horizontal="center"/>
    </xf>
    <xf numFmtId="49" fontId="2" fillId="0" borderId="45" xfId="54" applyNumberFormat="1" applyFont="1" applyBorder="1" applyAlignment="1">
      <alignment horizontal="center"/>
    </xf>
    <xf numFmtId="49" fontId="2" fillId="0" borderId="87" xfId="54" applyNumberFormat="1" applyFont="1" applyBorder="1" applyAlignment="1">
      <alignment horizontal="center"/>
    </xf>
    <xf numFmtId="49" fontId="2" fillId="0" borderId="46" xfId="54" applyNumberFormat="1" applyFont="1" applyBorder="1" applyAlignment="1">
      <alignment horizontal="center"/>
    </xf>
    <xf numFmtId="0" fontId="105" fillId="0" borderId="25" xfId="54" applyFont="1" applyBorder="1" applyAlignment="1">
      <alignment horizontal="left"/>
    </xf>
    <xf numFmtId="0" fontId="105" fillId="0" borderId="0" xfId="54" applyFont="1" applyBorder="1" applyAlignment="1">
      <alignment horizontal="left"/>
    </xf>
    <xf numFmtId="0" fontId="105" fillId="0" borderId="20" xfId="54" applyFont="1" applyBorder="1" applyAlignment="1">
      <alignment horizontal="left"/>
    </xf>
    <xf numFmtId="0" fontId="135" fillId="0" borderId="25" xfId="54" applyFont="1" applyBorder="1" applyAlignment="1">
      <alignment horizontal="center"/>
    </xf>
    <xf numFmtId="0" fontId="135" fillId="0" borderId="0" xfId="54" applyFont="1" applyBorder="1" applyAlignment="1">
      <alignment horizontal="center"/>
    </xf>
    <xf numFmtId="0" fontId="142" fillId="0" borderId="0" xfId="54" applyFont="1" applyBorder="1" applyAlignment="1">
      <alignment horizontal="left"/>
    </xf>
    <xf numFmtId="3" fontId="2" fillId="0" borderId="2" xfId="54" applyNumberFormat="1" applyFont="1" applyBorder="1" applyAlignment="1">
      <alignment horizontal="center"/>
    </xf>
    <xf numFmtId="0" fontId="105" fillId="0" borderId="115" xfId="54" applyFont="1" applyBorder="1" applyAlignment="1">
      <alignment horizontal="center"/>
    </xf>
    <xf numFmtId="0" fontId="105" fillId="0" borderId="86" xfId="54" applyFont="1" applyBorder="1" applyAlignment="1">
      <alignment horizontal="center"/>
    </xf>
    <xf numFmtId="0" fontId="105" fillId="0" borderId="116" xfId="54" applyFont="1" applyBorder="1" applyAlignment="1">
      <alignment horizontal="center"/>
    </xf>
    <xf numFmtId="0" fontId="104" fillId="0" borderId="0" xfId="54" applyBorder="1"/>
    <xf numFmtId="0" fontId="104" fillId="0" borderId="20" xfId="54" applyBorder="1"/>
    <xf numFmtId="3" fontId="2" fillId="0" borderId="45" xfId="54" applyNumberFormat="1" applyFont="1" applyBorder="1" applyAlignment="1">
      <alignment horizontal="right"/>
    </xf>
    <xf numFmtId="0" fontId="2" fillId="0" borderId="87" xfId="54" applyFont="1" applyBorder="1" applyAlignment="1">
      <alignment horizontal="right"/>
    </xf>
    <xf numFmtId="0" fontId="2" fillId="0" borderId="46" xfId="54" applyFont="1" applyBorder="1" applyAlignment="1">
      <alignment horizontal="right"/>
    </xf>
    <xf numFmtId="0" fontId="104" fillId="0" borderId="48" xfId="54" applyBorder="1" applyAlignment="1">
      <alignment horizontal="center"/>
    </xf>
    <xf numFmtId="0" fontId="135" fillId="0" borderId="48" xfId="54" applyFont="1" applyBorder="1" applyAlignment="1">
      <alignment horizontal="center"/>
    </xf>
    <xf numFmtId="0" fontId="2" fillId="0" borderId="0" xfId="54" applyFont="1" applyBorder="1" applyAlignment="1">
      <alignment horizontal="center"/>
    </xf>
    <xf numFmtId="0" fontId="107" fillId="0" borderId="25" xfId="54" applyFont="1" applyFill="1" applyBorder="1" applyAlignment="1">
      <alignment horizontal="center"/>
    </xf>
    <xf numFmtId="0" fontId="107" fillId="0" borderId="0" xfId="54" applyFont="1" applyFill="1" applyBorder="1" applyAlignment="1">
      <alignment horizontal="center"/>
    </xf>
    <xf numFmtId="0" fontId="107" fillId="0" borderId="20" xfId="54" applyFont="1" applyFill="1" applyBorder="1" applyAlignment="1">
      <alignment horizontal="center"/>
    </xf>
    <xf numFmtId="0" fontId="2" fillId="0" borderId="2" xfId="54" applyFont="1" applyBorder="1" applyAlignment="1">
      <alignment horizontal="left"/>
    </xf>
    <xf numFmtId="0" fontId="135" fillId="0" borderId="20" xfId="54" applyFont="1" applyBorder="1" applyAlignment="1">
      <alignment horizontal="center"/>
    </xf>
    <xf numFmtId="0" fontId="2" fillId="0" borderId="2" xfId="54" applyFont="1" applyBorder="1" applyAlignment="1">
      <alignment horizontal="center"/>
    </xf>
    <xf numFmtId="0" fontId="104" fillId="0" borderId="20" xfId="54" applyBorder="1" applyAlignment="1">
      <alignment horizontal="center"/>
    </xf>
    <xf numFmtId="0" fontId="113" fillId="0" borderId="139" xfId="54" applyFont="1" applyBorder="1" applyAlignment="1">
      <alignment horizontal="left"/>
    </xf>
    <xf numFmtId="0" fontId="113" fillId="0" borderId="87" xfId="54" applyFont="1" applyBorder="1" applyAlignment="1">
      <alignment horizontal="left"/>
    </xf>
    <xf numFmtId="0" fontId="113" fillId="0" borderId="138" xfId="54" applyFont="1" applyBorder="1" applyAlignment="1">
      <alignment horizontal="left"/>
    </xf>
    <xf numFmtId="0" fontId="135" fillId="0" borderId="140" xfId="54" applyFont="1" applyBorder="1" applyAlignment="1">
      <alignment horizontal="center"/>
    </xf>
    <xf numFmtId="0" fontId="135" fillId="0" borderId="141" xfId="54" applyFont="1" applyBorder="1" applyAlignment="1">
      <alignment horizontal="center"/>
    </xf>
    <xf numFmtId="3" fontId="2" fillId="0" borderId="142" xfId="54" applyNumberFormat="1" applyFont="1" applyBorder="1" applyAlignment="1">
      <alignment horizontal="right"/>
    </xf>
    <xf numFmtId="3" fontId="2" fillId="0" borderId="141" xfId="54" applyNumberFormat="1" applyFont="1" applyBorder="1" applyAlignment="1">
      <alignment horizontal="right"/>
    </xf>
    <xf numFmtId="3" fontId="2" fillId="0" borderId="143" xfId="54" applyNumberFormat="1" applyFont="1" applyBorder="1" applyAlignment="1">
      <alignment horizontal="right"/>
    </xf>
    <xf numFmtId="0" fontId="104" fillId="0" borderId="142" xfId="54" applyBorder="1" applyAlignment="1">
      <alignment horizontal="center"/>
    </xf>
    <xf numFmtId="0" fontId="104" fillId="0" borderId="141" xfId="54" applyBorder="1" applyAlignment="1">
      <alignment horizontal="center"/>
    </xf>
    <xf numFmtId="0" fontId="104" fillId="0" borderId="144" xfId="54" applyBorder="1" applyAlignment="1">
      <alignment horizontal="center"/>
    </xf>
    <xf numFmtId="0" fontId="135" fillId="0" borderId="11" xfId="54" applyFont="1" applyBorder="1" applyAlignment="1">
      <alignment horizontal="center"/>
    </xf>
    <xf numFmtId="0" fontId="135" fillId="0" borderId="67" xfId="54" applyFont="1" applyBorder="1" applyAlignment="1">
      <alignment horizontal="center"/>
    </xf>
    <xf numFmtId="0" fontId="135" fillId="0" borderId="52" xfId="54" applyFont="1" applyBorder="1" applyAlignment="1">
      <alignment horizontal="center"/>
    </xf>
    <xf numFmtId="0" fontId="2" fillId="17" borderId="34" xfId="54" applyFont="1" applyFill="1" applyBorder="1" applyAlignment="1">
      <alignment horizontal="center" vertical="center"/>
    </xf>
    <xf numFmtId="0" fontId="1" fillId="17" borderId="34" xfId="54" applyFont="1" applyFill="1" applyBorder="1" applyAlignment="1">
      <alignment horizontal="center" vertical="center"/>
    </xf>
    <xf numFmtId="0" fontId="1" fillId="17" borderId="114" xfId="54" applyFont="1" applyFill="1" applyBorder="1" applyAlignment="1">
      <alignment horizontal="center" vertical="center"/>
    </xf>
    <xf numFmtId="0" fontId="136" fillId="0" borderId="25" xfId="54" applyFont="1" applyBorder="1" applyAlignment="1">
      <alignment horizontal="left" vertical="justify" indent="1"/>
    </xf>
    <xf numFmtId="0" fontId="136" fillId="0" borderId="0" xfId="54" applyFont="1" applyBorder="1" applyAlignment="1">
      <alignment horizontal="left" vertical="justify" indent="1"/>
    </xf>
    <xf numFmtId="0" fontId="136" fillId="0" borderId="23" xfId="54" applyFont="1" applyBorder="1" applyAlignment="1">
      <alignment horizontal="left" vertical="justify" indent="1"/>
    </xf>
    <xf numFmtId="0" fontId="104" fillId="0" borderId="86" xfId="54" applyBorder="1" applyAlignment="1">
      <alignment horizontal="center"/>
    </xf>
    <xf numFmtId="0" fontId="105" fillId="0" borderId="85" xfId="54" applyFont="1" applyBorder="1" applyAlignment="1">
      <alignment horizontal="center"/>
    </xf>
    <xf numFmtId="0" fontId="105" fillId="0" borderId="49" xfId="54" applyFont="1" applyBorder="1" applyAlignment="1">
      <alignment horizontal="center"/>
    </xf>
    <xf numFmtId="0" fontId="135" fillId="0" borderId="45" xfId="54" applyFont="1" applyBorder="1" applyAlignment="1">
      <alignment horizontal="left" vertical="center"/>
    </xf>
    <xf numFmtId="0" fontId="135" fillId="0" borderId="87" xfId="54" applyFont="1" applyBorder="1" applyAlignment="1">
      <alignment horizontal="left" vertical="center"/>
    </xf>
    <xf numFmtId="0" fontId="135" fillId="0" borderId="46" xfId="54" applyFont="1" applyBorder="1" applyAlignment="1">
      <alignment horizontal="left" vertical="center"/>
    </xf>
    <xf numFmtId="0" fontId="140" fillId="15" borderId="45" xfId="54" applyFont="1" applyFill="1" applyBorder="1" applyAlignment="1">
      <alignment horizontal="center" vertical="center"/>
    </xf>
    <xf numFmtId="0" fontId="140" fillId="15" borderId="87" xfId="54" applyFont="1" applyFill="1" applyBorder="1" applyAlignment="1">
      <alignment horizontal="center" vertical="center"/>
    </xf>
    <xf numFmtId="0" fontId="104" fillId="0" borderId="45" xfId="54" applyBorder="1" applyAlignment="1">
      <alignment horizontal="center"/>
    </xf>
    <xf numFmtId="0" fontId="104" fillId="0" borderId="87" xfId="54" applyBorder="1" applyAlignment="1">
      <alignment horizontal="center"/>
    </xf>
    <xf numFmtId="0" fontId="104" fillId="0" borderId="138" xfId="54" applyBorder="1" applyAlignment="1">
      <alignment horizontal="center"/>
    </xf>
    <xf numFmtId="0" fontId="136" fillId="0" borderId="135" xfId="54" applyFont="1" applyBorder="1" applyAlignment="1">
      <alignment horizontal="left" vertical="justify" indent="1"/>
    </xf>
    <xf numFmtId="0" fontId="136" fillId="0" borderId="103" xfId="54" applyFont="1" applyBorder="1" applyAlignment="1">
      <alignment horizontal="left" vertical="justify" indent="1"/>
    </xf>
    <xf numFmtId="0" fontId="136" fillId="0" borderId="104" xfId="54" applyFont="1" applyBorder="1" applyAlignment="1">
      <alignment horizontal="left" vertical="justify" indent="1"/>
    </xf>
    <xf numFmtId="3" fontId="2" fillId="0" borderId="133" xfId="54" applyNumberFormat="1" applyFont="1" applyBorder="1" applyAlignment="1">
      <alignment horizontal="right" vertical="center"/>
    </xf>
    <xf numFmtId="3" fontId="140" fillId="15" borderId="48" xfId="54" applyNumberFormat="1" applyFont="1" applyFill="1" applyBorder="1" applyAlignment="1">
      <alignment horizontal="center" vertical="center"/>
    </xf>
    <xf numFmtId="3" fontId="140" fillId="15" borderId="0" xfId="54" applyNumberFormat="1" applyFont="1" applyFill="1" applyBorder="1" applyAlignment="1">
      <alignment horizontal="center" vertical="center"/>
    </xf>
    <xf numFmtId="3" fontId="2" fillId="0" borderId="134" xfId="54" applyNumberFormat="1" applyFont="1" applyBorder="1" applyAlignment="1">
      <alignment horizontal="right" vertical="center"/>
    </xf>
    <xf numFmtId="0" fontId="105" fillId="0" borderId="25" xfId="54" applyFont="1" applyBorder="1" applyAlignment="1">
      <alignment horizontal="center"/>
    </xf>
    <xf numFmtId="0" fontId="105" fillId="0" borderId="0" xfId="54" applyFont="1" applyBorder="1" applyAlignment="1">
      <alignment horizontal="center"/>
    </xf>
    <xf numFmtId="0" fontId="105" fillId="0" borderId="23" xfId="54" applyFont="1" applyBorder="1" applyAlignment="1">
      <alignment horizontal="center"/>
    </xf>
    <xf numFmtId="3" fontId="2" fillId="0" borderId="136" xfId="54" applyNumberFormat="1" applyFont="1" applyBorder="1" applyAlignment="1">
      <alignment horizontal="center" vertical="center"/>
    </xf>
    <xf numFmtId="3" fontId="2" fillId="0" borderId="136" xfId="54" applyNumberFormat="1" applyFont="1" applyBorder="1" applyAlignment="1">
      <alignment horizontal="right" vertical="center"/>
    </xf>
    <xf numFmtId="3" fontId="2" fillId="0" borderId="137" xfId="54" applyNumberFormat="1" applyFont="1" applyBorder="1" applyAlignment="1">
      <alignment horizontal="right" vertical="center"/>
    </xf>
    <xf numFmtId="0" fontId="136" fillId="0" borderId="132" xfId="54" applyFont="1" applyBorder="1" applyAlignment="1">
      <alignment horizontal="left" vertical="center" indent="1"/>
    </xf>
    <xf numFmtId="0" fontId="136" fillId="0" borderId="92" xfId="54" applyFont="1" applyBorder="1" applyAlignment="1">
      <alignment horizontal="left" vertical="center" indent="1"/>
    </xf>
    <xf numFmtId="0" fontId="136" fillId="0" borderId="93" xfId="54" applyFont="1" applyBorder="1" applyAlignment="1">
      <alignment horizontal="left" vertical="center" indent="1"/>
    </xf>
    <xf numFmtId="0" fontId="136" fillId="0" borderId="132" xfId="54" applyFont="1" applyBorder="1" applyAlignment="1">
      <alignment horizontal="left" vertical="justify" indent="1"/>
    </xf>
    <xf numFmtId="0" fontId="136" fillId="0" borderId="92" xfId="54" applyFont="1" applyBorder="1" applyAlignment="1">
      <alignment horizontal="left" vertical="justify" indent="1"/>
    </xf>
    <xf numFmtId="0" fontId="136" fillId="0" borderId="93" xfId="54" applyFont="1" applyBorder="1" applyAlignment="1">
      <alignment horizontal="left" vertical="justify" indent="1"/>
    </xf>
    <xf numFmtId="0" fontId="136" fillId="0" borderId="131" xfId="54" applyFont="1" applyFill="1" applyBorder="1" applyAlignment="1">
      <alignment horizontal="left" vertical="justify" indent="1"/>
    </xf>
    <xf numFmtId="0" fontId="136" fillId="0" borderId="110" xfId="54" applyFont="1" applyFill="1" applyBorder="1" applyAlignment="1">
      <alignment horizontal="left" vertical="justify" indent="1"/>
    </xf>
    <xf numFmtId="0" fontId="136" fillId="0" borderId="111" xfId="54" applyFont="1" applyFill="1" applyBorder="1" applyAlignment="1">
      <alignment horizontal="left" vertical="justify" indent="1"/>
    </xf>
    <xf numFmtId="3" fontId="2" fillId="0" borderId="109" xfId="54" applyNumberFormat="1" applyFont="1" applyBorder="1" applyAlignment="1">
      <alignment horizontal="right" vertical="center"/>
    </xf>
    <xf numFmtId="3" fontId="2" fillId="0" borderId="110" xfId="54" applyNumberFormat="1" applyFont="1" applyBorder="1" applyAlignment="1">
      <alignment horizontal="right" vertical="center"/>
    </xf>
    <xf numFmtId="3" fontId="2" fillId="0" borderId="111" xfId="54" applyNumberFormat="1" applyFont="1" applyBorder="1" applyAlignment="1">
      <alignment horizontal="right" vertical="center"/>
    </xf>
    <xf numFmtId="0" fontId="104" fillId="0" borderId="47" xfId="54" applyBorder="1" applyAlignment="1">
      <alignment horizontal="center" vertical="center"/>
    </xf>
    <xf numFmtId="0" fontId="104" fillId="0" borderId="83" xfId="54" applyBorder="1" applyAlignment="1">
      <alignment horizontal="center" vertical="center"/>
    </xf>
    <xf numFmtId="0" fontId="104" fillId="0" borderId="84" xfId="54" applyBorder="1" applyAlignment="1">
      <alignment horizontal="center" vertical="center"/>
    </xf>
    <xf numFmtId="0" fontId="104" fillId="0" borderId="48" xfId="54" applyBorder="1" applyAlignment="1">
      <alignment horizontal="center" vertical="center"/>
    </xf>
    <xf numFmtId="0" fontId="104" fillId="0" borderId="0" xfId="54" applyBorder="1" applyAlignment="1">
      <alignment horizontal="center" vertical="center"/>
    </xf>
    <xf numFmtId="0" fontId="104" fillId="0" borderId="23" xfId="54" applyBorder="1" applyAlignment="1">
      <alignment horizontal="center" vertical="center"/>
    </xf>
    <xf numFmtId="0" fontId="104" fillId="0" borderId="118" xfId="54" applyBorder="1" applyAlignment="1">
      <alignment horizontal="center" vertical="center"/>
    </xf>
    <xf numFmtId="3" fontId="104" fillId="0" borderId="48" xfId="54" applyNumberFormat="1" applyBorder="1" applyAlignment="1">
      <alignment horizontal="center" vertical="center"/>
    </xf>
    <xf numFmtId="3" fontId="104" fillId="0" borderId="0" xfId="54" applyNumberFormat="1" applyBorder="1" applyAlignment="1">
      <alignment horizontal="center" vertical="center"/>
    </xf>
    <xf numFmtId="3" fontId="104" fillId="0" borderId="23" xfId="54" applyNumberFormat="1" applyBorder="1" applyAlignment="1">
      <alignment horizontal="center" vertical="center"/>
    </xf>
    <xf numFmtId="3" fontId="2" fillId="0" borderId="133" xfId="54" applyNumberFormat="1" applyFont="1" applyFill="1" applyBorder="1" applyAlignment="1">
      <alignment horizontal="right" vertical="center"/>
    </xf>
    <xf numFmtId="3" fontId="2" fillId="0" borderId="134" xfId="54" applyNumberFormat="1" applyFont="1" applyFill="1" applyBorder="1" applyAlignment="1">
      <alignment horizontal="right" vertical="center"/>
    </xf>
    <xf numFmtId="3" fontId="104" fillId="0" borderId="20" xfId="54" applyNumberFormat="1" applyBorder="1" applyAlignment="1">
      <alignment horizontal="center" vertical="center"/>
    </xf>
    <xf numFmtId="0" fontId="104" fillId="0" borderId="25" xfId="54" applyBorder="1" applyAlignment="1">
      <alignment horizontal="center"/>
    </xf>
    <xf numFmtId="0" fontId="138" fillId="15" borderId="25" xfId="54" applyFont="1" applyFill="1" applyBorder="1" applyAlignment="1">
      <alignment horizontal="center"/>
    </xf>
    <xf numFmtId="0" fontId="138" fillId="15" borderId="0" xfId="54" applyFont="1" applyFill="1" applyBorder="1" applyAlignment="1">
      <alignment horizontal="center"/>
    </xf>
    <xf numFmtId="0" fontId="2" fillId="17" borderId="0" xfId="54" applyFont="1" applyFill="1" applyBorder="1" applyAlignment="1">
      <alignment horizontal="center" vertical="center"/>
    </xf>
    <xf numFmtId="0" fontId="2" fillId="17" borderId="20" xfId="54" applyFont="1" applyFill="1" applyBorder="1" applyAlignment="1">
      <alignment horizontal="center" vertical="center"/>
    </xf>
    <xf numFmtId="0" fontId="139" fillId="0" borderId="115" xfId="54" applyFont="1" applyBorder="1" applyAlignment="1">
      <alignment horizontal="center"/>
    </xf>
    <xf numFmtId="0" fontId="139" fillId="0" borderId="86" xfId="54" applyFont="1" applyBorder="1" applyAlignment="1">
      <alignment horizontal="center"/>
    </xf>
    <xf numFmtId="0" fontId="139" fillId="0" borderId="49" xfId="54" applyFont="1" applyBorder="1" applyAlignment="1">
      <alignment horizontal="center"/>
    </xf>
    <xf numFmtId="0" fontId="135" fillId="0" borderId="85" xfId="54" applyFont="1" applyBorder="1" applyAlignment="1">
      <alignment horizontal="center"/>
    </xf>
    <xf numFmtId="0" fontId="135" fillId="0" borderId="86" xfId="54" applyFont="1" applyBorder="1" applyAlignment="1">
      <alignment horizontal="center"/>
    </xf>
    <xf numFmtId="0" fontId="135" fillId="0" borderId="49" xfId="54" applyFont="1" applyBorder="1" applyAlignment="1">
      <alignment horizontal="center"/>
    </xf>
    <xf numFmtId="0" fontId="139" fillId="0" borderId="85" xfId="54" applyFont="1" applyBorder="1" applyAlignment="1">
      <alignment horizontal="center"/>
    </xf>
    <xf numFmtId="0" fontId="139" fillId="0" borderId="116" xfId="54" applyFont="1" applyBorder="1" applyAlignment="1">
      <alignment horizontal="center"/>
    </xf>
    <xf numFmtId="0" fontId="104" fillId="0" borderId="117" xfId="54" applyBorder="1" applyAlignment="1">
      <alignment horizontal="center"/>
    </xf>
    <xf numFmtId="0" fontId="104" fillId="0" borderId="83" xfId="54" applyBorder="1" applyAlignment="1">
      <alignment horizontal="center"/>
    </xf>
    <xf numFmtId="0" fontId="104" fillId="0" borderId="118" xfId="54" applyBorder="1" applyAlignment="1">
      <alignment horizontal="center"/>
    </xf>
    <xf numFmtId="0" fontId="137" fillId="15" borderId="25" xfId="54" applyFont="1" applyFill="1" applyBorder="1" applyAlignment="1">
      <alignment horizontal="center"/>
    </xf>
    <xf numFmtId="0" fontId="137" fillId="15" borderId="0" xfId="54" applyFont="1" applyFill="1" applyBorder="1" applyAlignment="1">
      <alignment horizontal="center"/>
    </xf>
    <xf numFmtId="0" fontId="104" fillId="0" borderId="25" xfId="54" applyFill="1" applyBorder="1" applyAlignment="1">
      <alignment horizontal="center"/>
    </xf>
    <xf numFmtId="0" fontId="104" fillId="0" borderId="0" xfId="54" applyFill="1" applyBorder="1" applyAlignment="1">
      <alignment horizontal="center"/>
    </xf>
    <xf numFmtId="0" fontId="135" fillId="0" borderId="23" xfId="54" applyFont="1" applyBorder="1" applyAlignment="1">
      <alignment horizontal="center"/>
    </xf>
    <xf numFmtId="0" fontId="135" fillId="0" borderId="48" xfId="54" applyFont="1" applyBorder="1" applyAlignment="1">
      <alignment horizontal="left"/>
    </xf>
    <xf numFmtId="0" fontId="135" fillId="0" borderId="0" xfId="54" applyFont="1" applyBorder="1" applyAlignment="1">
      <alignment horizontal="left"/>
    </xf>
    <xf numFmtId="0" fontId="135" fillId="0" borderId="20" xfId="54" applyFont="1" applyBorder="1" applyAlignment="1">
      <alignment horizontal="left"/>
    </xf>
    <xf numFmtId="0" fontId="135" fillId="0" borderId="126" xfId="54" applyFont="1" applyBorder="1" applyAlignment="1">
      <alignment horizontal="left"/>
    </xf>
    <xf numFmtId="0" fontId="135" fillId="0" borderId="89" xfId="54" applyFont="1" applyBorder="1" applyAlignment="1">
      <alignment horizontal="left"/>
    </xf>
    <xf numFmtId="0" fontId="135" fillId="0" borderId="127" xfId="54" applyFont="1" applyBorder="1" applyAlignment="1">
      <alignment horizontal="left"/>
    </xf>
    <xf numFmtId="0" fontId="2" fillId="0" borderId="128" xfId="54" applyFont="1" applyBorder="1" applyAlignment="1">
      <alignment horizontal="left" indent="1"/>
    </xf>
    <xf numFmtId="0" fontId="2" fillId="0" borderId="129" xfId="54" applyFont="1" applyBorder="1" applyAlignment="1">
      <alignment horizontal="left" indent="1"/>
    </xf>
    <xf numFmtId="0" fontId="2" fillId="0" borderId="130" xfId="54" applyFont="1" applyBorder="1" applyAlignment="1">
      <alignment horizontal="left" indent="1"/>
    </xf>
    <xf numFmtId="0" fontId="104" fillId="0" borderId="126" xfId="54" applyBorder="1" applyAlignment="1">
      <alignment horizontal="center"/>
    </xf>
    <xf numFmtId="0" fontId="104" fillId="0" borderId="89" xfId="54" applyBorder="1" applyAlignment="1">
      <alignment horizontal="center"/>
    </xf>
    <xf numFmtId="0" fontId="104" fillId="0" borderId="127" xfId="54" applyBorder="1" applyAlignment="1">
      <alignment horizontal="center"/>
    </xf>
    <xf numFmtId="0" fontId="105" fillId="0" borderId="89" xfId="54" applyFont="1" applyBorder="1" applyAlignment="1">
      <alignment horizontal="left" indent="1"/>
    </xf>
    <xf numFmtId="0" fontId="2" fillId="0" borderId="89" xfId="54" applyFont="1" applyBorder="1" applyAlignment="1">
      <alignment horizontal="left" indent="1"/>
    </xf>
    <xf numFmtId="0" fontId="2" fillId="0" borderId="127" xfId="54" applyFont="1" applyBorder="1" applyAlignment="1">
      <alignment horizontal="left" indent="1"/>
    </xf>
    <xf numFmtId="0" fontId="104" fillId="0" borderId="115" xfId="54" applyBorder="1" applyAlignment="1">
      <alignment horizontal="center"/>
    </xf>
    <xf numFmtId="0" fontId="104" fillId="0" borderId="116" xfId="54" applyBorder="1" applyAlignment="1">
      <alignment horizontal="center"/>
    </xf>
    <xf numFmtId="0" fontId="135" fillId="0" borderId="123" xfId="54" applyFont="1" applyBorder="1" applyAlignment="1">
      <alignment horizontal="left"/>
    </xf>
    <xf numFmtId="0" fontId="135" fillId="0" borderId="124" xfId="54" applyFont="1" applyBorder="1" applyAlignment="1">
      <alignment horizontal="left"/>
    </xf>
    <xf numFmtId="0" fontId="2" fillId="0" borderId="124" xfId="54" applyFont="1" applyBorder="1" applyAlignment="1">
      <alignment horizontal="left"/>
    </xf>
    <xf numFmtId="0" fontId="2" fillId="0" borderId="125" xfId="54" applyFont="1" applyBorder="1" applyAlignment="1">
      <alignment horizontal="left"/>
    </xf>
    <xf numFmtId="0" fontId="115" fillId="0" borderId="25" xfId="54" applyFont="1" applyBorder="1" applyAlignment="1">
      <alignment horizontal="left"/>
    </xf>
    <xf numFmtId="0" fontId="115" fillId="0" borderId="0" xfId="54" applyFont="1" applyBorder="1" applyAlignment="1">
      <alignment horizontal="left"/>
    </xf>
    <xf numFmtId="0" fontId="115" fillId="0" borderId="23" xfId="54" applyFont="1" applyBorder="1" applyAlignment="1">
      <alignment horizontal="left"/>
    </xf>
    <xf numFmtId="0" fontId="104" fillId="0" borderId="120" xfId="54" applyBorder="1" applyAlignment="1">
      <alignment horizontal="left"/>
    </xf>
    <xf numFmtId="0" fontId="104" fillId="0" borderId="0" xfId="54" applyBorder="1" applyAlignment="1">
      <alignment horizontal="left"/>
    </xf>
    <xf numFmtId="0" fontId="104" fillId="0" borderId="23" xfId="54" applyBorder="1" applyAlignment="1">
      <alignment horizontal="left"/>
    </xf>
    <xf numFmtId="0" fontId="104" fillId="0" borderId="121" xfId="54" applyBorder="1" applyAlignment="1">
      <alignment horizontal="center"/>
    </xf>
    <xf numFmtId="0" fontId="104" fillId="0" borderId="122" xfId="54" applyBorder="1" applyAlignment="1">
      <alignment horizontal="center"/>
    </xf>
    <xf numFmtId="0" fontId="104" fillId="0" borderId="119" xfId="54" applyFill="1" applyBorder="1" applyAlignment="1">
      <alignment horizontal="center"/>
    </xf>
    <xf numFmtId="0" fontId="104" fillId="0" borderId="120" xfId="54" applyBorder="1" applyAlignment="1">
      <alignment horizontal="center"/>
    </xf>
    <xf numFmtId="0" fontId="104" fillId="0" borderId="119" xfId="54" applyBorder="1" applyAlignment="1">
      <alignment horizontal="center"/>
    </xf>
    <xf numFmtId="0" fontId="115" fillId="0" borderId="119" xfId="54" applyFont="1" applyBorder="1" applyAlignment="1">
      <alignment horizontal="center"/>
    </xf>
    <xf numFmtId="0" fontId="105" fillId="17" borderId="83" xfId="54" applyFont="1" applyFill="1" applyBorder="1" applyAlignment="1">
      <alignment horizontal="center" vertical="center"/>
    </xf>
    <xf numFmtId="0" fontId="105" fillId="17" borderId="118" xfId="54" applyFont="1" applyFill="1" applyBorder="1" applyAlignment="1">
      <alignment horizontal="center" vertical="center"/>
    </xf>
    <xf numFmtId="0" fontId="135" fillId="0" borderId="25" xfId="54" applyFont="1" applyBorder="1" applyAlignment="1">
      <alignment horizontal="left"/>
    </xf>
    <xf numFmtId="0" fontId="104" fillId="17" borderId="83" xfId="54" applyFill="1" applyBorder="1" applyAlignment="1">
      <alignment horizontal="center" vertical="center"/>
    </xf>
    <xf numFmtId="0" fontId="104" fillId="17" borderId="84" xfId="54" applyFill="1" applyBorder="1" applyAlignment="1">
      <alignment horizontal="center" vertical="center"/>
    </xf>
    <xf numFmtId="0" fontId="128" fillId="15" borderId="47" xfId="54" applyFont="1" applyFill="1" applyBorder="1" applyAlignment="1">
      <alignment horizontal="center"/>
    </xf>
    <xf numFmtId="0" fontId="128" fillId="15" borderId="83" xfId="54" applyFont="1" applyFill="1" applyBorder="1" applyAlignment="1">
      <alignment horizontal="center"/>
    </xf>
    <xf numFmtId="0" fontId="124" fillId="17" borderId="83" xfId="54" applyFont="1" applyFill="1" applyBorder="1" applyAlignment="1">
      <alignment horizontal="left"/>
    </xf>
    <xf numFmtId="0" fontId="124" fillId="17" borderId="84" xfId="54" applyFont="1" applyFill="1" applyBorder="1" applyAlignment="1">
      <alignment horizontal="left"/>
    </xf>
    <xf numFmtId="0" fontId="124" fillId="17" borderId="118" xfId="54" applyFont="1" applyFill="1" applyBorder="1" applyAlignment="1">
      <alignment horizontal="left"/>
    </xf>
    <xf numFmtId="0" fontId="110" fillId="17" borderId="25" xfId="54" applyFont="1" applyFill="1" applyBorder="1" applyAlignment="1">
      <alignment horizontal="center" vertical="justify"/>
    </xf>
    <xf numFmtId="0" fontId="110" fillId="17" borderId="0" xfId="54" applyFont="1" applyFill="1" applyBorder="1" applyAlignment="1">
      <alignment horizontal="center" vertical="justify"/>
    </xf>
    <xf numFmtId="0" fontId="110" fillId="17" borderId="23" xfId="54" applyFont="1" applyFill="1" applyBorder="1" applyAlignment="1">
      <alignment horizontal="center" vertical="justify"/>
    </xf>
    <xf numFmtId="0" fontId="110" fillId="17" borderId="115" xfId="54" applyFont="1" applyFill="1" applyBorder="1" applyAlignment="1">
      <alignment horizontal="center" vertical="justify"/>
    </xf>
    <xf numFmtId="0" fontId="110" fillId="17" borderId="86" xfId="54" applyFont="1" applyFill="1" applyBorder="1" applyAlignment="1">
      <alignment horizontal="center" vertical="justify"/>
    </xf>
    <xf numFmtId="0" fontId="110" fillId="17" borderId="49" xfId="54" applyFont="1" applyFill="1" applyBorder="1" applyAlignment="1">
      <alignment horizontal="center" vertical="justify"/>
    </xf>
    <xf numFmtId="0" fontId="124" fillId="0" borderId="48" xfId="54" applyFont="1" applyBorder="1" applyAlignment="1">
      <alignment horizontal="center"/>
    </xf>
    <xf numFmtId="0" fontId="124" fillId="0" borderId="0" xfId="54" applyFont="1" applyBorder="1" applyAlignment="1">
      <alignment horizontal="center"/>
    </xf>
    <xf numFmtId="0" fontId="124" fillId="0" borderId="23" xfId="54" applyFont="1" applyBorder="1" applyAlignment="1">
      <alignment horizontal="center"/>
    </xf>
    <xf numFmtId="0" fontId="124" fillId="0" borderId="20" xfId="54" applyFont="1" applyBorder="1" applyAlignment="1">
      <alignment horizontal="center"/>
    </xf>
    <xf numFmtId="0" fontId="115" fillId="0" borderId="48" xfId="54" applyFont="1" applyFill="1" applyBorder="1" applyAlignment="1">
      <alignment horizontal="center" vertical="justify"/>
    </xf>
    <xf numFmtId="0" fontId="115" fillId="0" borderId="23" xfId="54" applyFont="1" applyFill="1" applyBorder="1" applyAlignment="1">
      <alignment horizontal="center" vertical="justify"/>
    </xf>
    <xf numFmtId="0" fontId="129" fillId="0" borderId="48" xfId="54" applyFont="1" applyBorder="1" applyAlignment="1">
      <alignment horizontal="left"/>
    </xf>
    <xf numFmtId="0" fontId="129" fillId="0" borderId="0" xfId="54" applyFont="1" applyBorder="1" applyAlignment="1">
      <alignment horizontal="left"/>
    </xf>
    <xf numFmtId="0" fontId="129" fillId="0" borderId="23" xfId="54" applyFont="1" applyBorder="1" applyAlignment="1">
      <alignment horizontal="left"/>
    </xf>
    <xf numFmtId="0" fontId="115" fillId="0" borderId="0" xfId="54" applyFont="1" applyFill="1" applyBorder="1" applyAlignment="1">
      <alignment horizontal="center" vertical="justify"/>
    </xf>
    <xf numFmtId="0" fontId="2" fillId="0" borderId="48" xfId="54" applyFont="1" applyBorder="1" applyAlignment="1">
      <alignment horizontal="right"/>
    </xf>
    <xf numFmtId="0" fontId="104" fillId="0" borderId="23" xfId="54" applyBorder="1"/>
    <xf numFmtId="0" fontId="104" fillId="0" borderId="48" xfId="54" applyBorder="1"/>
    <xf numFmtId="0" fontId="130" fillId="0" borderId="47" xfId="54" applyFont="1" applyBorder="1" applyAlignment="1">
      <alignment horizontal="center" vertical="center"/>
    </xf>
    <xf numFmtId="0" fontId="2" fillId="0" borderId="83" xfId="54" applyFont="1" applyBorder="1"/>
    <xf numFmtId="0" fontId="2" fillId="0" borderId="84" xfId="54" applyFont="1" applyBorder="1"/>
    <xf numFmtId="0" fontId="2" fillId="0" borderId="48" xfId="54" applyFont="1" applyBorder="1"/>
    <xf numFmtId="0" fontId="2" fillId="0" borderId="0" xfId="54" applyFont="1" applyBorder="1"/>
    <xf numFmtId="0" fontId="2" fillId="0" borderId="23" xfId="54" applyFont="1" applyBorder="1"/>
    <xf numFmtId="0" fontId="2" fillId="0" borderId="85" xfId="54" applyFont="1" applyBorder="1"/>
    <xf numFmtId="0" fontId="2" fillId="0" borderId="86" xfId="54" applyFont="1" applyBorder="1"/>
    <xf numFmtId="0" fontId="2" fillId="0" borderId="49" xfId="54" applyFont="1" applyBorder="1"/>
    <xf numFmtId="0" fontId="115" fillId="0" borderId="48" xfId="54" applyFont="1" applyFill="1" applyBorder="1" applyAlignment="1">
      <alignment horizontal="center" vertical="center"/>
    </xf>
    <xf numFmtId="0" fontId="115" fillId="0" borderId="23" xfId="54" applyFont="1" applyFill="1" applyBorder="1" applyAlignment="1">
      <alignment horizontal="center" vertical="center"/>
    </xf>
    <xf numFmtId="0" fontId="115" fillId="0" borderId="0" xfId="54" applyFont="1" applyFill="1" applyBorder="1" applyAlignment="1">
      <alignment horizontal="center" vertical="center"/>
    </xf>
    <xf numFmtId="0" fontId="124" fillId="0" borderId="48" xfId="54" applyFont="1" applyFill="1" applyBorder="1" applyAlignment="1">
      <alignment horizontal="center" vertical="center"/>
    </xf>
    <xf numFmtId="0" fontId="124" fillId="0" borderId="23" xfId="54" applyFont="1" applyFill="1" applyBorder="1" applyAlignment="1">
      <alignment horizontal="center" vertical="center"/>
    </xf>
    <xf numFmtId="0" fontId="104" fillId="0" borderId="85" xfId="54" applyBorder="1"/>
    <xf numFmtId="0" fontId="104" fillId="0" borderId="86" xfId="54" applyBorder="1"/>
    <xf numFmtId="0" fontId="104" fillId="0" borderId="116" xfId="54" applyBorder="1"/>
    <xf numFmtId="0" fontId="126" fillId="0" borderId="49" xfId="54" applyFont="1" applyBorder="1" applyAlignment="1">
      <alignment horizontal="center"/>
    </xf>
    <xf numFmtId="0" fontId="104" fillId="0" borderId="33" xfId="54" applyBorder="1" applyAlignment="1">
      <alignment horizontal="center"/>
    </xf>
    <xf numFmtId="0" fontId="104" fillId="0" borderId="34" xfId="54" applyBorder="1" applyAlignment="1">
      <alignment horizontal="center"/>
    </xf>
    <xf numFmtId="0" fontId="104" fillId="0" borderId="112" xfId="54" applyBorder="1" applyAlignment="1">
      <alignment horizontal="center"/>
    </xf>
    <xf numFmtId="0" fontId="104" fillId="0" borderId="113" xfId="54" applyBorder="1" applyAlignment="1">
      <alignment horizontal="center"/>
    </xf>
    <xf numFmtId="0" fontId="104" fillId="0" borderId="114" xfId="54" applyBorder="1" applyAlignment="1">
      <alignment horizontal="center"/>
    </xf>
    <xf numFmtId="0" fontId="124" fillId="0" borderId="25" xfId="54" applyFont="1" applyBorder="1" applyAlignment="1">
      <alignment horizontal="center"/>
    </xf>
    <xf numFmtId="0" fontId="124" fillId="0" borderId="115" xfId="54" applyFont="1" applyBorder="1" applyAlignment="1">
      <alignment horizontal="center"/>
    </xf>
    <xf numFmtId="0" fontId="124" fillId="0" borderId="86" xfId="54" applyFont="1" applyBorder="1" applyAlignment="1">
      <alignment horizontal="center"/>
    </xf>
    <xf numFmtId="0" fontId="125" fillId="0" borderId="0" xfId="54" applyFont="1" applyBorder="1" applyAlignment="1">
      <alignment horizontal="center"/>
    </xf>
    <xf numFmtId="0" fontId="29" fillId="0" borderId="0" xfId="54" applyFont="1" applyBorder="1" applyAlignment="1">
      <alignment horizontal="center" vertical="justify"/>
    </xf>
    <xf numFmtId="0" fontId="124" fillId="0" borderId="0" xfId="54" applyFont="1" applyBorder="1" applyAlignment="1">
      <alignment horizontal="center" vertical="justify"/>
    </xf>
    <xf numFmtId="0" fontId="124" fillId="0" borderId="23" xfId="54" applyFont="1" applyBorder="1" applyAlignment="1">
      <alignment horizontal="center" vertical="justify"/>
    </xf>
    <xf numFmtId="0" fontId="127" fillId="0" borderId="85" xfId="54" applyFont="1" applyBorder="1" applyAlignment="1">
      <alignment horizontal="center"/>
    </xf>
    <xf numFmtId="0" fontId="127" fillId="0" borderId="86" xfId="54" applyFont="1" applyBorder="1" applyAlignment="1">
      <alignment horizontal="center"/>
    </xf>
    <xf numFmtId="0" fontId="127" fillId="0" borderId="116" xfId="54" applyFont="1" applyBorder="1" applyAlignment="1">
      <alignment horizontal="center"/>
    </xf>
    <xf numFmtId="170" fontId="88" fillId="10" borderId="61" xfId="0" applyNumberFormat="1" applyFont="1" applyFill="1" applyBorder="1" applyAlignment="1">
      <alignment horizontal="left" vertical="center" wrapText="1" indent="1"/>
    </xf>
    <xf numFmtId="170" fontId="88" fillId="10" borderId="56" xfId="0" applyNumberFormat="1" applyFont="1" applyFill="1" applyBorder="1" applyAlignment="1">
      <alignment horizontal="left" vertical="center" wrapText="1" indent="1"/>
    </xf>
    <xf numFmtId="170" fontId="88" fillId="10" borderId="64" xfId="0" applyNumberFormat="1" applyFont="1" applyFill="1" applyBorder="1" applyAlignment="1">
      <alignment horizontal="left" vertical="center" wrapText="1" indent="1"/>
    </xf>
    <xf numFmtId="170" fontId="40" fillId="10" borderId="58" xfId="0" applyNumberFormat="1" applyFont="1" applyFill="1" applyBorder="1" applyAlignment="1">
      <alignment horizontal="left" vertical="center" wrapText="1" indent="1"/>
    </xf>
    <xf numFmtId="170" fontId="40" fillId="10" borderId="62" xfId="0" applyNumberFormat="1" applyFont="1" applyFill="1" applyBorder="1" applyAlignment="1">
      <alignment horizontal="left" vertical="center" wrapText="1" indent="1"/>
    </xf>
    <xf numFmtId="170" fontId="88" fillId="10" borderId="58" xfId="0" applyNumberFormat="1" applyFont="1" applyFill="1" applyBorder="1" applyAlignment="1">
      <alignment horizontal="left" vertical="center" wrapText="1" indent="1"/>
    </xf>
    <xf numFmtId="170" fontId="88" fillId="10" borderId="62" xfId="0" applyNumberFormat="1" applyFont="1" applyFill="1" applyBorder="1" applyAlignment="1">
      <alignment horizontal="left" vertical="center" wrapText="1" indent="1"/>
    </xf>
    <xf numFmtId="170" fontId="84" fillId="10" borderId="61" xfId="0" applyNumberFormat="1" applyFont="1" applyFill="1" applyBorder="1" applyAlignment="1">
      <alignment horizontal="center" vertical="center" wrapText="1"/>
    </xf>
    <xf numFmtId="170" fontId="84" fillId="10" borderId="64" xfId="0" applyNumberFormat="1" applyFont="1" applyFill="1" applyBorder="1" applyAlignment="1">
      <alignment horizontal="center" vertical="center" wrapText="1"/>
    </xf>
    <xf numFmtId="170" fontId="83" fillId="11" borderId="61" xfId="0" applyNumberFormat="1" applyFont="1" applyFill="1" applyBorder="1" applyAlignment="1">
      <alignment horizontal="center" vertical="center" wrapText="1"/>
    </xf>
    <xf numFmtId="170" fontId="83" fillId="11" borderId="64" xfId="0" applyNumberFormat="1" applyFont="1" applyFill="1" applyBorder="1" applyAlignment="1">
      <alignment horizontal="center" vertical="center" wrapText="1"/>
    </xf>
    <xf numFmtId="170" fontId="84" fillId="10" borderId="60" xfId="0" applyNumberFormat="1" applyFont="1" applyFill="1" applyBorder="1" applyAlignment="1">
      <alignment horizontal="center" vertical="center" wrapText="1"/>
    </xf>
    <xf numFmtId="170" fontId="84" fillId="10" borderId="69" xfId="0" applyNumberFormat="1" applyFont="1" applyFill="1" applyBorder="1" applyAlignment="1">
      <alignment horizontal="center" vertical="center" wrapText="1"/>
    </xf>
    <xf numFmtId="170" fontId="84" fillId="10" borderId="63" xfId="0" applyNumberFormat="1" applyFont="1" applyFill="1" applyBorder="1" applyAlignment="1">
      <alignment horizontal="center" vertical="center" wrapText="1"/>
    </xf>
    <xf numFmtId="170" fontId="84" fillId="10" borderId="65" xfId="0" applyNumberFormat="1" applyFont="1" applyFill="1" applyBorder="1" applyAlignment="1">
      <alignment horizontal="center" vertical="center" wrapText="1"/>
    </xf>
    <xf numFmtId="170" fontId="85" fillId="21" borderId="61" xfId="0" applyNumberFormat="1" applyFont="1" applyFill="1" applyBorder="1" applyAlignment="1">
      <alignment horizontal="center" vertical="center" wrapText="1"/>
    </xf>
    <xf numFmtId="170" fontId="85" fillId="21" borderId="64" xfId="0" applyNumberFormat="1" applyFont="1" applyFill="1" applyBorder="1" applyAlignment="1">
      <alignment horizontal="center" vertical="center" wrapText="1"/>
    </xf>
    <xf numFmtId="170" fontId="85" fillId="21" borderId="58" xfId="0" applyNumberFormat="1" applyFont="1" applyFill="1" applyBorder="1" applyAlignment="1">
      <alignment horizontal="center" vertical="center" wrapText="1"/>
    </xf>
    <xf numFmtId="170" fontId="85" fillId="21" borderId="62" xfId="0" applyNumberFormat="1" applyFont="1" applyFill="1" applyBorder="1" applyAlignment="1">
      <alignment horizontal="center" vertical="center" wrapText="1"/>
    </xf>
    <xf numFmtId="170" fontId="40" fillId="10" borderId="59" xfId="0" applyNumberFormat="1" applyFont="1" applyFill="1" applyBorder="1" applyAlignment="1">
      <alignment horizontal="center" vertical="center" wrapText="1"/>
    </xf>
    <xf numFmtId="170" fontId="40" fillId="10" borderId="59" xfId="0" applyNumberFormat="1" applyFont="1" applyFill="1" applyBorder="1" applyAlignment="1">
      <alignment horizontal="left" vertical="center" wrapText="1" indent="1"/>
    </xf>
    <xf numFmtId="170" fontId="84" fillId="10" borderId="59" xfId="0" applyNumberFormat="1" applyFont="1" applyFill="1" applyBorder="1" applyAlignment="1">
      <alignment horizontal="center" vertical="center" wrapText="1"/>
    </xf>
    <xf numFmtId="170" fontId="40" fillId="10" borderId="61" xfId="0" applyNumberFormat="1" applyFont="1" applyFill="1" applyBorder="1" applyAlignment="1">
      <alignment horizontal="center" vertical="center" wrapText="1"/>
    </xf>
    <xf numFmtId="170" fontId="40" fillId="10" borderId="64" xfId="0" applyNumberFormat="1" applyFont="1" applyFill="1" applyBorder="1" applyAlignment="1">
      <alignment horizontal="center" vertical="center" wrapText="1"/>
    </xf>
    <xf numFmtId="170" fontId="88" fillId="10" borderId="61" xfId="0" applyNumberFormat="1" applyFont="1" applyFill="1" applyBorder="1" applyAlignment="1">
      <alignment horizontal="center" vertical="center" wrapText="1"/>
    </xf>
    <xf numFmtId="170" fontId="88" fillId="10" borderId="64" xfId="0" applyNumberFormat="1" applyFont="1" applyFill="1" applyBorder="1" applyAlignment="1">
      <alignment horizontal="center" vertical="center" wrapText="1"/>
    </xf>
    <xf numFmtId="170" fontId="88" fillId="10" borderId="58" xfId="0" applyNumberFormat="1" applyFont="1" applyFill="1" applyBorder="1" applyAlignment="1">
      <alignment horizontal="center" vertical="center" wrapText="1"/>
    </xf>
    <xf numFmtId="170" fontId="88" fillId="10" borderId="81" xfId="0" applyNumberFormat="1" applyFont="1" applyFill="1" applyBorder="1" applyAlignment="1">
      <alignment horizontal="center" vertical="center" wrapText="1"/>
    </xf>
    <xf numFmtId="170" fontId="40" fillId="10" borderId="60" xfId="0" applyNumberFormat="1" applyFont="1" applyFill="1" applyBorder="1" applyAlignment="1">
      <alignment horizontal="left" vertical="center" wrapText="1" indent="1"/>
    </xf>
    <xf numFmtId="170" fontId="40" fillId="10" borderId="55" xfId="0" applyNumberFormat="1" applyFont="1" applyFill="1" applyBorder="1" applyAlignment="1">
      <alignment horizontal="left" vertical="center" wrapText="1" indent="1"/>
    </xf>
    <xf numFmtId="170" fontId="40" fillId="10" borderId="63" xfId="0" applyNumberFormat="1" applyFont="1" applyFill="1" applyBorder="1" applyAlignment="1">
      <alignment horizontal="left" vertical="center" wrapText="1" indent="1"/>
    </xf>
    <xf numFmtId="170" fontId="40" fillId="10" borderId="58" xfId="0" applyNumberFormat="1" applyFont="1" applyFill="1" applyBorder="1" applyAlignment="1">
      <alignment horizontal="center" vertical="center" wrapText="1"/>
    </xf>
    <xf numFmtId="170" fontId="40" fillId="10" borderId="62" xfId="0" applyNumberFormat="1" applyFont="1" applyFill="1" applyBorder="1" applyAlignment="1">
      <alignment horizontal="center" vertical="center" wrapText="1"/>
    </xf>
    <xf numFmtId="0" fontId="0" fillId="19" borderId="2" xfId="0" applyFill="1" applyBorder="1" applyAlignment="1">
      <alignment horizontal="left" vertical="center" wrapText="1"/>
    </xf>
    <xf numFmtId="0" fontId="0" fillId="19" borderId="2" xfId="0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55">
    <cellStyle name="amount" xfId="5"/>
    <cellStyle name="Balanco" xfId="2"/>
    <cellStyle name="Besuchter Hyperlink" xfId="6"/>
    <cellStyle name="Besuchter Hyperlink 2" xfId="7"/>
    <cellStyle name="Body text" xfId="8"/>
    <cellStyle name="Comma [0]_A5 - Mov. Imob. incorpóreo" xfId="9"/>
    <cellStyle name="Comma_A5 - Mov. Imob. incorpóreo" xfId="10"/>
    <cellStyle name="Currency [0]_A5 - Mov. Imob. incorpóreo" xfId="11"/>
    <cellStyle name="Currency_A5 - Mov. Imob. incorpóreo" xfId="12"/>
    <cellStyle name="Cyan_button_style" xfId="13"/>
    <cellStyle name="Dezimal [0]_acbloc2" xfId="14"/>
    <cellStyle name="Dezimal_acbloc2" xfId="15"/>
    <cellStyle name="Euro" xfId="16"/>
    <cellStyle name="Euro 2" xfId="17"/>
    <cellStyle name="Followed Hyperlink" xfId="18"/>
    <cellStyle name="Followed Hyperlink 2" xfId="19"/>
    <cellStyle name="header" xfId="20"/>
    <cellStyle name="Header Total" xfId="21"/>
    <cellStyle name="Header1" xfId="22"/>
    <cellStyle name="Header2" xfId="23"/>
    <cellStyle name="Header3" xfId="24"/>
    <cellStyle name="Header4" xfId="25"/>
    <cellStyle name="Hyperlink" xfId="26"/>
    <cellStyle name="Hyperlink 2" xfId="27"/>
    <cellStyle name="Lien hypertexte" xfId="28"/>
    <cellStyle name="Lien hypertexte visité" xfId="29"/>
    <cellStyle name="Lien hypertexte_RESULTS" xfId="30"/>
    <cellStyle name="Milliers [0]_1- Table PV Pièces Compartiment Moteurs W74" xfId="31"/>
    <cellStyle name="Milliers_1- Table PV Pièces Compartiment Moteurs W74" xfId="32"/>
    <cellStyle name="Monétaire [0]_1- Table PV Pièces Compartiment Moteurs W74" xfId="33"/>
    <cellStyle name="Monétaire_1- Table PV Pièces Compartiment Moteurs W74" xfId="34"/>
    <cellStyle name="NonPrint_copyright" xfId="35"/>
    <cellStyle name="Normal" xfId="0" builtinId="0"/>
    <cellStyle name="Normal - Style1" xfId="36"/>
    <cellStyle name="Normal - Style1 2" xfId="37"/>
    <cellStyle name="Normal 2" xfId="1"/>
    <cellStyle name="Normal 2 2" xfId="4"/>
    <cellStyle name="Normal 2 3" xfId="38"/>
    <cellStyle name="Normal 2 3 2" xfId="39"/>
    <cellStyle name="Normal 3" xfId="40"/>
    <cellStyle name="Normal 3 2" xfId="41"/>
    <cellStyle name="Normal 4" xfId="42"/>
    <cellStyle name="Normal 5" xfId="43"/>
    <cellStyle name="Normal 6" xfId="54"/>
    <cellStyle name="Normal_REVAN3" xfId="3"/>
    <cellStyle name="Percentagem" xfId="53" builtinId="5"/>
    <cellStyle name="Percentagem 2" xfId="44"/>
    <cellStyle name="Percentagem 3" xfId="45"/>
    <cellStyle name="Pourcentage_Total par Centre" xfId="46"/>
    <cellStyle name="Product Title" xfId="47"/>
    <cellStyle name="Standard_1995-96" xfId="48"/>
    <cellStyle name="Text" xfId="49"/>
    <cellStyle name="Title" xfId="50"/>
    <cellStyle name="Währung [0]_acbloc2" xfId="51"/>
    <cellStyle name="Währung_acbloc2" xfId="5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PT"/>
              <a:t>Gastos</a:t>
            </a:r>
            <a:r>
              <a:rPr lang="pt-PT" baseline="0"/>
              <a:t> com Pessoal</a:t>
            </a:r>
            <a:endParaRPr lang="pt-PT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explosion val="25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'Grafico Gastos com Pesoal'!$B$3:$B$5</c:f>
              <c:strCache>
                <c:ptCount val="3"/>
                <c:pt idx="0">
                  <c:v>Ordenado</c:v>
                </c:pt>
                <c:pt idx="1">
                  <c:v>Salário</c:v>
                </c:pt>
                <c:pt idx="2">
                  <c:v>Encargos </c:v>
                </c:pt>
              </c:strCache>
            </c:strRef>
          </c:cat>
          <c:val>
            <c:numRef>
              <c:f>'Grafico Gastos com Pesoal'!$D$3:$D$5</c:f>
              <c:numCache>
                <c:formatCode>0.00%</c:formatCode>
                <c:ptCount val="3"/>
                <c:pt idx="0">
                  <c:v>0.26975706286051115</c:v>
                </c:pt>
                <c:pt idx="1">
                  <c:v>0.61151109426971495</c:v>
                </c:pt>
                <c:pt idx="2">
                  <c:v>0.11873184286977391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Vendas</a:t>
            </a:r>
          </a:p>
        </c:rich>
      </c:tx>
      <c:overlay val="0"/>
    </c:title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Folha2!$E$3</c:f>
              <c:strCache>
                <c:ptCount val="1"/>
                <c:pt idx="0">
                  <c:v>Venda</c:v>
                </c:pt>
              </c:strCache>
            </c:strRef>
          </c:tx>
          <c:explosion val="25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Lbls>
            <c:dLbl>
              <c:idx val="0"/>
              <c:layout>
                <c:manualLayout>
                  <c:x val="9.6598727628182286E-3"/>
                  <c:y val="-1.791010498687663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2.8252702980028729E-2"/>
                  <c:y val="3.5330635753864102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5.8801291813831912E-4"/>
                  <c:y val="-7.7792359288422278E-3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Folha2!$C$4:$D$6</c:f>
              <c:strCache>
                <c:ptCount val="3"/>
                <c:pt idx="0">
                  <c:v>aguardente</c:v>
                </c:pt>
                <c:pt idx="1">
                  <c:v>Licor </c:v>
                </c:pt>
                <c:pt idx="2">
                  <c:v>Pontche</c:v>
                </c:pt>
              </c:strCache>
            </c:strRef>
          </c:cat>
          <c:val>
            <c:numRef>
              <c:f>Folha2!$E$4:$E$6</c:f>
              <c:numCache>
                <c:formatCode>#,##0.00</c:formatCode>
                <c:ptCount val="3"/>
                <c:pt idx="0">
                  <c:v>30174704.827826086</c:v>
                </c:pt>
                <c:pt idx="1">
                  <c:v>10058234.942608697</c:v>
                </c:pt>
                <c:pt idx="2">
                  <c:v>10058234.942608697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Produção Anual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'Produção Anual'!$D$11</c:f>
              <c:strCache>
                <c:ptCount val="1"/>
                <c:pt idx="0">
                  <c:v>Anual</c:v>
                </c:pt>
              </c:strCache>
            </c:strRef>
          </c:tx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cat>
            <c:strRef>
              <c:f>'Produção Anual'!$B$12:$B$15</c:f>
              <c:strCache>
                <c:ptCount val="4"/>
                <c:pt idx="0">
                  <c:v>Aguardente</c:v>
                </c:pt>
                <c:pt idx="1">
                  <c:v>Pontche</c:v>
                </c:pt>
                <c:pt idx="2">
                  <c:v>Licor</c:v>
                </c:pt>
                <c:pt idx="3">
                  <c:v>Total</c:v>
                </c:pt>
              </c:strCache>
            </c:strRef>
          </c:cat>
          <c:val>
            <c:numRef>
              <c:f>'Produção Anual'!$D$12:$D$15</c:f>
              <c:numCache>
                <c:formatCode>#,##0</c:formatCode>
                <c:ptCount val="4"/>
                <c:pt idx="0">
                  <c:v>93600</c:v>
                </c:pt>
                <c:pt idx="1">
                  <c:v>31200</c:v>
                </c:pt>
                <c:pt idx="2">
                  <c:v>31200</c:v>
                </c:pt>
                <c:pt idx="3">
                  <c:v>156000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07562112"/>
        <c:axId val="107563648"/>
        <c:axId val="0"/>
      </c:bar3DChart>
      <c:catAx>
        <c:axId val="1075621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07563648"/>
        <c:crosses val="autoZero"/>
        <c:auto val="1"/>
        <c:lblAlgn val="ctr"/>
        <c:lblOffset val="100"/>
        <c:noMultiLvlLbl val="0"/>
      </c:catAx>
      <c:valAx>
        <c:axId val="1075636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pt-PT"/>
                  <a:t>litros 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0756211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'grafico materia prima consumida'!$C$2</c:f>
              <c:strCache>
                <c:ptCount val="1"/>
                <c:pt idx="0">
                  <c:v>Compra</c:v>
                </c:pt>
              </c:strCache>
            </c:strRef>
          </c:tx>
          <c:invertIfNegative val="0"/>
          <c:cat>
            <c:strRef>
              <c:f>'grafico materia prima consumida'!$B$3:$B$7</c:f>
              <c:strCache>
                <c:ptCount val="5"/>
                <c:pt idx="1">
                  <c:v>cana-de-açúcar</c:v>
                </c:pt>
                <c:pt idx="2">
                  <c:v>Açucar</c:v>
                </c:pt>
                <c:pt idx="3">
                  <c:v>Diversos</c:v>
                </c:pt>
                <c:pt idx="4">
                  <c:v>TOTAL</c:v>
                </c:pt>
              </c:strCache>
            </c:strRef>
          </c:cat>
          <c:val>
            <c:numRef>
              <c:f>'grafico materia prima consumida'!$C$3:$C$7</c:f>
              <c:numCache>
                <c:formatCode>#,##0</c:formatCode>
                <c:ptCount val="5"/>
                <c:pt idx="1">
                  <c:v>14255822.086956523</c:v>
                </c:pt>
                <c:pt idx="2">
                  <c:v>7775902.9565217393</c:v>
                </c:pt>
                <c:pt idx="3">
                  <c:v>1295983.8260869568</c:v>
                </c:pt>
                <c:pt idx="4">
                  <c:v>23327708.869565219</c:v>
                </c:pt>
              </c:numCache>
            </c:numRef>
          </c:val>
        </c:ser>
        <c:ser>
          <c:idx val="1"/>
          <c:order val="1"/>
          <c:tx>
            <c:strRef>
              <c:f>'grafico materia prima consumida'!$D$2</c:f>
              <c:strCache>
                <c:ptCount val="1"/>
                <c:pt idx="0">
                  <c:v>Consumo</c:v>
                </c:pt>
              </c:strCache>
            </c:strRef>
          </c:tx>
          <c:invertIfNegative val="0"/>
          <c:cat>
            <c:strRef>
              <c:f>'grafico materia prima consumida'!$B$3:$B$7</c:f>
              <c:strCache>
                <c:ptCount val="5"/>
                <c:pt idx="1">
                  <c:v>cana-de-açúcar</c:v>
                </c:pt>
                <c:pt idx="2">
                  <c:v>Açucar</c:v>
                </c:pt>
                <c:pt idx="3">
                  <c:v>Diversos</c:v>
                </c:pt>
                <c:pt idx="4">
                  <c:v>TOTAL</c:v>
                </c:pt>
              </c:strCache>
            </c:strRef>
          </c:cat>
          <c:val>
            <c:numRef>
              <c:f>'grafico materia prima consumida'!$D$3:$D$7</c:f>
              <c:numCache>
                <c:formatCode>#,##0</c:formatCode>
                <c:ptCount val="5"/>
                <c:pt idx="1">
                  <c:v>12514365.886956524</c:v>
                </c:pt>
                <c:pt idx="2">
                  <c:v>6826017.75652174</c:v>
                </c:pt>
                <c:pt idx="3">
                  <c:v>1137669.6260869566</c:v>
                </c:pt>
                <c:pt idx="4">
                  <c:v>20478053.269565221</c:v>
                </c:pt>
              </c:numCache>
            </c:numRef>
          </c:val>
        </c:ser>
        <c:ser>
          <c:idx val="2"/>
          <c:order val="2"/>
          <c:tx>
            <c:strRef>
              <c:f>'grafico materia prima consumida'!$E$2</c:f>
              <c:strCache>
                <c:ptCount val="1"/>
                <c:pt idx="0">
                  <c:v>Existêcia Final</c:v>
                </c:pt>
              </c:strCache>
            </c:strRef>
          </c:tx>
          <c:invertIfNegative val="0"/>
          <c:cat>
            <c:strRef>
              <c:f>'grafico materia prima consumida'!$B$3:$B$7</c:f>
              <c:strCache>
                <c:ptCount val="5"/>
                <c:pt idx="1">
                  <c:v>cana-de-açúcar</c:v>
                </c:pt>
                <c:pt idx="2">
                  <c:v>Açucar</c:v>
                </c:pt>
                <c:pt idx="3">
                  <c:v>Diversos</c:v>
                </c:pt>
                <c:pt idx="4">
                  <c:v>TOTAL</c:v>
                </c:pt>
              </c:strCache>
            </c:strRef>
          </c:cat>
          <c:val>
            <c:numRef>
              <c:f>'grafico materia prima consumida'!$E$3:$E$7</c:f>
              <c:numCache>
                <c:formatCode>#,##0</c:formatCode>
                <c:ptCount val="5"/>
                <c:pt idx="1">
                  <c:v>1741456.2000000002</c:v>
                </c:pt>
                <c:pt idx="2">
                  <c:v>949885.2</c:v>
                </c:pt>
                <c:pt idx="3">
                  <c:v>158314.20000000001</c:v>
                </c:pt>
                <c:pt idx="4">
                  <c:v>2849655.6000000006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341824"/>
        <c:axId val="101343616"/>
        <c:axId val="0"/>
      </c:bar3DChart>
      <c:catAx>
        <c:axId val="1013418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1343616"/>
        <c:crosses val="autoZero"/>
        <c:auto val="1"/>
        <c:lblAlgn val="ctr"/>
        <c:lblOffset val="100"/>
        <c:noMultiLvlLbl val="0"/>
      </c:catAx>
      <c:valAx>
        <c:axId val="101343616"/>
        <c:scaling>
          <c:orientation val="minMax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crossAx val="101341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w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2</xdr:row>
      <xdr:rowOff>0</xdr:rowOff>
    </xdr:from>
    <xdr:to>
      <xdr:col>8</xdr:col>
      <xdr:colOff>409575</xdr:colOff>
      <xdr:row>5</xdr:row>
      <xdr:rowOff>0</xdr:rowOff>
    </xdr:to>
    <xdr:sp macro="" textlink="">
      <xdr:nvSpPr>
        <xdr:cNvPr id="2" name="Seta para a esquerda 1">
          <a:hlinkClick xmlns:r="http://schemas.openxmlformats.org/officeDocument/2006/relationships" r:id="rId1"/>
        </xdr:cNvPr>
        <xdr:cNvSpPr/>
      </xdr:nvSpPr>
      <xdr:spPr>
        <a:xfrm>
          <a:off x="6067425" y="381000"/>
          <a:ext cx="857250" cy="571500"/>
        </a:xfrm>
        <a:prstGeom prst="leftArrow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PT" sz="1100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1</xdr:row>
      <xdr:rowOff>0</xdr:rowOff>
    </xdr:from>
    <xdr:to>
      <xdr:col>11</xdr:col>
      <xdr:colOff>357187</xdr:colOff>
      <xdr:row>1</xdr:row>
      <xdr:rowOff>83344</xdr:rowOff>
    </xdr:to>
    <xdr:sp macro="" textlink="">
      <xdr:nvSpPr>
        <xdr:cNvPr id="3" name="Seta para a esquerda 2">
          <a:hlinkClick xmlns:r="http://schemas.openxmlformats.org/officeDocument/2006/relationships" r:id="rId1"/>
        </xdr:cNvPr>
        <xdr:cNvSpPr/>
      </xdr:nvSpPr>
      <xdr:spPr>
        <a:xfrm>
          <a:off x="11441906" y="250032"/>
          <a:ext cx="857250" cy="571500"/>
        </a:xfrm>
        <a:prstGeom prst="leftArrow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PT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0</xdr:row>
      <xdr:rowOff>85725</xdr:rowOff>
    </xdr:from>
    <xdr:to>
      <xdr:col>29</xdr:col>
      <xdr:colOff>333375</xdr:colOff>
      <xdr:row>3</xdr:row>
      <xdr:rowOff>38100</xdr:rowOff>
    </xdr:to>
    <xdr:sp macro="" textlink="">
      <xdr:nvSpPr>
        <xdr:cNvPr id="3" name="Seta para a esquerda 2">
          <a:hlinkClick xmlns:r="http://schemas.openxmlformats.org/officeDocument/2006/relationships" r:id="rId1"/>
        </xdr:cNvPr>
        <xdr:cNvSpPr/>
      </xdr:nvSpPr>
      <xdr:spPr>
        <a:xfrm>
          <a:off x="23755350" y="85725"/>
          <a:ext cx="857250" cy="571500"/>
        </a:xfrm>
        <a:prstGeom prst="leftArrow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PT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74083</xdr:colOff>
      <xdr:row>0</xdr:row>
      <xdr:rowOff>31750</xdr:rowOff>
    </xdr:from>
    <xdr:to>
      <xdr:col>13</xdr:col>
      <xdr:colOff>317500</xdr:colOff>
      <xdr:row>2</xdr:row>
      <xdr:rowOff>190500</xdr:rowOff>
    </xdr:to>
    <xdr:sp macro="" textlink="">
      <xdr:nvSpPr>
        <xdr:cNvPr id="2" name="Seta para a esquerda 1">
          <a:hlinkClick xmlns:r="http://schemas.openxmlformats.org/officeDocument/2006/relationships" r:id="rId1"/>
        </xdr:cNvPr>
        <xdr:cNvSpPr/>
      </xdr:nvSpPr>
      <xdr:spPr>
        <a:xfrm>
          <a:off x="9472083" y="31750"/>
          <a:ext cx="857250" cy="571500"/>
        </a:xfrm>
        <a:prstGeom prst="leftArrow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PT" sz="1100"/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76200</xdr:colOff>
      <xdr:row>2</xdr:row>
      <xdr:rowOff>19050</xdr:rowOff>
    </xdr:to>
    <xdr:sp macro="" textlink="">
      <xdr:nvSpPr>
        <xdr:cNvPr id="4" name="Rectângulo 3">
          <a:hlinkClick xmlns:r="http://schemas.openxmlformats.org/officeDocument/2006/relationships" r:id="rId1"/>
        </xdr:cNvPr>
        <xdr:cNvSpPr/>
      </xdr:nvSpPr>
      <xdr:spPr bwMode="auto">
        <a:xfrm>
          <a:off x="5724525" y="25717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28575</xdr:rowOff>
    </xdr:from>
    <xdr:to>
      <xdr:col>8</xdr:col>
      <xdr:colOff>571500</xdr:colOff>
      <xdr:row>4</xdr:row>
      <xdr:rowOff>0</xdr:rowOff>
    </xdr:to>
    <xdr:sp macro="" textlink="">
      <xdr:nvSpPr>
        <xdr:cNvPr id="2" name="Seta para a esquerda 1">
          <a:hlinkClick xmlns:r="http://schemas.openxmlformats.org/officeDocument/2006/relationships" r:id="rId1"/>
        </xdr:cNvPr>
        <xdr:cNvSpPr/>
      </xdr:nvSpPr>
      <xdr:spPr>
        <a:xfrm>
          <a:off x="8162925" y="228600"/>
          <a:ext cx="857250" cy="571500"/>
        </a:xfrm>
        <a:prstGeom prst="leftArrow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PT" sz="1100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152400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6696075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8</xdr:row>
      <xdr:rowOff>85725</xdr:rowOff>
    </xdr:from>
    <xdr:to>
      <xdr:col>10</xdr:col>
      <xdr:colOff>304800</xdr:colOff>
      <xdr:row>16</xdr:row>
      <xdr:rowOff>95250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7648575" y="295275"/>
          <a:ext cx="107632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3</xdr:row>
      <xdr:rowOff>57150</xdr:rowOff>
    </xdr:from>
    <xdr:to>
      <xdr:col>11</xdr:col>
      <xdr:colOff>28575</xdr:colOff>
      <xdr:row>6</xdr:row>
      <xdr:rowOff>28575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38175"/>
          <a:ext cx="5143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</xdr:row>
          <xdr:rowOff>47625</xdr:rowOff>
        </xdr:from>
        <xdr:to>
          <xdr:col>5</xdr:col>
          <xdr:colOff>95250</xdr:colOff>
          <xdr:row>3</xdr:row>
          <xdr:rowOff>142875</xdr:rowOff>
        </xdr:to>
        <xdr:sp macro="" textlink="">
          <xdr:nvSpPr>
            <xdr:cNvPr id="20481" name="Object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49</xdr:row>
      <xdr:rowOff>0</xdr:rowOff>
    </xdr:from>
    <xdr:to>
      <xdr:col>13</xdr:col>
      <xdr:colOff>123825</xdr:colOff>
      <xdr:row>50</xdr:row>
      <xdr:rowOff>47625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1571625" y="8505825"/>
          <a:ext cx="657225" cy="276225"/>
        </a:xfrm>
        <a:prstGeom prst="rightArrow">
          <a:avLst>
            <a:gd name="adj1" fmla="val 50000"/>
            <a:gd name="adj2" fmla="val 59483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t-PT" sz="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SOMAS</a:t>
          </a:r>
        </a:p>
      </xdr:txBody>
    </xdr:sp>
    <xdr:clientData/>
  </xdr:twoCellAnchor>
  <xdr:twoCellAnchor>
    <xdr:from>
      <xdr:col>19</xdr:col>
      <xdr:colOff>9525</xdr:colOff>
      <xdr:row>1</xdr:row>
      <xdr:rowOff>171450</xdr:rowOff>
    </xdr:from>
    <xdr:to>
      <xdr:col>24</xdr:col>
      <xdr:colOff>114300</xdr:colOff>
      <xdr:row>3</xdr:row>
      <xdr:rowOff>190500</xdr:rowOff>
    </xdr:to>
    <xdr:sp macro="" textlink="">
      <xdr:nvSpPr>
        <xdr:cNvPr id="3" name="WordArt 4"/>
        <xdr:cNvSpPr>
          <a:spLocks noChangeArrowheads="1" noChangeShapeType="1" noTextEdit="1"/>
        </xdr:cNvSpPr>
      </xdr:nvSpPr>
      <xdr:spPr bwMode="auto">
        <a:xfrm>
          <a:off x="3181350" y="333375"/>
          <a:ext cx="62865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t-PT" sz="36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808080"/>
                </a:outerShdw>
              </a:effectLst>
              <a:latin typeface="Arial Black"/>
            </a:rPr>
            <a:t>I  V  A</a:t>
          </a:r>
        </a:p>
      </xdr:txBody>
    </xdr:sp>
    <xdr:clientData/>
  </xdr:twoCellAnchor>
  <xdr:twoCellAnchor>
    <xdr:from>
      <xdr:col>12</xdr:col>
      <xdr:colOff>0</xdr:colOff>
      <xdr:row>81</xdr:row>
      <xdr:rowOff>85725</xdr:rowOff>
    </xdr:from>
    <xdr:to>
      <xdr:col>14</xdr:col>
      <xdr:colOff>9525</xdr:colOff>
      <xdr:row>81</xdr:row>
      <xdr:rowOff>85725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1924050" y="140112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83</xdr:row>
      <xdr:rowOff>104775</xdr:rowOff>
    </xdr:from>
    <xdr:to>
      <xdr:col>16</xdr:col>
      <xdr:colOff>19050</xdr:colOff>
      <xdr:row>83</xdr:row>
      <xdr:rowOff>104775</xdr:rowOff>
    </xdr:to>
    <xdr:sp macro="" textlink="">
      <xdr:nvSpPr>
        <xdr:cNvPr id="5" name="Line 6"/>
        <xdr:cNvSpPr>
          <a:spLocks noChangeShapeType="1"/>
        </xdr:cNvSpPr>
      </xdr:nvSpPr>
      <xdr:spPr bwMode="auto">
        <a:xfrm flipV="1">
          <a:off x="1924050" y="14563725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81</xdr:row>
      <xdr:rowOff>76200</xdr:rowOff>
    </xdr:from>
    <xdr:to>
      <xdr:col>12</xdr:col>
      <xdr:colOff>0</xdr:colOff>
      <xdr:row>83</xdr:row>
      <xdr:rowOff>104775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924050" y="14001750"/>
          <a:ext cx="0" cy="56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82</xdr:row>
      <xdr:rowOff>104775</xdr:rowOff>
    </xdr:from>
    <xdr:to>
      <xdr:col>12</xdr:col>
      <xdr:colOff>9525</xdr:colOff>
      <xdr:row>82</xdr:row>
      <xdr:rowOff>104775</xdr:rowOff>
    </xdr:to>
    <xdr:sp macro="" textlink="">
      <xdr:nvSpPr>
        <xdr:cNvPr id="7" name="Line 8"/>
        <xdr:cNvSpPr>
          <a:spLocks noChangeShapeType="1"/>
        </xdr:cNvSpPr>
      </xdr:nvSpPr>
      <xdr:spPr bwMode="auto">
        <a:xfrm>
          <a:off x="1504950" y="1429702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104775</xdr:rowOff>
        </xdr:from>
        <xdr:to>
          <xdr:col>4</xdr:col>
          <xdr:colOff>219075</xdr:colOff>
          <xdr:row>4</xdr:row>
          <xdr:rowOff>19050</xdr:rowOff>
        </xdr:to>
        <xdr:sp macro="" textlink="">
          <xdr:nvSpPr>
            <xdr:cNvPr id="21505" name="Object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76200</xdr:colOff>
          <xdr:row>1</xdr:row>
          <xdr:rowOff>57150</xdr:rowOff>
        </xdr:from>
        <xdr:to>
          <xdr:col>24</xdr:col>
          <xdr:colOff>142875</xdr:colOff>
          <xdr:row>3</xdr:row>
          <xdr:rowOff>323850</xdr:rowOff>
        </xdr:to>
        <xdr:sp macro="" textlink="">
          <xdr:nvSpPr>
            <xdr:cNvPr id="21506" name="Object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8</xdr:row>
      <xdr:rowOff>90487</xdr:rowOff>
    </xdr:from>
    <xdr:to>
      <xdr:col>8</xdr:col>
      <xdr:colOff>133350</xdr:colOff>
      <xdr:row>22</xdr:row>
      <xdr:rowOff>166687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9</xdr:row>
      <xdr:rowOff>61912</xdr:rowOff>
    </xdr:from>
    <xdr:to>
      <xdr:col>11</xdr:col>
      <xdr:colOff>533400</xdr:colOff>
      <xdr:row>23</xdr:row>
      <xdr:rowOff>138112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11</xdr:row>
      <xdr:rowOff>61912</xdr:rowOff>
    </xdr:from>
    <xdr:to>
      <xdr:col>12</xdr:col>
      <xdr:colOff>314325</xdr:colOff>
      <xdr:row>25</xdr:row>
      <xdr:rowOff>109537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13</xdr:row>
      <xdr:rowOff>166686</xdr:rowOff>
    </xdr:from>
    <xdr:to>
      <xdr:col>12</xdr:col>
      <xdr:colOff>266700</xdr:colOff>
      <xdr:row>30</xdr:row>
      <xdr:rowOff>190499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orary%20Internet%20Files/Content.IE5/UQ9AYUD1/MM_PO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&#186;ano\7&#186;Semestre\Projecto%20de%20Simula&#231;&#227;o%20Empresarial\trabalho\GRUPO%20DE%202\Nova%20pasta\GRUPO%201%20OR&#199;AMEN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&#186;ano\7&#186;Semestre\Projecto%20de%20Simula&#231;&#227;o%20Empresarial\trabalho\Grupo%20de%204\Grupo%20de%204\Grupo%20de%204-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&#186;ano\7&#186;Semestre\Projecto%20de%20Simula&#231;&#227;o%20Empresarial\trabalho\GRUPO%20DE%202\Nova%20pasta\DF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&#186;ano\7&#186;Semestre\Projecto%20de%20Simula&#231;&#227;o%20Empresarial\trabalho\GRUPO%20DE%202\Nova%20pasta\aaaaaa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&#186;ano\7&#186;Semestre\Projecto%20de%20Simula&#231;&#227;o%20Empresarial\trabalho\Grupo%20de%204\Segundo%20Semestr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OR&#199;AMENT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&#186;ano\7&#186;Semestre\Projecto%20de%20Simula&#231;&#227;o%20Empresarial\trabalho\Grupo%20de%204\Grupo%20de%20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Fixos Tangiveis"/>
      <sheetName val="Depreciação"/>
      <sheetName val="Custo com pesoal  "/>
      <sheetName val="Tabela de IUR 2012"/>
      <sheetName val="FSE"/>
      <sheetName val="Programa e Orçamento de ven (2"/>
      <sheetName val="Programa e Orçamento de venda "/>
      <sheetName val="orçamento dos Custo da Produçã "/>
      <sheetName val="Programa e orçament de produção"/>
      <sheetName val="Amortização do emprestimo"/>
      <sheetName val="Orçamento de tesouraria"/>
      <sheetName val="Orçamento Financeiro"/>
      <sheetName val="Balanço Inicial"/>
    </sheetNames>
    <sheetDataSet>
      <sheetData sheetId="0">
        <row r="80">
          <cell r="E80">
            <v>6238931.7722399998</v>
          </cell>
        </row>
      </sheetData>
      <sheetData sheetId="1">
        <row r="13">
          <cell r="B13">
            <v>1360556.75</v>
          </cell>
        </row>
        <row r="20">
          <cell r="B20">
            <v>1051618.2999999998</v>
          </cell>
        </row>
        <row r="27">
          <cell r="B27">
            <v>869528.75</v>
          </cell>
        </row>
        <row r="42">
          <cell r="B42">
            <v>180043.59999999998</v>
          </cell>
        </row>
        <row r="46">
          <cell r="B46">
            <v>826563.8</v>
          </cell>
        </row>
        <row r="52">
          <cell r="B52">
            <v>201321.47999999998</v>
          </cell>
        </row>
        <row r="63">
          <cell r="B63">
            <v>55649.092239999998</v>
          </cell>
        </row>
        <row r="65">
          <cell r="E65">
            <v>50000</v>
          </cell>
        </row>
        <row r="66">
          <cell r="E66">
            <v>24000</v>
          </cell>
        </row>
        <row r="67">
          <cell r="E67">
            <v>30000</v>
          </cell>
        </row>
        <row r="68">
          <cell r="E68">
            <v>50700</v>
          </cell>
        </row>
        <row r="69">
          <cell r="E69">
            <v>19700</v>
          </cell>
        </row>
        <row r="70">
          <cell r="E70">
            <v>10000</v>
          </cell>
        </row>
        <row r="71">
          <cell r="E71">
            <v>1750</v>
          </cell>
        </row>
        <row r="72">
          <cell r="E72">
            <v>1500</v>
          </cell>
        </row>
        <row r="73">
          <cell r="E73">
            <v>6000</v>
          </cell>
        </row>
        <row r="76">
          <cell r="E76">
            <v>1500000</v>
          </cell>
        </row>
      </sheetData>
      <sheetData sheetId="2" refreshError="1"/>
      <sheetData sheetId="3" refreshError="1"/>
      <sheetData sheetId="4">
        <row r="8">
          <cell r="C8">
            <v>20000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Tangiveis"/>
      <sheetName val="Depreciação e Amortização"/>
      <sheetName val="Custo com pesoal  a "/>
      <sheetName val="Tabela de IUR 2012"/>
      <sheetName val="FSE"/>
      <sheetName val="Programa e Orçamento de venda "/>
      <sheetName val="orçamento dos Custo da Produçã "/>
      <sheetName val="Programa e orçament de produção"/>
      <sheetName val="Amortização do emprestimo"/>
      <sheetName val="Orçamento de tesouraria"/>
      <sheetName val="Orçamento Financeiro"/>
      <sheetName val="Balanço Inicial"/>
      <sheetName val="Folha1"/>
      <sheetName val="Folha3"/>
      <sheetName val="Folha2"/>
    </sheetNames>
    <sheetDataSet>
      <sheetData sheetId="0" refreshError="1">
        <row r="51">
          <cell r="E51">
            <v>0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H7">
            <v>90000</v>
          </cell>
        </row>
        <row r="9">
          <cell r="H9">
            <v>15000</v>
          </cell>
        </row>
        <row r="10">
          <cell r="H10">
            <v>45000</v>
          </cell>
        </row>
        <row r="12">
          <cell r="C12">
            <v>50000</v>
          </cell>
        </row>
        <row r="13">
          <cell r="H13">
            <v>45000</v>
          </cell>
        </row>
        <row r="15">
          <cell r="H15">
            <v>45000</v>
          </cell>
        </row>
        <row r="16">
          <cell r="H16">
            <v>54000</v>
          </cell>
        </row>
        <row r="17">
          <cell r="H17">
            <v>35175</v>
          </cell>
        </row>
        <row r="18">
          <cell r="C18">
            <v>8250</v>
          </cell>
          <cell r="H18">
            <v>24750</v>
          </cell>
        </row>
      </sheetData>
      <sheetData sheetId="5" refreshError="1">
        <row r="26">
          <cell r="F26">
            <v>5074524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LANÇO INCIAL"/>
      <sheetName val="Diario"/>
      <sheetName val="Razão"/>
      <sheetName val="Balancete"/>
      <sheetName val="DRE"/>
      <sheetName val="BALANÇO FINAL"/>
      <sheetName val="Fluxo de Caixa"/>
      <sheetName val="Pesquisar Contas"/>
      <sheetName val="DFC"/>
      <sheetName val="Amortização Emprestimo taxa 8,7"/>
    </sheetNames>
    <sheetDataSet>
      <sheetData sheetId="0"/>
      <sheetData sheetId="1"/>
      <sheetData sheetId="2">
        <row r="17">
          <cell r="J17">
            <v>7000000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Fixos Tangiveis"/>
      <sheetName val="Depreciação"/>
      <sheetName val="Taxa de Amort e Depreciação"/>
      <sheetName val="Custo com pesoal  a "/>
      <sheetName val="Tabela de IUR 2012"/>
      <sheetName val="FSE"/>
      <sheetName val="Programa e Orçamento de venda "/>
      <sheetName val="Programa e orçament de produção"/>
      <sheetName val="programa compras "/>
      <sheetName val="Orçamento de compra"/>
      <sheetName val="Amortização Emprestimo taxa 8,7"/>
      <sheetName val="orçamento dos Custo da Produçã "/>
      <sheetName val="Orçamen. Tesouraria"/>
      <sheetName val="Orçamen. Financeiro"/>
      <sheetName val="BALANÇO INCIAL"/>
      <sheetName val="Evolução da actividade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275000</v>
          </cell>
          <cell r="E9">
            <v>22000</v>
          </cell>
          <cell r="F9">
            <v>41250</v>
          </cell>
          <cell r="G9">
            <v>23350</v>
          </cell>
        </row>
        <row r="23">
          <cell r="D23">
            <v>665000</v>
          </cell>
          <cell r="E23">
            <v>53200</v>
          </cell>
          <cell r="F23">
            <v>99750</v>
          </cell>
          <cell r="G23">
            <v>8000</v>
          </cell>
        </row>
      </sheetData>
      <sheetData sheetId="4" refreshError="1"/>
      <sheetData sheetId="5" refreshError="1"/>
      <sheetData sheetId="6" refreshError="1">
        <row r="34">
          <cell r="F34">
            <v>14623224</v>
          </cell>
          <cell r="G34">
            <v>14623224</v>
          </cell>
          <cell r="H34">
            <v>14623224</v>
          </cell>
        </row>
      </sheetData>
      <sheetData sheetId="7" refreshError="1"/>
      <sheetData sheetId="8" refreshError="1"/>
      <sheetData sheetId="9" refreshError="1">
        <row r="33">
          <cell r="D33">
            <v>7983420</v>
          </cell>
          <cell r="E33">
            <v>7272336</v>
          </cell>
          <cell r="F33">
            <v>7272336</v>
          </cell>
          <cell r="G33">
            <v>7279536</v>
          </cell>
        </row>
        <row r="66">
          <cell r="H66">
            <v>3166284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Tangiveis"/>
      <sheetName val="Depreciação e Amortização"/>
      <sheetName val="Custo com pesoal  a "/>
      <sheetName val="Tabela de IUR 2012"/>
      <sheetName val="FSE"/>
      <sheetName val="Programa e Orçamento de venda "/>
      <sheetName val="orçamento dos Custo da Produçã "/>
      <sheetName val="Programa e orçament de produção"/>
      <sheetName val="Amortização do emprestimo"/>
      <sheetName val="Orçamento de tesouraria"/>
      <sheetName val="Orçamento Financeiro"/>
      <sheetName val="Balanço Inic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H7">
            <v>75000</v>
          </cell>
        </row>
        <row r="9">
          <cell r="H9">
            <v>9000</v>
          </cell>
        </row>
        <row r="10">
          <cell r="H10">
            <v>30000</v>
          </cell>
        </row>
        <row r="12">
          <cell r="H12">
            <v>150000</v>
          </cell>
        </row>
        <row r="13">
          <cell r="H13">
            <v>45000</v>
          </cell>
        </row>
        <row r="15">
          <cell r="H15">
            <v>45000</v>
          </cell>
        </row>
        <row r="16">
          <cell r="H16">
            <v>54000</v>
          </cell>
        </row>
        <row r="17">
          <cell r="H17">
            <v>35175</v>
          </cell>
        </row>
        <row r="18">
          <cell r="H18">
            <v>22125</v>
          </cell>
        </row>
      </sheetData>
      <sheetData sheetId="5" refreshError="1">
        <row r="26">
          <cell r="F26">
            <v>4273932</v>
          </cell>
        </row>
      </sheetData>
      <sheetData sheetId="6" refreshError="1"/>
      <sheetData sheetId="7" refreshError="1"/>
      <sheetData sheetId="8" refreshError="1"/>
      <sheetData sheetId="9" refreshError="1">
        <row r="27">
          <cell r="D27">
            <v>113592.11028428876</v>
          </cell>
        </row>
        <row r="28">
          <cell r="D28">
            <v>35934.939363818012</v>
          </cell>
        </row>
      </sheetData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 INCIAL"/>
      <sheetName val="Amortização Emprestimo taxa 8%"/>
      <sheetName val="Diario"/>
      <sheetName val="Razão"/>
      <sheetName val="Balancete"/>
      <sheetName val="DRE"/>
      <sheetName val="BALANÇO FINAL"/>
      <sheetName val="Fluxo de Caixa"/>
      <sheetName val="Balanço "/>
      <sheetName val="DRN "/>
      <sheetName val="Pesquisar Contas"/>
      <sheetName val="DFC"/>
      <sheetName val="DACP"/>
      <sheetName val="Modelo 1B"/>
      <sheetName val="ANEXO 1"/>
      <sheetName val="ANEXO 2"/>
      <sheetName val="ANEXO 3"/>
      <sheetName val="ANEXO 4"/>
      <sheetName val="ANEXO 5"/>
      <sheetName val="Folha1"/>
      <sheetName val="Folha2"/>
    </sheetNames>
    <sheetDataSet>
      <sheetData sheetId="0">
        <row r="52">
          <cell r="F52">
            <v>5000000</v>
          </cell>
        </row>
      </sheetData>
      <sheetData sheetId="1" refreshError="1"/>
      <sheetData sheetId="2" refreshError="1"/>
      <sheetData sheetId="3">
        <row r="64">
          <cell r="B64">
            <v>3408961.3291799999</v>
          </cell>
        </row>
      </sheetData>
      <sheetData sheetId="4">
        <row r="21">
          <cell r="K21">
            <v>140700</v>
          </cell>
        </row>
      </sheetData>
      <sheetData sheetId="5" refreshError="1"/>
      <sheetData sheetId="6" refreshError="1"/>
      <sheetData sheetId="7" refreshError="1"/>
      <sheetData sheetId="8">
        <row r="7">
          <cell r="D7">
            <v>4954198.8291800003</v>
          </cell>
        </row>
        <row r="19">
          <cell r="D19">
            <v>3166284</v>
          </cell>
        </row>
        <row r="21">
          <cell r="D21">
            <v>1306494</v>
          </cell>
        </row>
        <row r="30">
          <cell r="D30">
            <v>5522492.8036680743</v>
          </cell>
        </row>
        <row r="35">
          <cell r="D35">
            <v>3000000</v>
          </cell>
        </row>
        <row r="39">
          <cell r="D39">
            <v>178660.47333263169</v>
          </cell>
        </row>
        <row r="40">
          <cell r="D40">
            <v>178660.47333263169</v>
          </cell>
        </row>
        <row r="45">
          <cell r="D45">
            <v>3215888.5199873704</v>
          </cell>
        </row>
        <row r="52">
          <cell r="D52">
            <v>4087562.2570213843</v>
          </cell>
        </row>
        <row r="60">
          <cell r="D60">
            <v>3097628.0869565224</v>
          </cell>
        </row>
        <row r="63">
          <cell r="D63">
            <v>1191069.8222175448</v>
          </cell>
        </row>
      </sheetData>
      <sheetData sheetId="9">
        <row r="6">
          <cell r="E6">
            <v>45443269.565217398</v>
          </cell>
        </row>
        <row r="10">
          <cell r="E10">
            <v>-22753392.521739133</v>
          </cell>
        </row>
        <row r="11">
          <cell r="E11">
            <v>-1978439.1304347825</v>
          </cell>
        </row>
        <row r="12">
          <cell r="E12">
            <v>-14250600</v>
          </cell>
        </row>
        <row r="19">
          <cell r="E19">
            <v>-20000</v>
          </cell>
        </row>
        <row r="21">
          <cell r="E21">
            <v>-1384732.94306</v>
          </cell>
        </row>
        <row r="24">
          <cell r="E24">
            <v>-291825.68111330573</v>
          </cell>
        </row>
        <row r="26">
          <cell r="E26">
            <v>-1191069.8222175448</v>
          </cell>
        </row>
      </sheetData>
      <sheetData sheetId="10" refreshError="1"/>
      <sheetData sheetId="11" refreshError="1">
        <row r="6">
          <cell r="E6">
            <v>44372265.565217398</v>
          </cell>
        </row>
        <row r="7">
          <cell r="E7">
            <v>-24751831.652173914</v>
          </cell>
        </row>
        <row r="8">
          <cell r="E8">
            <v>-14250600</v>
          </cell>
        </row>
        <row r="35">
          <cell r="E35">
            <v>-1216583.6573048208</v>
          </cell>
        </row>
        <row r="36">
          <cell r="E36">
            <v>-291825.68111330573</v>
          </cell>
        </row>
        <row r="44">
          <cell r="E44">
            <v>1661068.2277600002</v>
          </cell>
        </row>
        <row r="45">
          <cell r="E45">
            <v>5522492.8036680743</v>
          </cell>
        </row>
      </sheetData>
      <sheetData sheetId="12">
        <row r="20">
          <cell r="D20">
            <v>3000000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os Tangiveis"/>
      <sheetName val="Depreciação e Amortização"/>
      <sheetName val="Custo com pesoal  a "/>
      <sheetName val="Tabela de IUR 2012"/>
      <sheetName val="FSE"/>
      <sheetName val="Programa e Orçamento de venda "/>
      <sheetName val="orçamento dos Custo da Produçã "/>
      <sheetName val="Programa e orçament de produção"/>
      <sheetName val="Amortização do emprestimo"/>
      <sheetName val="Orçamento de tesouraria"/>
      <sheetName val="Orçamento Financeiro"/>
      <sheetName val="Balanço Inicial"/>
      <sheetName val="Folha1"/>
      <sheetName val="Folha3"/>
      <sheetName val="Folha2"/>
    </sheetNames>
    <sheetDataSet>
      <sheetData sheetId="0" refreshError="1"/>
      <sheetData sheetId="1" refreshError="1"/>
      <sheetData sheetId="2" refreshError="1">
        <row r="12">
          <cell r="B12">
            <v>85000</v>
          </cell>
          <cell r="C12">
            <v>12750</v>
          </cell>
          <cell r="D12">
            <v>6800</v>
          </cell>
          <cell r="F12">
            <v>1123.5</v>
          </cell>
        </row>
        <row r="18">
          <cell r="B18">
            <v>70000</v>
          </cell>
          <cell r="C18">
            <v>10500</v>
          </cell>
          <cell r="D18">
            <v>5600</v>
          </cell>
          <cell r="F18">
            <v>1123.5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9">
          <cell r="D29">
            <v>1796.7469681909008</v>
          </cell>
        </row>
        <row r="30">
          <cell r="D30">
            <v>1500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wmf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Relationship Id="rId6" Type="http://schemas.openxmlformats.org/officeDocument/2006/relationships/oleObject" Target="../embeddings/oleObject3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D2:K78"/>
  <sheetViews>
    <sheetView view="pageBreakPreview" topLeftCell="D60" zoomScaleNormal="100" zoomScaleSheetLayoutView="100" workbookViewId="0">
      <selection activeCell="D76" sqref="D76"/>
    </sheetView>
  </sheetViews>
  <sheetFormatPr defaultRowHeight="15"/>
  <cols>
    <col min="1" max="3" width="0" style="102" hidden="1" customWidth="1"/>
    <col min="4" max="4" width="58" style="102" bestFit="1" customWidth="1"/>
    <col min="5" max="5" width="9.140625" style="102"/>
    <col min="6" max="6" width="31" style="102" bestFit="1" customWidth="1"/>
    <col min="7" max="7" width="23.5703125" style="102" bestFit="1" customWidth="1"/>
    <col min="8" max="16384" width="9.140625" style="102"/>
  </cols>
  <sheetData>
    <row r="2" spans="4:8">
      <c r="D2" s="76"/>
      <c r="E2" s="77"/>
      <c r="F2" s="78"/>
      <c r="G2" s="77" t="s">
        <v>63</v>
      </c>
      <c r="H2" s="103"/>
    </row>
    <row r="3" spans="4:8">
      <c r="D3" s="617" t="s">
        <v>64</v>
      </c>
      <c r="E3" s="617" t="s">
        <v>65</v>
      </c>
      <c r="F3" s="619" t="s">
        <v>66</v>
      </c>
      <c r="G3" s="620"/>
    </row>
    <row r="4" spans="4:8">
      <c r="D4" s="618"/>
      <c r="E4" s="618"/>
      <c r="F4" s="79" t="s">
        <v>67</v>
      </c>
      <c r="G4" s="79" t="s">
        <v>68</v>
      </c>
    </row>
    <row r="5" spans="4:8">
      <c r="D5" s="80" t="s">
        <v>69</v>
      </c>
      <c r="E5" s="81"/>
      <c r="F5" s="75"/>
      <c r="G5" s="82"/>
    </row>
    <row r="6" spans="4:8">
      <c r="D6" s="83" t="s">
        <v>70</v>
      </c>
      <c r="E6" s="84"/>
      <c r="F6" s="85"/>
      <c r="G6" s="86"/>
    </row>
    <row r="7" spans="4:8">
      <c r="D7" s="86" t="s">
        <v>46</v>
      </c>
      <c r="E7" s="84"/>
      <c r="F7" s="87">
        <f>'[2]Activos Fixos Tangiveis'!$E$80</f>
        <v>6238931.7722399998</v>
      </c>
      <c r="G7" s="88">
        <v>0</v>
      </c>
    </row>
    <row r="8" spans="4:8">
      <c r="D8" s="86" t="s">
        <v>45</v>
      </c>
      <c r="E8" s="84"/>
      <c r="F8" s="88">
        <v>0</v>
      </c>
      <c r="G8" s="88">
        <v>0</v>
      </c>
    </row>
    <row r="9" spans="4:8">
      <c r="D9" s="86" t="s">
        <v>48</v>
      </c>
      <c r="E9" s="84"/>
      <c r="F9" s="88">
        <v>0</v>
      </c>
      <c r="G9" s="88">
        <v>0</v>
      </c>
    </row>
    <row r="10" spans="4:8">
      <c r="D10" s="86" t="s">
        <v>47</v>
      </c>
      <c r="E10" s="84"/>
      <c r="F10" s="88">
        <f>'[3]Activos Tangiveis'!E51</f>
        <v>0</v>
      </c>
      <c r="G10" s="88">
        <v>0</v>
      </c>
    </row>
    <row r="11" spans="4:8">
      <c r="D11" s="86" t="s">
        <v>44</v>
      </c>
      <c r="E11" s="84"/>
      <c r="F11" s="88">
        <v>0</v>
      </c>
      <c r="G11" s="88">
        <v>0</v>
      </c>
    </row>
    <row r="12" spans="4:8">
      <c r="D12" s="86" t="s">
        <v>71</v>
      </c>
      <c r="E12" s="84"/>
      <c r="F12" s="88">
        <v>0</v>
      </c>
      <c r="G12" s="88">
        <v>0</v>
      </c>
    </row>
    <row r="13" spans="4:8">
      <c r="D13" s="86" t="s">
        <v>72</v>
      </c>
      <c r="E13" s="84"/>
      <c r="F13" s="88">
        <v>0</v>
      </c>
      <c r="G13" s="88">
        <v>0</v>
      </c>
    </row>
    <row r="14" spans="4:8">
      <c r="D14" s="86" t="s">
        <v>39</v>
      </c>
      <c r="E14" s="84"/>
      <c r="F14" s="88">
        <v>0</v>
      </c>
      <c r="G14" s="88">
        <v>0</v>
      </c>
    </row>
    <row r="15" spans="4:8">
      <c r="D15" s="86" t="s">
        <v>73</v>
      </c>
      <c r="E15" s="84"/>
      <c r="F15" s="88"/>
      <c r="G15" s="88">
        <v>0</v>
      </c>
    </row>
    <row r="16" spans="4:8">
      <c r="D16" s="86" t="s">
        <v>31</v>
      </c>
      <c r="E16" s="84"/>
      <c r="F16" s="88">
        <v>0</v>
      </c>
      <c r="G16" s="88">
        <v>0</v>
      </c>
    </row>
    <row r="17" spans="4:7">
      <c r="D17" s="86" t="s">
        <v>40</v>
      </c>
      <c r="E17" s="84"/>
      <c r="F17" s="89">
        <v>0</v>
      </c>
      <c r="G17" s="89">
        <v>0</v>
      </c>
    </row>
    <row r="18" spans="4:7">
      <c r="D18" s="90" t="s">
        <v>74</v>
      </c>
      <c r="E18" s="91"/>
      <c r="F18" s="92">
        <f>SUM(F7:F17)</f>
        <v>6238931.7722399998</v>
      </c>
      <c r="G18" s="92">
        <v>0</v>
      </c>
    </row>
    <row r="19" spans="4:7">
      <c r="D19" s="83" t="s">
        <v>75</v>
      </c>
      <c r="E19" s="84"/>
      <c r="F19" s="93"/>
      <c r="G19" s="93"/>
    </row>
    <row r="20" spans="4:7">
      <c r="D20" s="86" t="s">
        <v>76</v>
      </c>
      <c r="E20" s="84"/>
      <c r="F20" s="88"/>
      <c r="G20" s="88">
        <v>0</v>
      </c>
    </row>
    <row r="21" spans="4:7">
      <c r="D21" s="86" t="s">
        <v>44</v>
      </c>
      <c r="E21" s="84"/>
      <c r="F21" s="88">
        <v>0</v>
      </c>
      <c r="G21" s="88">
        <v>0</v>
      </c>
    </row>
    <row r="22" spans="4:7">
      <c r="D22" s="86" t="s">
        <v>33</v>
      </c>
      <c r="E22" s="84"/>
      <c r="F22" s="88">
        <v>0</v>
      </c>
      <c r="G22" s="88">
        <v>0</v>
      </c>
    </row>
    <row r="23" spans="4:7">
      <c r="D23" s="86" t="s">
        <v>36</v>
      </c>
      <c r="E23" s="84"/>
      <c r="F23" s="88">
        <v>0</v>
      </c>
      <c r="G23" s="88">
        <v>0</v>
      </c>
    </row>
    <row r="24" spans="4:7">
      <c r="D24" s="86" t="s">
        <v>37</v>
      </c>
      <c r="E24" s="84"/>
      <c r="F24" s="88">
        <v>0</v>
      </c>
      <c r="G24" s="88">
        <v>0</v>
      </c>
    </row>
    <row r="25" spans="4:7">
      <c r="D25" s="86" t="s">
        <v>39</v>
      </c>
      <c r="E25" s="84"/>
      <c r="F25" s="88">
        <v>0</v>
      </c>
      <c r="G25" s="88">
        <v>0</v>
      </c>
    </row>
    <row r="26" spans="4:7">
      <c r="D26" s="86" t="s">
        <v>73</v>
      </c>
      <c r="E26" s="84"/>
      <c r="F26" s="88">
        <v>0</v>
      </c>
      <c r="G26" s="88">
        <v>0</v>
      </c>
    </row>
    <row r="27" spans="4:7">
      <c r="D27" s="86" t="s">
        <v>42</v>
      </c>
      <c r="E27" s="84"/>
      <c r="F27" s="88">
        <v>0</v>
      </c>
      <c r="G27" s="88">
        <v>0</v>
      </c>
    </row>
    <row r="28" spans="4:7">
      <c r="D28" s="86" t="s">
        <v>77</v>
      </c>
      <c r="E28" s="84"/>
      <c r="F28" s="88"/>
      <c r="G28" s="88">
        <v>0</v>
      </c>
    </row>
    <row r="29" spans="4:7">
      <c r="D29" s="86" t="s">
        <v>31</v>
      </c>
      <c r="E29" s="84"/>
      <c r="F29" s="88">
        <v>0</v>
      </c>
      <c r="G29" s="88">
        <v>0</v>
      </c>
    </row>
    <row r="30" spans="4:7">
      <c r="D30" s="94" t="s">
        <v>49</v>
      </c>
      <c r="E30" s="84"/>
      <c r="F30" s="88">
        <v>0</v>
      </c>
      <c r="G30" s="88">
        <v>0</v>
      </c>
    </row>
    <row r="31" spans="4:7">
      <c r="D31" s="86" t="s">
        <v>78</v>
      </c>
      <c r="E31" s="84"/>
      <c r="F31" s="89">
        <f>F72-F18</f>
        <v>3761068.2277600002</v>
      </c>
      <c r="G31" s="89">
        <v>0</v>
      </c>
    </row>
    <row r="32" spans="4:7">
      <c r="D32" s="86" t="s">
        <v>74</v>
      </c>
      <c r="E32" s="84"/>
      <c r="F32" s="92">
        <f>SUM(F20:F31)</f>
        <v>3761068.2277600002</v>
      </c>
      <c r="G32" s="92">
        <v>0</v>
      </c>
    </row>
    <row r="33" spans="4:7" ht="15.75" thickBot="1">
      <c r="D33" s="83" t="s">
        <v>79</v>
      </c>
      <c r="E33" s="84"/>
      <c r="F33" s="95">
        <f>SUM(F18,F32)</f>
        <v>10000000</v>
      </c>
      <c r="G33" s="95">
        <v>0</v>
      </c>
    </row>
    <row r="34" spans="4:7" ht="15.75" thickTop="1">
      <c r="D34" s="83" t="s">
        <v>80</v>
      </c>
      <c r="E34" s="84"/>
      <c r="F34" s="88"/>
      <c r="G34" s="88"/>
    </row>
    <row r="35" spans="4:7">
      <c r="D35" s="83" t="s">
        <v>81</v>
      </c>
      <c r="E35" s="84"/>
      <c r="F35" s="75"/>
      <c r="G35" s="88"/>
    </row>
    <row r="36" spans="4:7">
      <c r="D36" s="86" t="s">
        <v>82</v>
      </c>
      <c r="E36" s="84"/>
      <c r="F36" s="88">
        <f>Diario!J4</f>
        <v>3000000</v>
      </c>
      <c r="G36" s="88">
        <v>0</v>
      </c>
    </row>
    <row r="37" spans="4:7">
      <c r="D37" s="86" t="s">
        <v>50</v>
      </c>
      <c r="E37" s="84"/>
      <c r="F37" s="88">
        <v>0</v>
      </c>
      <c r="G37" s="88">
        <v>0</v>
      </c>
    </row>
    <row r="38" spans="4:7">
      <c r="D38" s="86" t="s">
        <v>51</v>
      </c>
      <c r="E38" s="84"/>
      <c r="F38" s="88">
        <v>0</v>
      </c>
      <c r="G38" s="88">
        <v>0</v>
      </c>
    </row>
    <row r="39" spans="4:7">
      <c r="D39" s="86" t="s">
        <v>52</v>
      </c>
      <c r="E39" s="84"/>
      <c r="F39" s="88">
        <v>0</v>
      </c>
      <c r="G39" s="88">
        <v>0</v>
      </c>
    </row>
    <row r="40" spans="4:7">
      <c r="D40" s="86" t="s">
        <v>53</v>
      </c>
      <c r="E40" s="84"/>
      <c r="F40" s="88">
        <v>0</v>
      </c>
      <c r="G40" s="88">
        <v>0</v>
      </c>
    </row>
    <row r="41" spans="4:7">
      <c r="D41" s="86" t="s">
        <v>54</v>
      </c>
      <c r="E41" s="84"/>
      <c r="F41" s="88">
        <v>0</v>
      </c>
      <c r="G41" s="88">
        <v>0</v>
      </c>
    </row>
    <row r="42" spans="4:7">
      <c r="D42" s="86" t="s">
        <v>55</v>
      </c>
      <c r="E42" s="84"/>
      <c r="F42" s="88">
        <v>0</v>
      </c>
      <c r="G42" s="88">
        <v>0</v>
      </c>
    </row>
    <row r="43" spans="4:7">
      <c r="D43" s="86" t="s">
        <v>56</v>
      </c>
      <c r="E43" s="84"/>
      <c r="F43" s="88">
        <v>0</v>
      </c>
      <c r="G43" s="88">
        <v>0</v>
      </c>
    </row>
    <row r="44" spans="4:7">
      <c r="D44" s="86" t="s">
        <v>83</v>
      </c>
      <c r="E44" s="84"/>
      <c r="F44" s="88">
        <v>0</v>
      </c>
      <c r="G44" s="88">
        <v>0</v>
      </c>
    </row>
    <row r="45" spans="4:7">
      <c r="D45" s="86" t="s">
        <v>57</v>
      </c>
      <c r="E45" s="84"/>
      <c r="F45" s="89">
        <v>0</v>
      </c>
      <c r="G45" s="89">
        <v>0</v>
      </c>
    </row>
    <row r="46" spans="4:7">
      <c r="D46" s="86" t="s">
        <v>84</v>
      </c>
      <c r="E46" s="84"/>
      <c r="F46" s="96">
        <v>0</v>
      </c>
      <c r="G46" s="96">
        <v>0</v>
      </c>
    </row>
    <row r="47" spans="4:7">
      <c r="D47" s="86" t="s">
        <v>85</v>
      </c>
      <c r="E47" s="84"/>
      <c r="F47" s="96">
        <v>0</v>
      </c>
      <c r="G47" s="96">
        <v>0</v>
      </c>
    </row>
    <row r="48" spans="4:7">
      <c r="D48" s="83" t="s">
        <v>86</v>
      </c>
      <c r="E48" s="84"/>
      <c r="F48" s="92">
        <f>SUM(F36:F45)</f>
        <v>3000000</v>
      </c>
      <c r="G48" s="92">
        <v>0</v>
      </c>
    </row>
    <row r="49" spans="4:7">
      <c r="D49" s="83" t="s">
        <v>87</v>
      </c>
      <c r="E49" s="84"/>
      <c r="F49" s="93"/>
      <c r="G49" s="93"/>
    </row>
    <row r="50" spans="4:7">
      <c r="D50" s="83" t="s">
        <v>88</v>
      </c>
      <c r="E50" s="84"/>
      <c r="F50" s="75"/>
      <c r="G50" s="88"/>
    </row>
    <row r="51" spans="4:7">
      <c r="D51" s="86" t="s">
        <v>43</v>
      </c>
      <c r="E51" s="84"/>
      <c r="F51" s="75"/>
      <c r="G51" s="88">
        <v>0</v>
      </c>
    </row>
    <row r="52" spans="4:7">
      <c r="D52" s="86" t="s">
        <v>38</v>
      </c>
      <c r="E52" s="84"/>
      <c r="F52" s="88">
        <f>Diario!J16</f>
        <v>7000000</v>
      </c>
      <c r="G52" s="88">
        <v>0</v>
      </c>
    </row>
    <row r="53" spans="4:7">
      <c r="D53" s="86" t="s">
        <v>89</v>
      </c>
      <c r="E53" s="84"/>
      <c r="F53" s="88">
        <v>0</v>
      </c>
      <c r="G53" s="88">
        <v>0</v>
      </c>
    </row>
    <row r="54" spans="4:7">
      <c r="D54" s="86" t="s">
        <v>37</v>
      </c>
      <c r="E54" s="84"/>
      <c r="F54" s="88">
        <v>0</v>
      </c>
      <c r="G54" s="88">
        <v>0</v>
      </c>
    </row>
    <row r="55" spans="4:7">
      <c r="D55" s="86" t="s">
        <v>39</v>
      </c>
      <c r="E55" s="84"/>
      <c r="F55" s="88">
        <v>0</v>
      </c>
      <c r="G55" s="88">
        <v>0</v>
      </c>
    </row>
    <row r="56" spans="4:7">
      <c r="D56" s="86" t="s">
        <v>41</v>
      </c>
      <c r="E56" s="84"/>
      <c r="F56" s="88">
        <v>0</v>
      </c>
      <c r="G56" s="88">
        <v>0</v>
      </c>
    </row>
    <row r="57" spans="4:7">
      <c r="D57" s="86" t="s">
        <v>90</v>
      </c>
      <c r="E57" s="84"/>
      <c r="F57" s="89">
        <v>0</v>
      </c>
      <c r="G57" s="89">
        <v>0</v>
      </c>
    </row>
    <row r="58" spans="4:7">
      <c r="D58" s="90" t="s">
        <v>74</v>
      </c>
      <c r="E58" s="84"/>
      <c r="F58" s="92">
        <f>SUM(F52:F57)</f>
        <v>7000000</v>
      </c>
      <c r="G58" s="92">
        <v>0</v>
      </c>
    </row>
    <row r="59" spans="4:7">
      <c r="D59" s="83" t="s">
        <v>91</v>
      </c>
      <c r="E59" s="84"/>
      <c r="F59" s="93"/>
      <c r="G59" s="93"/>
    </row>
    <row r="60" spans="4:7">
      <c r="D60" s="86" t="s">
        <v>35</v>
      </c>
      <c r="E60" s="84"/>
      <c r="F60" s="88">
        <v>0</v>
      </c>
      <c r="G60" s="88">
        <v>0</v>
      </c>
    </row>
    <row r="61" spans="4:7">
      <c r="D61" s="86" t="s">
        <v>34</v>
      </c>
      <c r="E61" s="84"/>
      <c r="F61" s="88">
        <v>0</v>
      </c>
      <c r="G61" s="88">
        <v>0</v>
      </c>
    </row>
    <row r="62" spans="4:7">
      <c r="D62" s="86" t="s">
        <v>37</v>
      </c>
      <c r="E62" s="84"/>
      <c r="F62" s="88">
        <v>0</v>
      </c>
      <c r="G62" s="88">
        <v>0</v>
      </c>
    </row>
    <row r="63" spans="4:7">
      <c r="D63" s="86" t="s">
        <v>39</v>
      </c>
      <c r="E63" s="84"/>
      <c r="F63" s="88">
        <v>0</v>
      </c>
      <c r="G63" s="88">
        <v>0</v>
      </c>
    </row>
    <row r="64" spans="4:7">
      <c r="D64" s="86" t="s">
        <v>38</v>
      </c>
      <c r="E64" s="84"/>
      <c r="F64" s="88"/>
      <c r="G64" s="88">
        <v>0</v>
      </c>
    </row>
    <row r="65" spans="4:11">
      <c r="D65" s="86" t="s">
        <v>90</v>
      </c>
      <c r="E65" s="84"/>
      <c r="F65" s="88">
        <v>0</v>
      </c>
      <c r="G65" s="88">
        <v>0</v>
      </c>
    </row>
    <row r="66" spans="4:11">
      <c r="D66" s="86" t="s">
        <v>42</v>
      </c>
      <c r="E66" s="84"/>
      <c r="F66" s="88">
        <v>0</v>
      </c>
      <c r="G66" s="88">
        <v>0</v>
      </c>
    </row>
    <row r="67" spans="4:11">
      <c r="D67" s="86" t="s">
        <v>92</v>
      </c>
      <c r="E67" s="84"/>
      <c r="F67" s="88">
        <v>0</v>
      </c>
      <c r="G67" s="88">
        <v>0</v>
      </c>
    </row>
    <row r="68" spans="4:11">
      <c r="D68" s="86" t="s">
        <v>32</v>
      </c>
      <c r="E68" s="84"/>
      <c r="F68" s="88">
        <v>0</v>
      </c>
      <c r="G68" s="88">
        <v>0</v>
      </c>
    </row>
    <row r="69" spans="4:11">
      <c r="D69" s="86" t="s">
        <v>93</v>
      </c>
      <c r="E69" s="84"/>
      <c r="F69" s="89"/>
      <c r="G69" s="89"/>
    </row>
    <row r="70" spans="4:11">
      <c r="D70" s="90" t="s">
        <v>94</v>
      </c>
      <c r="E70" s="91"/>
      <c r="F70" s="92">
        <v>0</v>
      </c>
      <c r="G70" s="92">
        <v>0</v>
      </c>
    </row>
    <row r="71" spans="4:11" ht="15.75" thickBot="1">
      <c r="D71" s="83" t="s">
        <v>95</v>
      </c>
      <c r="E71" s="84"/>
      <c r="F71" s="97">
        <f>SUM(F58,F70)</f>
        <v>7000000</v>
      </c>
      <c r="G71" s="97">
        <v>0</v>
      </c>
      <c r="K71" s="105"/>
    </row>
    <row r="72" spans="4:11" ht="15.75" thickBot="1">
      <c r="D72" s="98" t="s">
        <v>96</v>
      </c>
      <c r="E72" s="99"/>
      <c r="F72" s="100">
        <f>SUM(F71,F48)</f>
        <v>10000000</v>
      </c>
      <c r="G72" s="101">
        <v>0</v>
      </c>
    </row>
    <row r="73" spans="4:11">
      <c r="D73" s="103"/>
      <c r="E73" s="103"/>
      <c r="F73" s="104"/>
      <c r="G73" s="103"/>
    </row>
    <row r="74" spans="4:11">
      <c r="D74" s="103"/>
      <c r="E74" s="103"/>
      <c r="F74" s="104"/>
      <c r="G74" s="103"/>
    </row>
    <row r="75" spans="4:11">
      <c r="D75" s="103"/>
      <c r="E75" s="621"/>
      <c r="F75" s="621"/>
      <c r="G75" s="103"/>
    </row>
    <row r="76" spans="4:11">
      <c r="D76" s="103"/>
      <c r="E76" s="103"/>
      <c r="F76" s="106">
        <v>0</v>
      </c>
      <c r="G76" s="106">
        <v>0</v>
      </c>
    </row>
    <row r="77" spans="4:11">
      <c r="D77" s="103"/>
      <c r="E77" s="103"/>
      <c r="F77" s="104"/>
      <c r="G77" s="104"/>
    </row>
    <row r="78" spans="4:11">
      <c r="D78" s="103"/>
      <c r="E78" s="103"/>
      <c r="F78" s="104"/>
      <c r="G78" s="104"/>
    </row>
  </sheetData>
  <sheetProtection password="ED12" sheet="1" objects="1"/>
  <mergeCells count="4">
    <mergeCell ref="D3:D4"/>
    <mergeCell ref="E3:E4"/>
    <mergeCell ref="F3:G3"/>
    <mergeCell ref="E75:F75"/>
  </mergeCells>
  <pageMargins left="0.7" right="0.7" top="0.75" bottom="0.75" header="0.3" footer="0.3"/>
  <pageSetup paperSize="9" scale="55" orientation="portrait" r:id="rId1"/>
  <headerFooter>
    <oddHeader xml:space="preserve">&amp;L&amp;"Times New Roman,Normal"&amp;12Entidade: Restaurante Bar Calhau, SA
BALANÇO INICAL&amp;C&amp;"Times New Roman,Normal"&amp;12
BALANÇO INICIAL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I342"/>
  <sheetViews>
    <sheetView topLeftCell="A54" zoomScale="85" zoomScaleNormal="85" workbookViewId="0">
      <pane xSplit="13875" topLeftCell="AB1"/>
      <selection activeCell="C59" sqref="C59"/>
      <selection pane="topRight" activeCell="AB13" sqref="AB13"/>
    </sheetView>
  </sheetViews>
  <sheetFormatPr defaultRowHeight="16.5"/>
  <cols>
    <col min="1" max="1" width="4.5703125" style="317" bestFit="1" customWidth="1"/>
    <col min="2" max="2" width="21.42578125" style="404" customWidth="1"/>
    <col min="3" max="3" width="17.85546875" style="405" customWidth="1"/>
    <col min="4" max="4" width="12" style="405" customWidth="1"/>
    <col min="5" max="5" width="17.140625" style="404" bestFit="1" customWidth="1"/>
    <col min="6" max="6" width="11.28515625" style="405" bestFit="1" customWidth="1"/>
    <col min="7" max="7" width="18.42578125" style="404" customWidth="1"/>
    <col min="8" max="8" width="10.140625" style="405" bestFit="1" customWidth="1"/>
    <col min="9" max="9" width="10" style="404" bestFit="1" customWidth="1"/>
    <col min="10" max="10" width="17.28515625" style="405" bestFit="1" customWidth="1"/>
    <col min="11" max="11" width="11.42578125" style="405" customWidth="1"/>
    <col min="12" max="12" width="0.140625" style="347" customWidth="1"/>
    <col min="13" max="13" width="14" style="319" hidden="1" customWidth="1"/>
    <col min="14" max="35" width="9.140625" style="319"/>
    <col min="36" max="256" width="9.140625" style="405"/>
    <col min="257" max="257" width="4.5703125" style="405" bestFit="1" customWidth="1"/>
    <col min="258" max="258" width="21.42578125" style="405" customWidth="1"/>
    <col min="259" max="259" width="17.85546875" style="405" customWidth="1"/>
    <col min="260" max="260" width="12" style="405" customWidth="1"/>
    <col min="261" max="261" width="17.140625" style="405" bestFit="1" customWidth="1"/>
    <col min="262" max="262" width="11.28515625" style="405" bestFit="1" customWidth="1"/>
    <col min="263" max="263" width="18.42578125" style="405" customWidth="1"/>
    <col min="264" max="264" width="10.140625" style="405" bestFit="1" customWidth="1"/>
    <col min="265" max="265" width="10" style="405" bestFit="1" customWidth="1"/>
    <col min="266" max="266" width="17.28515625" style="405" bestFit="1" customWidth="1"/>
    <col min="267" max="267" width="11.42578125" style="405" customWidth="1"/>
    <col min="268" max="268" width="0.140625" style="405" customWidth="1"/>
    <col min="269" max="269" width="0" style="405" hidden="1" customWidth="1"/>
    <col min="270" max="512" width="9.140625" style="405"/>
    <col min="513" max="513" width="4.5703125" style="405" bestFit="1" customWidth="1"/>
    <col min="514" max="514" width="21.42578125" style="405" customWidth="1"/>
    <col min="515" max="515" width="17.85546875" style="405" customWidth="1"/>
    <col min="516" max="516" width="12" style="405" customWidth="1"/>
    <col min="517" max="517" width="17.140625" style="405" bestFit="1" customWidth="1"/>
    <col min="518" max="518" width="11.28515625" style="405" bestFit="1" customWidth="1"/>
    <col min="519" max="519" width="18.42578125" style="405" customWidth="1"/>
    <col min="520" max="520" width="10.140625" style="405" bestFit="1" customWidth="1"/>
    <col min="521" max="521" width="10" style="405" bestFit="1" customWidth="1"/>
    <col min="522" max="522" width="17.28515625" style="405" bestFit="1" customWidth="1"/>
    <col min="523" max="523" width="11.42578125" style="405" customWidth="1"/>
    <col min="524" max="524" width="0.140625" style="405" customWidth="1"/>
    <col min="525" max="525" width="0" style="405" hidden="1" customWidth="1"/>
    <col min="526" max="768" width="9.140625" style="405"/>
    <col min="769" max="769" width="4.5703125" style="405" bestFit="1" customWidth="1"/>
    <col min="770" max="770" width="21.42578125" style="405" customWidth="1"/>
    <col min="771" max="771" width="17.85546875" style="405" customWidth="1"/>
    <col min="772" max="772" width="12" style="405" customWidth="1"/>
    <col min="773" max="773" width="17.140625" style="405" bestFit="1" customWidth="1"/>
    <col min="774" max="774" width="11.28515625" style="405" bestFit="1" customWidth="1"/>
    <col min="775" max="775" width="18.42578125" style="405" customWidth="1"/>
    <col min="776" max="776" width="10.140625" style="405" bestFit="1" customWidth="1"/>
    <col min="777" max="777" width="10" style="405" bestFit="1" customWidth="1"/>
    <col min="778" max="778" width="17.28515625" style="405" bestFit="1" customWidth="1"/>
    <col min="779" max="779" width="11.42578125" style="405" customWidth="1"/>
    <col min="780" max="780" width="0.140625" style="405" customWidth="1"/>
    <col min="781" max="781" width="0" style="405" hidden="1" customWidth="1"/>
    <col min="782" max="1024" width="9.140625" style="405"/>
    <col min="1025" max="1025" width="4.5703125" style="405" bestFit="1" customWidth="1"/>
    <col min="1026" max="1026" width="21.42578125" style="405" customWidth="1"/>
    <col min="1027" max="1027" width="17.85546875" style="405" customWidth="1"/>
    <col min="1028" max="1028" width="12" style="405" customWidth="1"/>
    <col min="1029" max="1029" width="17.140625" style="405" bestFit="1" customWidth="1"/>
    <col min="1030" max="1030" width="11.28515625" style="405" bestFit="1" customWidth="1"/>
    <col min="1031" max="1031" width="18.42578125" style="405" customWidth="1"/>
    <col min="1032" max="1032" width="10.140625" style="405" bestFit="1" customWidth="1"/>
    <col min="1033" max="1033" width="10" style="405" bestFit="1" customWidth="1"/>
    <col min="1034" max="1034" width="17.28515625" style="405" bestFit="1" customWidth="1"/>
    <col min="1035" max="1035" width="11.42578125" style="405" customWidth="1"/>
    <col min="1036" max="1036" width="0.140625" style="405" customWidth="1"/>
    <col min="1037" max="1037" width="0" style="405" hidden="1" customWidth="1"/>
    <col min="1038" max="1280" width="9.140625" style="405"/>
    <col min="1281" max="1281" width="4.5703125" style="405" bestFit="1" customWidth="1"/>
    <col min="1282" max="1282" width="21.42578125" style="405" customWidth="1"/>
    <col min="1283" max="1283" width="17.85546875" style="405" customWidth="1"/>
    <col min="1284" max="1284" width="12" style="405" customWidth="1"/>
    <col min="1285" max="1285" width="17.140625" style="405" bestFit="1" customWidth="1"/>
    <col min="1286" max="1286" width="11.28515625" style="405" bestFit="1" customWidth="1"/>
    <col min="1287" max="1287" width="18.42578125" style="405" customWidth="1"/>
    <col min="1288" max="1288" width="10.140625" style="405" bestFit="1" customWidth="1"/>
    <col min="1289" max="1289" width="10" style="405" bestFit="1" customWidth="1"/>
    <col min="1290" max="1290" width="17.28515625" style="405" bestFit="1" customWidth="1"/>
    <col min="1291" max="1291" width="11.42578125" style="405" customWidth="1"/>
    <col min="1292" max="1292" width="0.140625" style="405" customWidth="1"/>
    <col min="1293" max="1293" width="0" style="405" hidden="1" customWidth="1"/>
    <col min="1294" max="1536" width="9.140625" style="405"/>
    <col min="1537" max="1537" width="4.5703125" style="405" bestFit="1" customWidth="1"/>
    <col min="1538" max="1538" width="21.42578125" style="405" customWidth="1"/>
    <col min="1539" max="1539" width="17.85546875" style="405" customWidth="1"/>
    <col min="1540" max="1540" width="12" style="405" customWidth="1"/>
    <col min="1541" max="1541" width="17.140625" style="405" bestFit="1" customWidth="1"/>
    <col min="1542" max="1542" width="11.28515625" style="405" bestFit="1" customWidth="1"/>
    <col min="1543" max="1543" width="18.42578125" style="405" customWidth="1"/>
    <col min="1544" max="1544" width="10.140625" style="405" bestFit="1" customWidth="1"/>
    <col min="1545" max="1545" width="10" style="405" bestFit="1" customWidth="1"/>
    <col min="1546" max="1546" width="17.28515625" style="405" bestFit="1" customWidth="1"/>
    <col min="1547" max="1547" width="11.42578125" style="405" customWidth="1"/>
    <col min="1548" max="1548" width="0.140625" style="405" customWidth="1"/>
    <col min="1549" max="1549" width="0" style="405" hidden="1" customWidth="1"/>
    <col min="1550" max="1792" width="9.140625" style="405"/>
    <col min="1793" max="1793" width="4.5703125" style="405" bestFit="1" customWidth="1"/>
    <col min="1794" max="1794" width="21.42578125" style="405" customWidth="1"/>
    <col min="1795" max="1795" width="17.85546875" style="405" customWidth="1"/>
    <col min="1796" max="1796" width="12" style="405" customWidth="1"/>
    <col min="1797" max="1797" width="17.140625" style="405" bestFit="1" customWidth="1"/>
    <col min="1798" max="1798" width="11.28515625" style="405" bestFit="1" customWidth="1"/>
    <col min="1799" max="1799" width="18.42578125" style="405" customWidth="1"/>
    <col min="1800" max="1800" width="10.140625" style="405" bestFit="1" customWidth="1"/>
    <col min="1801" max="1801" width="10" style="405" bestFit="1" customWidth="1"/>
    <col min="1802" max="1802" width="17.28515625" style="405" bestFit="1" customWidth="1"/>
    <col min="1803" max="1803" width="11.42578125" style="405" customWidth="1"/>
    <col min="1804" max="1804" width="0.140625" style="405" customWidth="1"/>
    <col min="1805" max="1805" width="0" style="405" hidden="1" customWidth="1"/>
    <col min="1806" max="2048" width="9.140625" style="405"/>
    <col min="2049" max="2049" width="4.5703125" style="405" bestFit="1" customWidth="1"/>
    <col min="2050" max="2050" width="21.42578125" style="405" customWidth="1"/>
    <col min="2051" max="2051" width="17.85546875" style="405" customWidth="1"/>
    <col min="2052" max="2052" width="12" style="405" customWidth="1"/>
    <col min="2053" max="2053" width="17.140625" style="405" bestFit="1" customWidth="1"/>
    <col min="2054" max="2054" width="11.28515625" style="405" bestFit="1" customWidth="1"/>
    <col min="2055" max="2055" width="18.42578125" style="405" customWidth="1"/>
    <col min="2056" max="2056" width="10.140625" style="405" bestFit="1" customWidth="1"/>
    <col min="2057" max="2057" width="10" style="405" bestFit="1" customWidth="1"/>
    <col min="2058" max="2058" width="17.28515625" style="405" bestFit="1" customWidth="1"/>
    <col min="2059" max="2059" width="11.42578125" style="405" customWidth="1"/>
    <col min="2060" max="2060" width="0.140625" style="405" customWidth="1"/>
    <col min="2061" max="2061" width="0" style="405" hidden="1" customWidth="1"/>
    <col min="2062" max="2304" width="9.140625" style="405"/>
    <col min="2305" max="2305" width="4.5703125" style="405" bestFit="1" customWidth="1"/>
    <col min="2306" max="2306" width="21.42578125" style="405" customWidth="1"/>
    <col min="2307" max="2307" width="17.85546875" style="405" customWidth="1"/>
    <col min="2308" max="2308" width="12" style="405" customWidth="1"/>
    <col min="2309" max="2309" width="17.140625" style="405" bestFit="1" customWidth="1"/>
    <col min="2310" max="2310" width="11.28515625" style="405" bestFit="1" customWidth="1"/>
    <col min="2311" max="2311" width="18.42578125" style="405" customWidth="1"/>
    <col min="2312" max="2312" width="10.140625" style="405" bestFit="1" customWidth="1"/>
    <col min="2313" max="2313" width="10" style="405" bestFit="1" customWidth="1"/>
    <col min="2314" max="2314" width="17.28515625" style="405" bestFit="1" customWidth="1"/>
    <col min="2315" max="2315" width="11.42578125" style="405" customWidth="1"/>
    <col min="2316" max="2316" width="0.140625" style="405" customWidth="1"/>
    <col min="2317" max="2317" width="0" style="405" hidden="1" customWidth="1"/>
    <col min="2318" max="2560" width="9.140625" style="405"/>
    <col min="2561" max="2561" width="4.5703125" style="405" bestFit="1" customWidth="1"/>
    <col min="2562" max="2562" width="21.42578125" style="405" customWidth="1"/>
    <col min="2563" max="2563" width="17.85546875" style="405" customWidth="1"/>
    <col min="2564" max="2564" width="12" style="405" customWidth="1"/>
    <col min="2565" max="2565" width="17.140625" style="405" bestFit="1" customWidth="1"/>
    <col min="2566" max="2566" width="11.28515625" style="405" bestFit="1" customWidth="1"/>
    <col min="2567" max="2567" width="18.42578125" style="405" customWidth="1"/>
    <col min="2568" max="2568" width="10.140625" style="405" bestFit="1" customWidth="1"/>
    <col min="2569" max="2569" width="10" style="405" bestFit="1" customWidth="1"/>
    <col min="2570" max="2570" width="17.28515625" style="405" bestFit="1" customWidth="1"/>
    <col min="2571" max="2571" width="11.42578125" style="405" customWidth="1"/>
    <col min="2572" max="2572" width="0.140625" style="405" customWidth="1"/>
    <col min="2573" max="2573" width="0" style="405" hidden="1" customWidth="1"/>
    <col min="2574" max="2816" width="9.140625" style="405"/>
    <col min="2817" max="2817" width="4.5703125" style="405" bestFit="1" customWidth="1"/>
    <col min="2818" max="2818" width="21.42578125" style="405" customWidth="1"/>
    <col min="2819" max="2819" width="17.85546875" style="405" customWidth="1"/>
    <col min="2820" max="2820" width="12" style="405" customWidth="1"/>
    <col min="2821" max="2821" width="17.140625" style="405" bestFit="1" customWidth="1"/>
    <col min="2822" max="2822" width="11.28515625" style="405" bestFit="1" customWidth="1"/>
    <col min="2823" max="2823" width="18.42578125" style="405" customWidth="1"/>
    <col min="2824" max="2824" width="10.140625" style="405" bestFit="1" customWidth="1"/>
    <col min="2825" max="2825" width="10" style="405" bestFit="1" customWidth="1"/>
    <col min="2826" max="2826" width="17.28515625" style="405" bestFit="1" customWidth="1"/>
    <col min="2827" max="2827" width="11.42578125" style="405" customWidth="1"/>
    <col min="2828" max="2828" width="0.140625" style="405" customWidth="1"/>
    <col min="2829" max="2829" width="0" style="405" hidden="1" customWidth="1"/>
    <col min="2830" max="3072" width="9.140625" style="405"/>
    <col min="3073" max="3073" width="4.5703125" style="405" bestFit="1" customWidth="1"/>
    <col min="3074" max="3074" width="21.42578125" style="405" customWidth="1"/>
    <col min="3075" max="3075" width="17.85546875" style="405" customWidth="1"/>
    <col min="3076" max="3076" width="12" style="405" customWidth="1"/>
    <col min="3077" max="3077" width="17.140625" style="405" bestFit="1" customWidth="1"/>
    <col min="3078" max="3078" width="11.28515625" style="405" bestFit="1" customWidth="1"/>
    <col min="3079" max="3079" width="18.42578125" style="405" customWidth="1"/>
    <col min="3080" max="3080" width="10.140625" style="405" bestFit="1" customWidth="1"/>
    <col min="3081" max="3081" width="10" style="405" bestFit="1" customWidth="1"/>
    <col min="3082" max="3082" width="17.28515625" style="405" bestFit="1" customWidth="1"/>
    <col min="3083" max="3083" width="11.42578125" style="405" customWidth="1"/>
    <col min="3084" max="3084" width="0.140625" style="405" customWidth="1"/>
    <col min="3085" max="3085" width="0" style="405" hidden="1" customWidth="1"/>
    <col min="3086" max="3328" width="9.140625" style="405"/>
    <col min="3329" max="3329" width="4.5703125" style="405" bestFit="1" customWidth="1"/>
    <col min="3330" max="3330" width="21.42578125" style="405" customWidth="1"/>
    <col min="3331" max="3331" width="17.85546875" style="405" customWidth="1"/>
    <col min="3332" max="3332" width="12" style="405" customWidth="1"/>
    <col min="3333" max="3333" width="17.140625" style="405" bestFit="1" customWidth="1"/>
    <col min="3334" max="3334" width="11.28515625" style="405" bestFit="1" customWidth="1"/>
    <col min="3335" max="3335" width="18.42578125" style="405" customWidth="1"/>
    <col min="3336" max="3336" width="10.140625" style="405" bestFit="1" customWidth="1"/>
    <col min="3337" max="3337" width="10" style="405" bestFit="1" customWidth="1"/>
    <col min="3338" max="3338" width="17.28515625" style="405" bestFit="1" customWidth="1"/>
    <col min="3339" max="3339" width="11.42578125" style="405" customWidth="1"/>
    <col min="3340" max="3340" width="0.140625" style="405" customWidth="1"/>
    <col min="3341" max="3341" width="0" style="405" hidden="1" customWidth="1"/>
    <col min="3342" max="3584" width="9.140625" style="405"/>
    <col min="3585" max="3585" width="4.5703125" style="405" bestFit="1" customWidth="1"/>
    <col min="3586" max="3586" width="21.42578125" style="405" customWidth="1"/>
    <col min="3587" max="3587" width="17.85546875" style="405" customWidth="1"/>
    <col min="3588" max="3588" width="12" style="405" customWidth="1"/>
    <col min="3589" max="3589" width="17.140625" style="405" bestFit="1" customWidth="1"/>
    <col min="3590" max="3590" width="11.28515625" style="405" bestFit="1" customWidth="1"/>
    <col min="3591" max="3591" width="18.42578125" style="405" customWidth="1"/>
    <col min="3592" max="3592" width="10.140625" style="405" bestFit="1" customWidth="1"/>
    <col min="3593" max="3593" width="10" style="405" bestFit="1" customWidth="1"/>
    <col min="3594" max="3594" width="17.28515625" style="405" bestFit="1" customWidth="1"/>
    <col min="3595" max="3595" width="11.42578125" style="405" customWidth="1"/>
    <col min="3596" max="3596" width="0.140625" style="405" customWidth="1"/>
    <col min="3597" max="3597" width="0" style="405" hidden="1" customWidth="1"/>
    <col min="3598" max="3840" width="9.140625" style="405"/>
    <col min="3841" max="3841" width="4.5703125" style="405" bestFit="1" customWidth="1"/>
    <col min="3842" max="3842" width="21.42578125" style="405" customWidth="1"/>
    <col min="3843" max="3843" width="17.85546875" style="405" customWidth="1"/>
    <col min="3844" max="3844" width="12" style="405" customWidth="1"/>
    <col min="3845" max="3845" width="17.140625" style="405" bestFit="1" customWidth="1"/>
    <col min="3846" max="3846" width="11.28515625" style="405" bestFit="1" customWidth="1"/>
    <col min="3847" max="3847" width="18.42578125" style="405" customWidth="1"/>
    <col min="3848" max="3848" width="10.140625" style="405" bestFit="1" customWidth="1"/>
    <col min="3849" max="3849" width="10" style="405" bestFit="1" customWidth="1"/>
    <col min="3850" max="3850" width="17.28515625" style="405" bestFit="1" customWidth="1"/>
    <col min="3851" max="3851" width="11.42578125" style="405" customWidth="1"/>
    <col min="3852" max="3852" width="0.140625" style="405" customWidth="1"/>
    <col min="3853" max="3853" width="0" style="405" hidden="1" customWidth="1"/>
    <col min="3854" max="4096" width="9.140625" style="405"/>
    <col min="4097" max="4097" width="4.5703125" style="405" bestFit="1" customWidth="1"/>
    <col min="4098" max="4098" width="21.42578125" style="405" customWidth="1"/>
    <col min="4099" max="4099" width="17.85546875" style="405" customWidth="1"/>
    <col min="4100" max="4100" width="12" style="405" customWidth="1"/>
    <col min="4101" max="4101" width="17.140625" style="405" bestFit="1" customWidth="1"/>
    <col min="4102" max="4102" width="11.28515625" style="405" bestFit="1" customWidth="1"/>
    <col min="4103" max="4103" width="18.42578125" style="405" customWidth="1"/>
    <col min="4104" max="4104" width="10.140625" style="405" bestFit="1" customWidth="1"/>
    <col min="4105" max="4105" width="10" style="405" bestFit="1" customWidth="1"/>
    <col min="4106" max="4106" width="17.28515625" style="405" bestFit="1" customWidth="1"/>
    <col min="4107" max="4107" width="11.42578125" style="405" customWidth="1"/>
    <col min="4108" max="4108" width="0.140625" style="405" customWidth="1"/>
    <col min="4109" max="4109" width="0" style="405" hidden="1" customWidth="1"/>
    <col min="4110" max="4352" width="9.140625" style="405"/>
    <col min="4353" max="4353" width="4.5703125" style="405" bestFit="1" customWidth="1"/>
    <col min="4354" max="4354" width="21.42578125" style="405" customWidth="1"/>
    <col min="4355" max="4355" width="17.85546875" style="405" customWidth="1"/>
    <col min="4356" max="4356" width="12" style="405" customWidth="1"/>
    <col min="4357" max="4357" width="17.140625" style="405" bestFit="1" customWidth="1"/>
    <col min="4358" max="4358" width="11.28515625" style="405" bestFit="1" customWidth="1"/>
    <col min="4359" max="4359" width="18.42578125" style="405" customWidth="1"/>
    <col min="4360" max="4360" width="10.140625" style="405" bestFit="1" customWidth="1"/>
    <col min="4361" max="4361" width="10" style="405" bestFit="1" customWidth="1"/>
    <col min="4362" max="4362" width="17.28515625" style="405" bestFit="1" customWidth="1"/>
    <col min="4363" max="4363" width="11.42578125" style="405" customWidth="1"/>
    <col min="4364" max="4364" width="0.140625" style="405" customWidth="1"/>
    <col min="4365" max="4365" width="0" style="405" hidden="1" customWidth="1"/>
    <col min="4366" max="4608" width="9.140625" style="405"/>
    <col min="4609" max="4609" width="4.5703125" style="405" bestFit="1" customWidth="1"/>
    <col min="4610" max="4610" width="21.42578125" style="405" customWidth="1"/>
    <col min="4611" max="4611" width="17.85546875" style="405" customWidth="1"/>
    <col min="4612" max="4612" width="12" style="405" customWidth="1"/>
    <col min="4613" max="4613" width="17.140625" style="405" bestFit="1" customWidth="1"/>
    <col min="4614" max="4614" width="11.28515625" style="405" bestFit="1" customWidth="1"/>
    <col min="4615" max="4615" width="18.42578125" style="405" customWidth="1"/>
    <col min="4616" max="4616" width="10.140625" style="405" bestFit="1" customWidth="1"/>
    <col min="4617" max="4617" width="10" style="405" bestFit="1" customWidth="1"/>
    <col min="4618" max="4618" width="17.28515625" style="405" bestFit="1" customWidth="1"/>
    <col min="4619" max="4619" width="11.42578125" style="405" customWidth="1"/>
    <col min="4620" max="4620" width="0.140625" style="405" customWidth="1"/>
    <col min="4621" max="4621" width="0" style="405" hidden="1" customWidth="1"/>
    <col min="4622" max="4864" width="9.140625" style="405"/>
    <col min="4865" max="4865" width="4.5703125" style="405" bestFit="1" customWidth="1"/>
    <col min="4866" max="4866" width="21.42578125" style="405" customWidth="1"/>
    <col min="4867" max="4867" width="17.85546875" style="405" customWidth="1"/>
    <col min="4868" max="4868" width="12" style="405" customWidth="1"/>
    <col min="4869" max="4869" width="17.140625" style="405" bestFit="1" customWidth="1"/>
    <col min="4870" max="4870" width="11.28515625" style="405" bestFit="1" customWidth="1"/>
    <col min="4871" max="4871" width="18.42578125" style="405" customWidth="1"/>
    <col min="4872" max="4872" width="10.140625" style="405" bestFit="1" customWidth="1"/>
    <col min="4873" max="4873" width="10" style="405" bestFit="1" customWidth="1"/>
    <col min="4874" max="4874" width="17.28515625" style="405" bestFit="1" customWidth="1"/>
    <col min="4875" max="4875" width="11.42578125" style="405" customWidth="1"/>
    <col min="4876" max="4876" width="0.140625" style="405" customWidth="1"/>
    <col min="4877" max="4877" width="0" style="405" hidden="1" customWidth="1"/>
    <col min="4878" max="5120" width="9.140625" style="405"/>
    <col min="5121" max="5121" width="4.5703125" style="405" bestFit="1" customWidth="1"/>
    <col min="5122" max="5122" width="21.42578125" style="405" customWidth="1"/>
    <col min="5123" max="5123" width="17.85546875" style="405" customWidth="1"/>
    <col min="5124" max="5124" width="12" style="405" customWidth="1"/>
    <col min="5125" max="5125" width="17.140625" style="405" bestFit="1" customWidth="1"/>
    <col min="5126" max="5126" width="11.28515625" style="405" bestFit="1" customWidth="1"/>
    <col min="5127" max="5127" width="18.42578125" style="405" customWidth="1"/>
    <col min="5128" max="5128" width="10.140625" style="405" bestFit="1" customWidth="1"/>
    <col min="5129" max="5129" width="10" style="405" bestFit="1" customWidth="1"/>
    <col min="5130" max="5130" width="17.28515625" style="405" bestFit="1" customWidth="1"/>
    <col min="5131" max="5131" width="11.42578125" style="405" customWidth="1"/>
    <col min="5132" max="5132" width="0.140625" style="405" customWidth="1"/>
    <col min="5133" max="5133" width="0" style="405" hidden="1" customWidth="1"/>
    <col min="5134" max="5376" width="9.140625" style="405"/>
    <col min="5377" max="5377" width="4.5703125" style="405" bestFit="1" customWidth="1"/>
    <col min="5378" max="5378" width="21.42578125" style="405" customWidth="1"/>
    <col min="5379" max="5379" width="17.85546875" style="405" customWidth="1"/>
    <col min="5380" max="5380" width="12" style="405" customWidth="1"/>
    <col min="5381" max="5381" width="17.140625" style="405" bestFit="1" customWidth="1"/>
    <col min="5382" max="5382" width="11.28515625" style="405" bestFit="1" customWidth="1"/>
    <col min="5383" max="5383" width="18.42578125" style="405" customWidth="1"/>
    <col min="5384" max="5384" width="10.140625" style="405" bestFit="1" customWidth="1"/>
    <col min="5385" max="5385" width="10" style="405" bestFit="1" customWidth="1"/>
    <col min="5386" max="5386" width="17.28515625" style="405" bestFit="1" customWidth="1"/>
    <col min="5387" max="5387" width="11.42578125" style="405" customWidth="1"/>
    <col min="5388" max="5388" width="0.140625" style="405" customWidth="1"/>
    <col min="5389" max="5389" width="0" style="405" hidden="1" customWidth="1"/>
    <col min="5390" max="5632" width="9.140625" style="405"/>
    <col min="5633" max="5633" width="4.5703125" style="405" bestFit="1" customWidth="1"/>
    <col min="5634" max="5634" width="21.42578125" style="405" customWidth="1"/>
    <col min="5635" max="5635" width="17.85546875" style="405" customWidth="1"/>
    <col min="5636" max="5636" width="12" style="405" customWidth="1"/>
    <col min="5637" max="5637" width="17.140625" style="405" bestFit="1" customWidth="1"/>
    <col min="5638" max="5638" width="11.28515625" style="405" bestFit="1" customWidth="1"/>
    <col min="5639" max="5639" width="18.42578125" style="405" customWidth="1"/>
    <col min="5640" max="5640" width="10.140625" style="405" bestFit="1" customWidth="1"/>
    <col min="5641" max="5641" width="10" style="405" bestFit="1" customWidth="1"/>
    <col min="5642" max="5642" width="17.28515625" style="405" bestFit="1" customWidth="1"/>
    <col min="5643" max="5643" width="11.42578125" style="405" customWidth="1"/>
    <col min="5644" max="5644" width="0.140625" style="405" customWidth="1"/>
    <col min="5645" max="5645" width="0" style="405" hidden="1" customWidth="1"/>
    <col min="5646" max="5888" width="9.140625" style="405"/>
    <col min="5889" max="5889" width="4.5703125" style="405" bestFit="1" customWidth="1"/>
    <col min="5890" max="5890" width="21.42578125" style="405" customWidth="1"/>
    <col min="5891" max="5891" width="17.85546875" style="405" customWidth="1"/>
    <col min="5892" max="5892" width="12" style="405" customWidth="1"/>
    <col min="5893" max="5893" width="17.140625" style="405" bestFit="1" customWidth="1"/>
    <col min="5894" max="5894" width="11.28515625" style="405" bestFit="1" customWidth="1"/>
    <col min="5895" max="5895" width="18.42578125" style="405" customWidth="1"/>
    <col min="5896" max="5896" width="10.140625" style="405" bestFit="1" customWidth="1"/>
    <col min="5897" max="5897" width="10" style="405" bestFit="1" customWidth="1"/>
    <col min="5898" max="5898" width="17.28515625" style="405" bestFit="1" customWidth="1"/>
    <col min="5899" max="5899" width="11.42578125" style="405" customWidth="1"/>
    <col min="5900" max="5900" width="0.140625" style="405" customWidth="1"/>
    <col min="5901" max="5901" width="0" style="405" hidden="1" customWidth="1"/>
    <col min="5902" max="6144" width="9.140625" style="405"/>
    <col min="6145" max="6145" width="4.5703125" style="405" bestFit="1" customWidth="1"/>
    <col min="6146" max="6146" width="21.42578125" style="405" customWidth="1"/>
    <col min="6147" max="6147" width="17.85546875" style="405" customWidth="1"/>
    <col min="6148" max="6148" width="12" style="405" customWidth="1"/>
    <col min="6149" max="6149" width="17.140625" style="405" bestFit="1" customWidth="1"/>
    <col min="6150" max="6150" width="11.28515625" style="405" bestFit="1" customWidth="1"/>
    <col min="6151" max="6151" width="18.42578125" style="405" customWidth="1"/>
    <col min="6152" max="6152" width="10.140625" style="405" bestFit="1" customWidth="1"/>
    <col min="6153" max="6153" width="10" style="405" bestFit="1" customWidth="1"/>
    <col min="6154" max="6154" width="17.28515625" style="405" bestFit="1" customWidth="1"/>
    <col min="6155" max="6155" width="11.42578125" style="405" customWidth="1"/>
    <col min="6156" max="6156" width="0.140625" style="405" customWidth="1"/>
    <col min="6157" max="6157" width="0" style="405" hidden="1" customWidth="1"/>
    <col min="6158" max="6400" width="9.140625" style="405"/>
    <col min="6401" max="6401" width="4.5703125" style="405" bestFit="1" customWidth="1"/>
    <col min="6402" max="6402" width="21.42578125" style="405" customWidth="1"/>
    <col min="6403" max="6403" width="17.85546875" style="405" customWidth="1"/>
    <col min="6404" max="6404" width="12" style="405" customWidth="1"/>
    <col min="6405" max="6405" width="17.140625" style="405" bestFit="1" customWidth="1"/>
    <col min="6406" max="6406" width="11.28515625" style="405" bestFit="1" customWidth="1"/>
    <col min="6407" max="6407" width="18.42578125" style="405" customWidth="1"/>
    <col min="6408" max="6408" width="10.140625" style="405" bestFit="1" customWidth="1"/>
    <col min="6409" max="6409" width="10" style="405" bestFit="1" customWidth="1"/>
    <col min="6410" max="6410" width="17.28515625" style="405" bestFit="1" customWidth="1"/>
    <col min="6411" max="6411" width="11.42578125" style="405" customWidth="1"/>
    <col min="6412" max="6412" width="0.140625" style="405" customWidth="1"/>
    <col min="6413" max="6413" width="0" style="405" hidden="1" customWidth="1"/>
    <col min="6414" max="6656" width="9.140625" style="405"/>
    <col min="6657" max="6657" width="4.5703125" style="405" bestFit="1" customWidth="1"/>
    <col min="6658" max="6658" width="21.42578125" style="405" customWidth="1"/>
    <col min="6659" max="6659" width="17.85546875" style="405" customWidth="1"/>
    <col min="6660" max="6660" width="12" style="405" customWidth="1"/>
    <col min="6661" max="6661" width="17.140625" style="405" bestFit="1" customWidth="1"/>
    <col min="6662" max="6662" width="11.28515625" style="405" bestFit="1" customWidth="1"/>
    <col min="6663" max="6663" width="18.42578125" style="405" customWidth="1"/>
    <col min="6664" max="6664" width="10.140625" style="405" bestFit="1" customWidth="1"/>
    <col min="6665" max="6665" width="10" style="405" bestFit="1" customWidth="1"/>
    <col min="6666" max="6666" width="17.28515625" style="405" bestFit="1" customWidth="1"/>
    <col min="6667" max="6667" width="11.42578125" style="405" customWidth="1"/>
    <col min="6668" max="6668" width="0.140625" style="405" customWidth="1"/>
    <col min="6669" max="6669" width="0" style="405" hidden="1" customWidth="1"/>
    <col min="6670" max="6912" width="9.140625" style="405"/>
    <col min="6913" max="6913" width="4.5703125" style="405" bestFit="1" customWidth="1"/>
    <col min="6914" max="6914" width="21.42578125" style="405" customWidth="1"/>
    <col min="6915" max="6915" width="17.85546875" style="405" customWidth="1"/>
    <col min="6916" max="6916" width="12" style="405" customWidth="1"/>
    <col min="6917" max="6917" width="17.140625" style="405" bestFit="1" customWidth="1"/>
    <col min="6918" max="6918" width="11.28515625" style="405" bestFit="1" customWidth="1"/>
    <col min="6919" max="6919" width="18.42578125" style="405" customWidth="1"/>
    <col min="6920" max="6920" width="10.140625" style="405" bestFit="1" customWidth="1"/>
    <col min="6921" max="6921" width="10" style="405" bestFit="1" customWidth="1"/>
    <col min="6922" max="6922" width="17.28515625" style="405" bestFit="1" customWidth="1"/>
    <col min="6923" max="6923" width="11.42578125" style="405" customWidth="1"/>
    <col min="6924" max="6924" width="0.140625" style="405" customWidth="1"/>
    <col min="6925" max="6925" width="0" style="405" hidden="1" customWidth="1"/>
    <col min="6926" max="7168" width="9.140625" style="405"/>
    <col min="7169" max="7169" width="4.5703125" style="405" bestFit="1" customWidth="1"/>
    <col min="7170" max="7170" width="21.42578125" style="405" customWidth="1"/>
    <col min="7171" max="7171" width="17.85546875" style="405" customWidth="1"/>
    <col min="7172" max="7172" width="12" style="405" customWidth="1"/>
    <col min="7173" max="7173" width="17.140625" style="405" bestFit="1" customWidth="1"/>
    <col min="7174" max="7174" width="11.28515625" style="405" bestFit="1" customWidth="1"/>
    <col min="7175" max="7175" width="18.42578125" style="405" customWidth="1"/>
    <col min="7176" max="7176" width="10.140625" style="405" bestFit="1" customWidth="1"/>
    <col min="7177" max="7177" width="10" style="405" bestFit="1" customWidth="1"/>
    <col min="7178" max="7178" width="17.28515625" style="405" bestFit="1" customWidth="1"/>
    <col min="7179" max="7179" width="11.42578125" style="405" customWidth="1"/>
    <col min="7180" max="7180" width="0.140625" style="405" customWidth="1"/>
    <col min="7181" max="7181" width="0" style="405" hidden="1" customWidth="1"/>
    <col min="7182" max="7424" width="9.140625" style="405"/>
    <col min="7425" max="7425" width="4.5703125" style="405" bestFit="1" customWidth="1"/>
    <col min="7426" max="7426" width="21.42578125" style="405" customWidth="1"/>
    <col min="7427" max="7427" width="17.85546875" style="405" customWidth="1"/>
    <col min="7428" max="7428" width="12" style="405" customWidth="1"/>
    <col min="7429" max="7429" width="17.140625" style="405" bestFit="1" customWidth="1"/>
    <col min="7430" max="7430" width="11.28515625" style="405" bestFit="1" customWidth="1"/>
    <col min="7431" max="7431" width="18.42578125" style="405" customWidth="1"/>
    <col min="7432" max="7432" width="10.140625" style="405" bestFit="1" customWidth="1"/>
    <col min="7433" max="7433" width="10" style="405" bestFit="1" customWidth="1"/>
    <col min="7434" max="7434" width="17.28515625" style="405" bestFit="1" customWidth="1"/>
    <col min="7435" max="7435" width="11.42578125" style="405" customWidth="1"/>
    <col min="7436" max="7436" width="0.140625" style="405" customWidth="1"/>
    <col min="7437" max="7437" width="0" style="405" hidden="1" customWidth="1"/>
    <col min="7438" max="7680" width="9.140625" style="405"/>
    <col min="7681" max="7681" width="4.5703125" style="405" bestFit="1" customWidth="1"/>
    <col min="7682" max="7682" width="21.42578125" style="405" customWidth="1"/>
    <col min="7683" max="7683" width="17.85546875" style="405" customWidth="1"/>
    <col min="7684" max="7684" width="12" style="405" customWidth="1"/>
    <col min="7685" max="7685" width="17.140625" style="405" bestFit="1" customWidth="1"/>
    <col min="7686" max="7686" width="11.28515625" style="405" bestFit="1" customWidth="1"/>
    <col min="7687" max="7687" width="18.42578125" style="405" customWidth="1"/>
    <col min="7688" max="7688" width="10.140625" style="405" bestFit="1" customWidth="1"/>
    <col min="7689" max="7689" width="10" style="405" bestFit="1" customWidth="1"/>
    <col min="7690" max="7690" width="17.28515625" style="405" bestFit="1" customWidth="1"/>
    <col min="7691" max="7691" width="11.42578125" style="405" customWidth="1"/>
    <col min="7692" max="7692" width="0.140625" style="405" customWidth="1"/>
    <col min="7693" max="7693" width="0" style="405" hidden="1" customWidth="1"/>
    <col min="7694" max="7936" width="9.140625" style="405"/>
    <col min="7937" max="7937" width="4.5703125" style="405" bestFit="1" customWidth="1"/>
    <col min="7938" max="7938" width="21.42578125" style="405" customWidth="1"/>
    <col min="7939" max="7939" width="17.85546875" style="405" customWidth="1"/>
    <col min="7940" max="7940" width="12" style="405" customWidth="1"/>
    <col min="7941" max="7941" width="17.140625" style="405" bestFit="1" customWidth="1"/>
    <col min="7942" max="7942" width="11.28515625" style="405" bestFit="1" customWidth="1"/>
    <col min="7943" max="7943" width="18.42578125" style="405" customWidth="1"/>
    <col min="7944" max="7944" width="10.140625" style="405" bestFit="1" customWidth="1"/>
    <col min="7945" max="7945" width="10" style="405" bestFit="1" customWidth="1"/>
    <col min="7946" max="7946" width="17.28515625" style="405" bestFit="1" customWidth="1"/>
    <col min="7947" max="7947" width="11.42578125" style="405" customWidth="1"/>
    <col min="7948" max="7948" width="0.140625" style="405" customWidth="1"/>
    <col min="7949" max="7949" width="0" style="405" hidden="1" customWidth="1"/>
    <col min="7950" max="8192" width="9.140625" style="405"/>
    <col min="8193" max="8193" width="4.5703125" style="405" bestFit="1" customWidth="1"/>
    <col min="8194" max="8194" width="21.42578125" style="405" customWidth="1"/>
    <col min="8195" max="8195" width="17.85546875" style="405" customWidth="1"/>
    <col min="8196" max="8196" width="12" style="405" customWidth="1"/>
    <col min="8197" max="8197" width="17.140625" style="405" bestFit="1" customWidth="1"/>
    <col min="8198" max="8198" width="11.28515625" style="405" bestFit="1" customWidth="1"/>
    <col min="8199" max="8199" width="18.42578125" style="405" customWidth="1"/>
    <col min="8200" max="8200" width="10.140625" style="405" bestFit="1" customWidth="1"/>
    <col min="8201" max="8201" width="10" style="405" bestFit="1" customWidth="1"/>
    <col min="8202" max="8202" width="17.28515625" style="405" bestFit="1" customWidth="1"/>
    <col min="8203" max="8203" width="11.42578125" style="405" customWidth="1"/>
    <col min="8204" max="8204" width="0.140625" style="405" customWidth="1"/>
    <col min="8205" max="8205" width="0" style="405" hidden="1" customWidth="1"/>
    <col min="8206" max="8448" width="9.140625" style="405"/>
    <col min="8449" max="8449" width="4.5703125" style="405" bestFit="1" customWidth="1"/>
    <col min="8450" max="8450" width="21.42578125" style="405" customWidth="1"/>
    <col min="8451" max="8451" width="17.85546875" style="405" customWidth="1"/>
    <col min="8452" max="8452" width="12" style="405" customWidth="1"/>
    <col min="8453" max="8453" width="17.140625" style="405" bestFit="1" customWidth="1"/>
    <col min="8454" max="8454" width="11.28515625" style="405" bestFit="1" customWidth="1"/>
    <col min="8455" max="8455" width="18.42578125" style="405" customWidth="1"/>
    <col min="8456" max="8456" width="10.140625" style="405" bestFit="1" customWidth="1"/>
    <col min="8457" max="8457" width="10" style="405" bestFit="1" customWidth="1"/>
    <col min="8458" max="8458" width="17.28515625" style="405" bestFit="1" customWidth="1"/>
    <col min="8459" max="8459" width="11.42578125" style="405" customWidth="1"/>
    <col min="8460" max="8460" width="0.140625" style="405" customWidth="1"/>
    <col min="8461" max="8461" width="0" style="405" hidden="1" customWidth="1"/>
    <col min="8462" max="8704" width="9.140625" style="405"/>
    <col min="8705" max="8705" width="4.5703125" style="405" bestFit="1" customWidth="1"/>
    <col min="8706" max="8706" width="21.42578125" style="405" customWidth="1"/>
    <col min="8707" max="8707" width="17.85546875" style="405" customWidth="1"/>
    <col min="8708" max="8708" width="12" style="405" customWidth="1"/>
    <col min="8709" max="8709" width="17.140625" style="405" bestFit="1" customWidth="1"/>
    <col min="8710" max="8710" width="11.28515625" style="405" bestFit="1" customWidth="1"/>
    <col min="8711" max="8711" width="18.42578125" style="405" customWidth="1"/>
    <col min="8712" max="8712" width="10.140625" style="405" bestFit="1" customWidth="1"/>
    <col min="8713" max="8713" width="10" style="405" bestFit="1" customWidth="1"/>
    <col min="8714" max="8714" width="17.28515625" style="405" bestFit="1" customWidth="1"/>
    <col min="8715" max="8715" width="11.42578125" style="405" customWidth="1"/>
    <col min="8716" max="8716" width="0.140625" style="405" customWidth="1"/>
    <col min="8717" max="8717" width="0" style="405" hidden="1" customWidth="1"/>
    <col min="8718" max="8960" width="9.140625" style="405"/>
    <col min="8961" max="8961" width="4.5703125" style="405" bestFit="1" customWidth="1"/>
    <col min="8962" max="8962" width="21.42578125" style="405" customWidth="1"/>
    <col min="8963" max="8963" width="17.85546875" style="405" customWidth="1"/>
    <col min="8964" max="8964" width="12" style="405" customWidth="1"/>
    <col min="8965" max="8965" width="17.140625" style="405" bestFit="1" customWidth="1"/>
    <col min="8966" max="8966" width="11.28515625" style="405" bestFit="1" customWidth="1"/>
    <col min="8967" max="8967" width="18.42578125" style="405" customWidth="1"/>
    <col min="8968" max="8968" width="10.140625" style="405" bestFit="1" customWidth="1"/>
    <col min="8969" max="8969" width="10" style="405" bestFit="1" customWidth="1"/>
    <col min="8970" max="8970" width="17.28515625" style="405" bestFit="1" customWidth="1"/>
    <col min="8971" max="8971" width="11.42578125" style="405" customWidth="1"/>
    <col min="8972" max="8972" width="0.140625" style="405" customWidth="1"/>
    <col min="8973" max="8973" width="0" style="405" hidden="1" customWidth="1"/>
    <col min="8974" max="9216" width="9.140625" style="405"/>
    <col min="9217" max="9217" width="4.5703125" style="405" bestFit="1" customWidth="1"/>
    <col min="9218" max="9218" width="21.42578125" style="405" customWidth="1"/>
    <col min="9219" max="9219" width="17.85546875" style="405" customWidth="1"/>
    <col min="9220" max="9220" width="12" style="405" customWidth="1"/>
    <col min="9221" max="9221" width="17.140625" style="405" bestFit="1" customWidth="1"/>
    <col min="9222" max="9222" width="11.28515625" style="405" bestFit="1" customWidth="1"/>
    <col min="9223" max="9223" width="18.42578125" style="405" customWidth="1"/>
    <col min="9224" max="9224" width="10.140625" style="405" bestFit="1" customWidth="1"/>
    <col min="9225" max="9225" width="10" style="405" bestFit="1" customWidth="1"/>
    <col min="9226" max="9226" width="17.28515625" style="405" bestFit="1" customWidth="1"/>
    <col min="9227" max="9227" width="11.42578125" style="405" customWidth="1"/>
    <col min="9228" max="9228" width="0.140625" style="405" customWidth="1"/>
    <col min="9229" max="9229" width="0" style="405" hidden="1" customWidth="1"/>
    <col min="9230" max="9472" width="9.140625" style="405"/>
    <col min="9473" max="9473" width="4.5703125" style="405" bestFit="1" customWidth="1"/>
    <col min="9474" max="9474" width="21.42578125" style="405" customWidth="1"/>
    <col min="9475" max="9475" width="17.85546875" style="405" customWidth="1"/>
    <col min="9476" max="9476" width="12" style="405" customWidth="1"/>
    <col min="9477" max="9477" width="17.140625" style="405" bestFit="1" customWidth="1"/>
    <col min="9478" max="9478" width="11.28515625" style="405" bestFit="1" customWidth="1"/>
    <col min="9479" max="9479" width="18.42578125" style="405" customWidth="1"/>
    <col min="9480" max="9480" width="10.140625" style="405" bestFit="1" customWidth="1"/>
    <col min="9481" max="9481" width="10" style="405" bestFit="1" customWidth="1"/>
    <col min="9482" max="9482" width="17.28515625" style="405" bestFit="1" customWidth="1"/>
    <col min="9483" max="9483" width="11.42578125" style="405" customWidth="1"/>
    <col min="9484" max="9484" width="0.140625" style="405" customWidth="1"/>
    <col min="9485" max="9485" width="0" style="405" hidden="1" customWidth="1"/>
    <col min="9486" max="9728" width="9.140625" style="405"/>
    <col min="9729" max="9729" width="4.5703125" style="405" bestFit="1" customWidth="1"/>
    <col min="9730" max="9730" width="21.42578125" style="405" customWidth="1"/>
    <col min="9731" max="9731" width="17.85546875" style="405" customWidth="1"/>
    <col min="9732" max="9732" width="12" style="405" customWidth="1"/>
    <col min="9733" max="9733" width="17.140625" style="405" bestFit="1" customWidth="1"/>
    <col min="9734" max="9734" width="11.28515625" style="405" bestFit="1" customWidth="1"/>
    <col min="9735" max="9735" width="18.42578125" style="405" customWidth="1"/>
    <col min="9736" max="9736" width="10.140625" style="405" bestFit="1" customWidth="1"/>
    <col min="9737" max="9737" width="10" style="405" bestFit="1" customWidth="1"/>
    <col min="9738" max="9738" width="17.28515625" style="405" bestFit="1" customWidth="1"/>
    <col min="9739" max="9739" width="11.42578125" style="405" customWidth="1"/>
    <col min="9740" max="9740" width="0.140625" style="405" customWidth="1"/>
    <col min="9741" max="9741" width="0" style="405" hidden="1" customWidth="1"/>
    <col min="9742" max="9984" width="9.140625" style="405"/>
    <col min="9985" max="9985" width="4.5703125" style="405" bestFit="1" customWidth="1"/>
    <col min="9986" max="9986" width="21.42578125" style="405" customWidth="1"/>
    <col min="9987" max="9987" width="17.85546875" style="405" customWidth="1"/>
    <col min="9988" max="9988" width="12" style="405" customWidth="1"/>
    <col min="9989" max="9989" width="17.140625" style="405" bestFit="1" customWidth="1"/>
    <col min="9990" max="9990" width="11.28515625" style="405" bestFit="1" customWidth="1"/>
    <col min="9991" max="9991" width="18.42578125" style="405" customWidth="1"/>
    <col min="9992" max="9992" width="10.140625" style="405" bestFit="1" customWidth="1"/>
    <col min="9993" max="9993" width="10" style="405" bestFit="1" customWidth="1"/>
    <col min="9994" max="9994" width="17.28515625" style="405" bestFit="1" customWidth="1"/>
    <col min="9995" max="9995" width="11.42578125" style="405" customWidth="1"/>
    <col min="9996" max="9996" width="0.140625" style="405" customWidth="1"/>
    <col min="9997" max="9997" width="0" style="405" hidden="1" customWidth="1"/>
    <col min="9998" max="10240" width="9.140625" style="405"/>
    <col min="10241" max="10241" width="4.5703125" style="405" bestFit="1" customWidth="1"/>
    <col min="10242" max="10242" width="21.42578125" style="405" customWidth="1"/>
    <col min="10243" max="10243" width="17.85546875" style="405" customWidth="1"/>
    <col min="10244" max="10244" width="12" style="405" customWidth="1"/>
    <col min="10245" max="10245" width="17.140625" style="405" bestFit="1" customWidth="1"/>
    <col min="10246" max="10246" width="11.28515625" style="405" bestFit="1" customWidth="1"/>
    <col min="10247" max="10247" width="18.42578125" style="405" customWidth="1"/>
    <col min="10248" max="10248" width="10.140625" style="405" bestFit="1" customWidth="1"/>
    <col min="10249" max="10249" width="10" style="405" bestFit="1" customWidth="1"/>
    <col min="10250" max="10250" width="17.28515625" style="405" bestFit="1" customWidth="1"/>
    <col min="10251" max="10251" width="11.42578125" style="405" customWidth="1"/>
    <col min="10252" max="10252" width="0.140625" style="405" customWidth="1"/>
    <col min="10253" max="10253" width="0" style="405" hidden="1" customWidth="1"/>
    <col min="10254" max="10496" width="9.140625" style="405"/>
    <col min="10497" max="10497" width="4.5703125" style="405" bestFit="1" customWidth="1"/>
    <col min="10498" max="10498" width="21.42578125" style="405" customWidth="1"/>
    <col min="10499" max="10499" width="17.85546875" style="405" customWidth="1"/>
    <col min="10500" max="10500" width="12" style="405" customWidth="1"/>
    <col min="10501" max="10501" width="17.140625" style="405" bestFit="1" customWidth="1"/>
    <col min="10502" max="10502" width="11.28515625" style="405" bestFit="1" customWidth="1"/>
    <col min="10503" max="10503" width="18.42578125" style="405" customWidth="1"/>
    <col min="10504" max="10504" width="10.140625" style="405" bestFit="1" customWidth="1"/>
    <col min="10505" max="10505" width="10" style="405" bestFit="1" customWidth="1"/>
    <col min="10506" max="10506" width="17.28515625" style="405" bestFit="1" customWidth="1"/>
    <col min="10507" max="10507" width="11.42578125" style="405" customWidth="1"/>
    <col min="10508" max="10508" width="0.140625" style="405" customWidth="1"/>
    <col min="10509" max="10509" width="0" style="405" hidden="1" customWidth="1"/>
    <col min="10510" max="10752" width="9.140625" style="405"/>
    <col min="10753" max="10753" width="4.5703125" style="405" bestFit="1" customWidth="1"/>
    <col min="10754" max="10754" width="21.42578125" style="405" customWidth="1"/>
    <col min="10755" max="10755" width="17.85546875" style="405" customWidth="1"/>
    <col min="10756" max="10756" width="12" style="405" customWidth="1"/>
    <col min="10757" max="10757" width="17.140625" style="405" bestFit="1" customWidth="1"/>
    <col min="10758" max="10758" width="11.28515625" style="405" bestFit="1" customWidth="1"/>
    <col min="10759" max="10759" width="18.42578125" style="405" customWidth="1"/>
    <col min="10760" max="10760" width="10.140625" style="405" bestFit="1" customWidth="1"/>
    <col min="10761" max="10761" width="10" style="405" bestFit="1" customWidth="1"/>
    <col min="10762" max="10762" width="17.28515625" style="405" bestFit="1" customWidth="1"/>
    <col min="10763" max="10763" width="11.42578125" style="405" customWidth="1"/>
    <col min="10764" max="10764" width="0.140625" style="405" customWidth="1"/>
    <col min="10765" max="10765" width="0" style="405" hidden="1" customWidth="1"/>
    <col min="10766" max="11008" width="9.140625" style="405"/>
    <col min="11009" max="11009" width="4.5703125" style="405" bestFit="1" customWidth="1"/>
    <col min="11010" max="11010" width="21.42578125" style="405" customWidth="1"/>
    <col min="11011" max="11011" width="17.85546875" style="405" customWidth="1"/>
    <col min="11012" max="11012" width="12" style="405" customWidth="1"/>
    <col min="11013" max="11013" width="17.140625" style="405" bestFit="1" customWidth="1"/>
    <col min="11014" max="11014" width="11.28515625" style="405" bestFit="1" customWidth="1"/>
    <col min="11015" max="11015" width="18.42578125" style="405" customWidth="1"/>
    <col min="11016" max="11016" width="10.140625" style="405" bestFit="1" customWidth="1"/>
    <col min="11017" max="11017" width="10" style="405" bestFit="1" customWidth="1"/>
    <col min="11018" max="11018" width="17.28515625" style="405" bestFit="1" customWidth="1"/>
    <col min="11019" max="11019" width="11.42578125" style="405" customWidth="1"/>
    <col min="11020" max="11020" width="0.140625" style="405" customWidth="1"/>
    <col min="11021" max="11021" width="0" style="405" hidden="1" customWidth="1"/>
    <col min="11022" max="11264" width="9.140625" style="405"/>
    <col min="11265" max="11265" width="4.5703125" style="405" bestFit="1" customWidth="1"/>
    <col min="11266" max="11266" width="21.42578125" style="405" customWidth="1"/>
    <col min="11267" max="11267" width="17.85546875" style="405" customWidth="1"/>
    <col min="11268" max="11268" width="12" style="405" customWidth="1"/>
    <col min="11269" max="11269" width="17.140625" style="405" bestFit="1" customWidth="1"/>
    <col min="11270" max="11270" width="11.28515625" style="405" bestFit="1" customWidth="1"/>
    <col min="11271" max="11271" width="18.42578125" style="405" customWidth="1"/>
    <col min="11272" max="11272" width="10.140625" style="405" bestFit="1" customWidth="1"/>
    <col min="11273" max="11273" width="10" style="405" bestFit="1" customWidth="1"/>
    <col min="11274" max="11274" width="17.28515625" style="405" bestFit="1" customWidth="1"/>
    <col min="11275" max="11275" width="11.42578125" style="405" customWidth="1"/>
    <col min="11276" max="11276" width="0.140625" style="405" customWidth="1"/>
    <col min="11277" max="11277" width="0" style="405" hidden="1" customWidth="1"/>
    <col min="11278" max="11520" width="9.140625" style="405"/>
    <col min="11521" max="11521" width="4.5703125" style="405" bestFit="1" customWidth="1"/>
    <col min="11522" max="11522" width="21.42578125" style="405" customWidth="1"/>
    <col min="11523" max="11523" width="17.85546875" style="405" customWidth="1"/>
    <col min="11524" max="11524" width="12" style="405" customWidth="1"/>
    <col min="11525" max="11525" width="17.140625" style="405" bestFit="1" customWidth="1"/>
    <col min="11526" max="11526" width="11.28515625" style="405" bestFit="1" customWidth="1"/>
    <col min="11527" max="11527" width="18.42578125" style="405" customWidth="1"/>
    <col min="11528" max="11528" width="10.140625" style="405" bestFit="1" customWidth="1"/>
    <col min="11529" max="11529" width="10" style="405" bestFit="1" customWidth="1"/>
    <col min="11530" max="11530" width="17.28515625" style="405" bestFit="1" customWidth="1"/>
    <col min="11531" max="11531" width="11.42578125" style="405" customWidth="1"/>
    <col min="11532" max="11532" width="0.140625" style="405" customWidth="1"/>
    <col min="11533" max="11533" width="0" style="405" hidden="1" customWidth="1"/>
    <col min="11534" max="11776" width="9.140625" style="405"/>
    <col min="11777" max="11777" width="4.5703125" style="405" bestFit="1" customWidth="1"/>
    <col min="11778" max="11778" width="21.42578125" style="405" customWidth="1"/>
    <col min="11779" max="11779" width="17.85546875" style="405" customWidth="1"/>
    <col min="11780" max="11780" width="12" style="405" customWidth="1"/>
    <col min="11781" max="11781" width="17.140625" style="405" bestFit="1" customWidth="1"/>
    <col min="11782" max="11782" width="11.28515625" style="405" bestFit="1" customWidth="1"/>
    <col min="11783" max="11783" width="18.42578125" style="405" customWidth="1"/>
    <col min="11784" max="11784" width="10.140625" style="405" bestFit="1" customWidth="1"/>
    <col min="11785" max="11785" width="10" style="405" bestFit="1" customWidth="1"/>
    <col min="11786" max="11786" width="17.28515625" style="405" bestFit="1" customWidth="1"/>
    <col min="11787" max="11787" width="11.42578125" style="405" customWidth="1"/>
    <col min="11788" max="11788" width="0.140625" style="405" customWidth="1"/>
    <col min="11789" max="11789" width="0" style="405" hidden="1" customWidth="1"/>
    <col min="11790" max="12032" width="9.140625" style="405"/>
    <col min="12033" max="12033" width="4.5703125" style="405" bestFit="1" customWidth="1"/>
    <col min="12034" max="12034" width="21.42578125" style="405" customWidth="1"/>
    <col min="12035" max="12035" width="17.85546875" style="405" customWidth="1"/>
    <col min="12036" max="12036" width="12" style="405" customWidth="1"/>
    <col min="12037" max="12037" width="17.140625" style="405" bestFit="1" customWidth="1"/>
    <col min="12038" max="12038" width="11.28515625" style="405" bestFit="1" customWidth="1"/>
    <col min="12039" max="12039" width="18.42578125" style="405" customWidth="1"/>
    <col min="12040" max="12040" width="10.140625" style="405" bestFit="1" customWidth="1"/>
    <col min="12041" max="12041" width="10" style="405" bestFit="1" customWidth="1"/>
    <col min="12042" max="12042" width="17.28515625" style="405" bestFit="1" customWidth="1"/>
    <col min="12043" max="12043" width="11.42578125" style="405" customWidth="1"/>
    <col min="12044" max="12044" width="0.140625" style="405" customWidth="1"/>
    <col min="12045" max="12045" width="0" style="405" hidden="1" customWidth="1"/>
    <col min="12046" max="12288" width="9.140625" style="405"/>
    <col min="12289" max="12289" width="4.5703125" style="405" bestFit="1" customWidth="1"/>
    <col min="12290" max="12290" width="21.42578125" style="405" customWidth="1"/>
    <col min="12291" max="12291" width="17.85546875" style="405" customWidth="1"/>
    <col min="12292" max="12292" width="12" style="405" customWidth="1"/>
    <col min="12293" max="12293" width="17.140625" style="405" bestFit="1" customWidth="1"/>
    <col min="12294" max="12294" width="11.28515625" style="405" bestFit="1" customWidth="1"/>
    <col min="12295" max="12295" width="18.42578125" style="405" customWidth="1"/>
    <col min="12296" max="12296" width="10.140625" style="405" bestFit="1" customWidth="1"/>
    <col min="12297" max="12297" width="10" style="405" bestFit="1" customWidth="1"/>
    <col min="12298" max="12298" width="17.28515625" style="405" bestFit="1" customWidth="1"/>
    <col min="12299" max="12299" width="11.42578125" style="405" customWidth="1"/>
    <col min="12300" max="12300" width="0.140625" style="405" customWidth="1"/>
    <col min="12301" max="12301" width="0" style="405" hidden="1" customWidth="1"/>
    <col min="12302" max="12544" width="9.140625" style="405"/>
    <col min="12545" max="12545" width="4.5703125" style="405" bestFit="1" customWidth="1"/>
    <col min="12546" max="12546" width="21.42578125" style="405" customWidth="1"/>
    <col min="12547" max="12547" width="17.85546875" style="405" customWidth="1"/>
    <col min="12548" max="12548" width="12" style="405" customWidth="1"/>
    <col min="12549" max="12549" width="17.140625" style="405" bestFit="1" customWidth="1"/>
    <col min="12550" max="12550" width="11.28515625" style="405" bestFit="1" customWidth="1"/>
    <col min="12551" max="12551" width="18.42578125" style="405" customWidth="1"/>
    <col min="12552" max="12552" width="10.140625" style="405" bestFit="1" customWidth="1"/>
    <col min="12553" max="12553" width="10" style="405" bestFit="1" customWidth="1"/>
    <col min="12554" max="12554" width="17.28515625" style="405" bestFit="1" customWidth="1"/>
    <col min="12555" max="12555" width="11.42578125" style="405" customWidth="1"/>
    <col min="12556" max="12556" width="0.140625" style="405" customWidth="1"/>
    <col min="12557" max="12557" width="0" style="405" hidden="1" customWidth="1"/>
    <col min="12558" max="12800" width="9.140625" style="405"/>
    <col min="12801" max="12801" width="4.5703125" style="405" bestFit="1" customWidth="1"/>
    <col min="12802" max="12802" width="21.42578125" style="405" customWidth="1"/>
    <col min="12803" max="12803" width="17.85546875" style="405" customWidth="1"/>
    <col min="12804" max="12804" width="12" style="405" customWidth="1"/>
    <col min="12805" max="12805" width="17.140625" style="405" bestFit="1" customWidth="1"/>
    <col min="12806" max="12806" width="11.28515625" style="405" bestFit="1" customWidth="1"/>
    <col min="12807" max="12807" width="18.42578125" style="405" customWidth="1"/>
    <col min="12808" max="12808" width="10.140625" style="405" bestFit="1" customWidth="1"/>
    <col min="12809" max="12809" width="10" style="405" bestFit="1" customWidth="1"/>
    <col min="12810" max="12810" width="17.28515625" style="405" bestFit="1" customWidth="1"/>
    <col min="12811" max="12811" width="11.42578125" style="405" customWidth="1"/>
    <col min="12812" max="12812" width="0.140625" style="405" customWidth="1"/>
    <col min="12813" max="12813" width="0" style="405" hidden="1" customWidth="1"/>
    <col min="12814" max="13056" width="9.140625" style="405"/>
    <col min="13057" max="13057" width="4.5703125" style="405" bestFit="1" customWidth="1"/>
    <col min="13058" max="13058" width="21.42578125" style="405" customWidth="1"/>
    <col min="13059" max="13059" width="17.85546875" style="405" customWidth="1"/>
    <col min="13060" max="13060" width="12" style="405" customWidth="1"/>
    <col min="13061" max="13061" width="17.140625" style="405" bestFit="1" customWidth="1"/>
    <col min="13062" max="13062" width="11.28515625" style="405" bestFit="1" customWidth="1"/>
    <col min="13063" max="13063" width="18.42578125" style="405" customWidth="1"/>
    <col min="13064" max="13064" width="10.140625" style="405" bestFit="1" customWidth="1"/>
    <col min="13065" max="13065" width="10" style="405" bestFit="1" customWidth="1"/>
    <col min="13066" max="13066" width="17.28515625" style="405" bestFit="1" customWidth="1"/>
    <col min="13067" max="13067" width="11.42578125" style="405" customWidth="1"/>
    <col min="13068" max="13068" width="0.140625" style="405" customWidth="1"/>
    <col min="13069" max="13069" width="0" style="405" hidden="1" customWidth="1"/>
    <col min="13070" max="13312" width="9.140625" style="405"/>
    <col min="13313" max="13313" width="4.5703125" style="405" bestFit="1" customWidth="1"/>
    <col min="13314" max="13314" width="21.42578125" style="405" customWidth="1"/>
    <col min="13315" max="13315" width="17.85546875" style="405" customWidth="1"/>
    <col min="13316" max="13316" width="12" style="405" customWidth="1"/>
    <col min="13317" max="13317" width="17.140625" style="405" bestFit="1" customWidth="1"/>
    <col min="13318" max="13318" width="11.28515625" style="405" bestFit="1" customWidth="1"/>
    <col min="13319" max="13319" width="18.42578125" style="405" customWidth="1"/>
    <col min="13320" max="13320" width="10.140625" style="405" bestFit="1" customWidth="1"/>
    <col min="13321" max="13321" width="10" style="405" bestFit="1" customWidth="1"/>
    <col min="13322" max="13322" width="17.28515625" style="405" bestFit="1" customWidth="1"/>
    <col min="13323" max="13323" width="11.42578125" style="405" customWidth="1"/>
    <col min="13324" max="13324" width="0.140625" style="405" customWidth="1"/>
    <col min="13325" max="13325" width="0" style="405" hidden="1" customWidth="1"/>
    <col min="13326" max="13568" width="9.140625" style="405"/>
    <col min="13569" max="13569" width="4.5703125" style="405" bestFit="1" customWidth="1"/>
    <col min="13570" max="13570" width="21.42578125" style="405" customWidth="1"/>
    <col min="13571" max="13571" width="17.85546875" style="405" customWidth="1"/>
    <col min="13572" max="13572" width="12" style="405" customWidth="1"/>
    <col min="13573" max="13573" width="17.140625" style="405" bestFit="1" customWidth="1"/>
    <col min="13574" max="13574" width="11.28515625" style="405" bestFit="1" customWidth="1"/>
    <col min="13575" max="13575" width="18.42578125" style="405" customWidth="1"/>
    <col min="13576" max="13576" width="10.140625" style="405" bestFit="1" customWidth="1"/>
    <col min="13577" max="13577" width="10" style="405" bestFit="1" customWidth="1"/>
    <col min="13578" max="13578" width="17.28515625" style="405" bestFit="1" customWidth="1"/>
    <col min="13579" max="13579" width="11.42578125" style="405" customWidth="1"/>
    <col min="13580" max="13580" width="0.140625" style="405" customWidth="1"/>
    <col min="13581" max="13581" width="0" style="405" hidden="1" customWidth="1"/>
    <col min="13582" max="13824" width="9.140625" style="405"/>
    <col min="13825" max="13825" width="4.5703125" style="405" bestFit="1" customWidth="1"/>
    <col min="13826" max="13826" width="21.42578125" style="405" customWidth="1"/>
    <col min="13827" max="13827" width="17.85546875" style="405" customWidth="1"/>
    <col min="13828" max="13828" width="12" style="405" customWidth="1"/>
    <col min="13829" max="13829" width="17.140625" style="405" bestFit="1" customWidth="1"/>
    <col min="13830" max="13830" width="11.28515625" style="405" bestFit="1" customWidth="1"/>
    <col min="13831" max="13831" width="18.42578125" style="405" customWidth="1"/>
    <col min="13832" max="13832" width="10.140625" style="405" bestFit="1" customWidth="1"/>
    <col min="13833" max="13833" width="10" style="405" bestFit="1" customWidth="1"/>
    <col min="13834" max="13834" width="17.28515625" style="405" bestFit="1" customWidth="1"/>
    <col min="13835" max="13835" width="11.42578125" style="405" customWidth="1"/>
    <col min="13836" max="13836" width="0.140625" style="405" customWidth="1"/>
    <col min="13837" max="13837" width="0" style="405" hidden="1" customWidth="1"/>
    <col min="13838" max="14080" width="9.140625" style="405"/>
    <col min="14081" max="14081" width="4.5703125" style="405" bestFit="1" customWidth="1"/>
    <col min="14082" max="14082" width="21.42578125" style="405" customWidth="1"/>
    <col min="14083" max="14083" width="17.85546875" style="405" customWidth="1"/>
    <col min="14084" max="14084" width="12" style="405" customWidth="1"/>
    <col min="14085" max="14085" width="17.140625" style="405" bestFit="1" customWidth="1"/>
    <col min="14086" max="14086" width="11.28515625" style="405" bestFit="1" customWidth="1"/>
    <col min="14087" max="14087" width="18.42578125" style="405" customWidth="1"/>
    <col min="14088" max="14088" width="10.140625" style="405" bestFit="1" customWidth="1"/>
    <col min="14089" max="14089" width="10" style="405" bestFit="1" customWidth="1"/>
    <col min="14090" max="14090" width="17.28515625" style="405" bestFit="1" customWidth="1"/>
    <col min="14091" max="14091" width="11.42578125" style="405" customWidth="1"/>
    <col min="14092" max="14092" width="0.140625" style="405" customWidth="1"/>
    <col min="14093" max="14093" width="0" style="405" hidden="1" customWidth="1"/>
    <col min="14094" max="14336" width="9.140625" style="405"/>
    <col min="14337" max="14337" width="4.5703125" style="405" bestFit="1" customWidth="1"/>
    <col min="14338" max="14338" width="21.42578125" style="405" customWidth="1"/>
    <col min="14339" max="14339" width="17.85546875" style="405" customWidth="1"/>
    <col min="14340" max="14340" width="12" style="405" customWidth="1"/>
    <col min="14341" max="14341" width="17.140625" style="405" bestFit="1" customWidth="1"/>
    <col min="14342" max="14342" width="11.28515625" style="405" bestFit="1" customWidth="1"/>
    <col min="14343" max="14343" width="18.42578125" style="405" customWidth="1"/>
    <col min="14344" max="14344" width="10.140625" style="405" bestFit="1" customWidth="1"/>
    <col min="14345" max="14345" width="10" style="405" bestFit="1" customWidth="1"/>
    <col min="14346" max="14346" width="17.28515625" style="405" bestFit="1" customWidth="1"/>
    <col min="14347" max="14347" width="11.42578125" style="405" customWidth="1"/>
    <col min="14348" max="14348" width="0.140625" style="405" customWidth="1"/>
    <col min="14349" max="14349" width="0" style="405" hidden="1" customWidth="1"/>
    <col min="14350" max="14592" width="9.140625" style="405"/>
    <col min="14593" max="14593" width="4.5703125" style="405" bestFit="1" customWidth="1"/>
    <col min="14594" max="14594" width="21.42578125" style="405" customWidth="1"/>
    <col min="14595" max="14595" width="17.85546875" style="405" customWidth="1"/>
    <col min="14596" max="14596" width="12" style="405" customWidth="1"/>
    <col min="14597" max="14597" width="17.140625" style="405" bestFit="1" customWidth="1"/>
    <col min="14598" max="14598" width="11.28515625" style="405" bestFit="1" customWidth="1"/>
    <col min="14599" max="14599" width="18.42578125" style="405" customWidth="1"/>
    <col min="14600" max="14600" width="10.140625" style="405" bestFit="1" customWidth="1"/>
    <col min="14601" max="14601" width="10" style="405" bestFit="1" customWidth="1"/>
    <col min="14602" max="14602" width="17.28515625" style="405" bestFit="1" customWidth="1"/>
    <col min="14603" max="14603" width="11.42578125" style="405" customWidth="1"/>
    <col min="14604" max="14604" width="0.140625" style="405" customWidth="1"/>
    <col min="14605" max="14605" width="0" style="405" hidden="1" customWidth="1"/>
    <col min="14606" max="14848" width="9.140625" style="405"/>
    <col min="14849" max="14849" width="4.5703125" style="405" bestFit="1" customWidth="1"/>
    <col min="14850" max="14850" width="21.42578125" style="405" customWidth="1"/>
    <col min="14851" max="14851" width="17.85546875" style="405" customWidth="1"/>
    <col min="14852" max="14852" width="12" style="405" customWidth="1"/>
    <col min="14853" max="14853" width="17.140625" style="405" bestFit="1" customWidth="1"/>
    <col min="14854" max="14854" width="11.28515625" style="405" bestFit="1" customWidth="1"/>
    <col min="14855" max="14855" width="18.42578125" style="405" customWidth="1"/>
    <col min="14856" max="14856" width="10.140625" style="405" bestFit="1" customWidth="1"/>
    <col min="14857" max="14857" width="10" style="405" bestFit="1" customWidth="1"/>
    <col min="14858" max="14858" width="17.28515625" style="405" bestFit="1" customWidth="1"/>
    <col min="14859" max="14859" width="11.42578125" style="405" customWidth="1"/>
    <col min="14860" max="14860" width="0.140625" style="405" customWidth="1"/>
    <col min="14861" max="14861" width="0" style="405" hidden="1" customWidth="1"/>
    <col min="14862" max="15104" width="9.140625" style="405"/>
    <col min="15105" max="15105" width="4.5703125" style="405" bestFit="1" customWidth="1"/>
    <col min="15106" max="15106" width="21.42578125" style="405" customWidth="1"/>
    <col min="15107" max="15107" width="17.85546875" style="405" customWidth="1"/>
    <col min="15108" max="15108" width="12" style="405" customWidth="1"/>
    <col min="15109" max="15109" width="17.140625" style="405" bestFit="1" customWidth="1"/>
    <col min="15110" max="15110" width="11.28515625" style="405" bestFit="1" customWidth="1"/>
    <col min="15111" max="15111" width="18.42578125" style="405" customWidth="1"/>
    <col min="15112" max="15112" width="10.140625" style="405" bestFit="1" customWidth="1"/>
    <col min="15113" max="15113" width="10" style="405" bestFit="1" customWidth="1"/>
    <col min="15114" max="15114" width="17.28515625" style="405" bestFit="1" customWidth="1"/>
    <col min="15115" max="15115" width="11.42578125" style="405" customWidth="1"/>
    <col min="15116" max="15116" width="0.140625" style="405" customWidth="1"/>
    <col min="15117" max="15117" width="0" style="405" hidden="1" customWidth="1"/>
    <col min="15118" max="15360" width="9.140625" style="405"/>
    <col min="15361" max="15361" width="4.5703125" style="405" bestFit="1" customWidth="1"/>
    <col min="15362" max="15362" width="21.42578125" style="405" customWidth="1"/>
    <col min="15363" max="15363" width="17.85546875" style="405" customWidth="1"/>
    <col min="15364" max="15364" width="12" style="405" customWidth="1"/>
    <col min="15365" max="15365" width="17.140625" style="405" bestFit="1" customWidth="1"/>
    <col min="15366" max="15366" width="11.28515625" style="405" bestFit="1" customWidth="1"/>
    <col min="15367" max="15367" width="18.42578125" style="405" customWidth="1"/>
    <col min="15368" max="15368" width="10.140625" style="405" bestFit="1" customWidth="1"/>
    <col min="15369" max="15369" width="10" style="405" bestFit="1" customWidth="1"/>
    <col min="15370" max="15370" width="17.28515625" style="405" bestFit="1" customWidth="1"/>
    <col min="15371" max="15371" width="11.42578125" style="405" customWidth="1"/>
    <col min="15372" max="15372" width="0.140625" style="405" customWidth="1"/>
    <col min="15373" max="15373" width="0" style="405" hidden="1" customWidth="1"/>
    <col min="15374" max="15616" width="9.140625" style="405"/>
    <col min="15617" max="15617" width="4.5703125" style="405" bestFit="1" customWidth="1"/>
    <col min="15618" max="15618" width="21.42578125" style="405" customWidth="1"/>
    <col min="15619" max="15619" width="17.85546875" style="405" customWidth="1"/>
    <col min="15620" max="15620" width="12" style="405" customWidth="1"/>
    <col min="15621" max="15621" width="17.140625" style="405" bestFit="1" customWidth="1"/>
    <col min="15622" max="15622" width="11.28515625" style="405" bestFit="1" customWidth="1"/>
    <col min="15623" max="15623" width="18.42578125" style="405" customWidth="1"/>
    <col min="15624" max="15624" width="10.140625" style="405" bestFit="1" customWidth="1"/>
    <col min="15625" max="15625" width="10" style="405" bestFit="1" customWidth="1"/>
    <col min="15626" max="15626" width="17.28515625" style="405" bestFit="1" customWidth="1"/>
    <col min="15627" max="15627" width="11.42578125" style="405" customWidth="1"/>
    <col min="15628" max="15628" width="0.140625" style="405" customWidth="1"/>
    <col min="15629" max="15629" width="0" style="405" hidden="1" customWidth="1"/>
    <col min="15630" max="15872" width="9.140625" style="405"/>
    <col min="15873" max="15873" width="4.5703125" style="405" bestFit="1" customWidth="1"/>
    <col min="15874" max="15874" width="21.42578125" style="405" customWidth="1"/>
    <col min="15875" max="15875" width="17.85546875" style="405" customWidth="1"/>
    <col min="15876" max="15876" width="12" style="405" customWidth="1"/>
    <col min="15877" max="15877" width="17.140625" style="405" bestFit="1" customWidth="1"/>
    <col min="15878" max="15878" width="11.28515625" style="405" bestFit="1" customWidth="1"/>
    <col min="15879" max="15879" width="18.42578125" style="405" customWidth="1"/>
    <col min="15880" max="15880" width="10.140625" style="405" bestFit="1" customWidth="1"/>
    <col min="15881" max="15881" width="10" style="405" bestFit="1" customWidth="1"/>
    <col min="15882" max="15882" width="17.28515625" style="405" bestFit="1" customWidth="1"/>
    <col min="15883" max="15883" width="11.42578125" style="405" customWidth="1"/>
    <col min="15884" max="15884" width="0.140625" style="405" customWidth="1"/>
    <col min="15885" max="15885" width="0" style="405" hidden="1" customWidth="1"/>
    <col min="15886" max="16128" width="9.140625" style="405"/>
    <col min="16129" max="16129" width="4.5703125" style="405" bestFit="1" customWidth="1"/>
    <col min="16130" max="16130" width="21.42578125" style="405" customWidth="1"/>
    <col min="16131" max="16131" width="17.85546875" style="405" customWidth="1"/>
    <col min="16132" max="16132" width="12" style="405" customWidth="1"/>
    <col min="16133" max="16133" width="17.140625" style="405" bestFit="1" customWidth="1"/>
    <col min="16134" max="16134" width="11.28515625" style="405" bestFit="1" customWidth="1"/>
    <col min="16135" max="16135" width="18.42578125" style="405" customWidth="1"/>
    <col min="16136" max="16136" width="10.140625" style="405" bestFit="1" customWidth="1"/>
    <col min="16137" max="16137" width="10" style="405" bestFit="1" customWidth="1"/>
    <col min="16138" max="16138" width="17.28515625" style="405" bestFit="1" customWidth="1"/>
    <col min="16139" max="16139" width="11.42578125" style="405" customWidth="1"/>
    <col min="16140" max="16140" width="0.140625" style="405" customWidth="1"/>
    <col min="16141" max="16141" width="0" style="405" hidden="1" customWidth="1"/>
    <col min="16142" max="16384" width="9.140625" style="405"/>
  </cols>
  <sheetData>
    <row r="1" spans="1:13">
      <c r="B1" s="318"/>
      <c r="C1" s="319"/>
      <c r="D1" s="319"/>
      <c r="E1" s="318"/>
      <c r="F1" s="319"/>
      <c r="G1" s="318"/>
      <c r="H1" s="319"/>
      <c r="I1" s="318"/>
      <c r="J1" s="319"/>
      <c r="K1" s="319"/>
      <c r="L1" s="320"/>
    </row>
    <row r="2" spans="1:13" ht="17.25" thickBot="1">
      <c r="B2" s="318"/>
      <c r="C2" s="319"/>
      <c r="D2" s="319"/>
      <c r="E2" s="318"/>
      <c r="F2" s="319"/>
      <c r="G2" s="318"/>
      <c r="H2" s="319"/>
      <c r="I2" s="318"/>
      <c r="J2" s="319"/>
      <c r="K2" s="319"/>
      <c r="L2" s="320"/>
    </row>
    <row r="3" spans="1:13" ht="17.25" thickBot="1">
      <c r="B3" s="321" t="s">
        <v>313</v>
      </c>
      <c r="C3" s="322"/>
      <c r="D3" s="322"/>
      <c r="E3" s="323">
        <f>[4]Diario!J17</f>
        <v>7000000</v>
      </c>
      <c r="F3" s="324"/>
      <c r="G3" s="325" t="s">
        <v>314</v>
      </c>
      <c r="H3" s="325"/>
      <c r="I3" s="326"/>
      <c r="J3" s="327">
        <v>5</v>
      </c>
      <c r="K3" s="328"/>
      <c r="L3" s="320"/>
    </row>
    <row r="4" spans="1:13" ht="17.25" thickBot="1">
      <c r="B4" s="329" t="s">
        <v>315</v>
      </c>
      <c r="C4" s="330"/>
      <c r="D4" s="330"/>
      <c r="E4" s="331">
        <v>8.6999999999999994E-2</v>
      </c>
      <c r="F4" s="332"/>
      <c r="G4" s="333" t="s">
        <v>316</v>
      </c>
      <c r="H4" s="333"/>
      <c r="I4" s="334"/>
      <c r="J4" s="335">
        <v>12</v>
      </c>
      <c r="K4" s="328"/>
      <c r="L4" s="320"/>
    </row>
    <row r="5" spans="1:13" ht="17.25" thickBot="1">
      <c r="B5" s="336" t="s">
        <v>317</v>
      </c>
      <c r="C5" s="337"/>
      <c r="D5" s="337"/>
      <c r="E5" s="338">
        <f>+I8</f>
        <v>144291.41104782262</v>
      </c>
      <c r="F5" s="339"/>
      <c r="G5" s="340" t="s">
        <v>318</v>
      </c>
      <c r="H5" s="340"/>
      <c r="I5" s="341"/>
      <c r="J5" s="342">
        <f>J4*J3</f>
        <v>60</v>
      </c>
      <c r="K5" s="343"/>
      <c r="L5" s="320"/>
    </row>
    <row r="6" spans="1:13" ht="17.25" thickBot="1">
      <c r="B6" s="622"/>
      <c r="C6" s="622"/>
      <c r="D6" s="318"/>
      <c r="E6" s="318"/>
      <c r="F6" s="319"/>
      <c r="G6" s="318"/>
      <c r="H6" s="319"/>
      <c r="I6" s="318"/>
      <c r="J6" s="319"/>
      <c r="K6" s="319"/>
      <c r="L6" s="320"/>
    </row>
    <row r="7" spans="1:13" ht="17.25" thickBot="1">
      <c r="B7" s="344" t="s">
        <v>319</v>
      </c>
      <c r="C7" s="345" t="s">
        <v>320</v>
      </c>
      <c r="D7" s="346"/>
      <c r="E7" s="344" t="s">
        <v>321</v>
      </c>
      <c r="F7" s="345"/>
      <c r="G7" s="344" t="s">
        <v>322</v>
      </c>
      <c r="H7" s="345"/>
      <c r="I7" s="345" t="s">
        <v>323</v>
      </c>
      <c r="J7" s="344" t="s">
        <v>324</v>
      </c>
      <c r="K7" s="344" t="s">
        <v>325</v>
      </c>
    </row>
    <row r="8" spans="1:13">
      <c r="A8" s="348">
        <f>+E4</f>
        <v>8.6999999999999994E-2</v>
      </c>
      <c r="B8" s="349">
        <v>1</v>
      </c>
      <c r="C8" s="350">
        <f>+E3</f>
        <v>7000000</v>
      </c>
      <c r="D8" s="351"/>
      <c r="E8" s="352">
        <f>+C8*A8/L8</f>
        <v>50750</v>
      </c>
      <c r="F8" s="353"/>
      <c r="G8" s="354">
        <f>I8-E8</f>
        <v>93541.411047822621</v>
      </c>
      <c r="H8" s="355"/>
      <c r="I8" s="356">
        <f>-PMT(E4/J4,J5,E3)</f>
        <v>144291.41104782262</v>
      </c>
      <c r="J8" s="357">
        <f>C8-I8</f>
        <v>6855708.5889521772</v>
      </c>
      <c r="K8" s="351">
        <f>+E8*0.05</f>
        <v>2537.5</v>
      </c>
      <c r="L8" s="320">
        <f>+J4</f>
        <v>12</v>
      </c>
      <c r="M8" s="358">
        <f>-PMT(E4/J4,J5,E3,0,1)</f>
        <v>143252.8280445</v>
      </c>
    </row>
    <row r="9" spans="1:13">
      <c r="A9" s="348">
        <f>+A8</f>
        <v>8.6999999999999994E-2</v>
      </c>
      <c r="B9" s="359">
        <v>2</v>
      </c>
      <c r="C9" s="353">
        <f>+C8-G8</f>
        <v>6906458.5889521772</v>
      </c>
      <c r="D9" s="357"/>
      <c r="E9" s="354">
        <f t="shared" ref="E9:E67" si="0">+C9*A9/L9</f>
        <v>50071.824769903287</v>
      </c>
      <c r="F9" s="353"/>
      <c r="G9" s="354">
        <f t="shared" ref="G9:G67" si="1">I9-E9</f>
        <v>94219.586277919327</v>
      </c>
      <c r="H9" s="355"/>
      <c r="I9" s="356">
        <f>I8</f>
        <v>144291.41104782262</v>
      </c>
      <c r="J9" s="357">
        <f t="shared" ref="J9:J67" si="2">C9-I9</f>
        <v>6762167.1779043544</v>
      </c>
      <c r="K9" s="357">
        <f t="shared" ref="K9:K66" si="3">+E9*0.05</f>
        <v>2503.5912384951644</v>
      </c>
      <c r="L9" s="360">
        <f>+L8</f>
        <v>12</v>
      </c>
      <c r="M9" s="358">
        <f>+M8</f>
        <v>143252.8280445</v>
      </c>
    </row>
    <row r="10" spans="1:13">
      <c r="A10" s="348">
        <f t="shared" ref="A10:A73" si="4">+A9</f>
        <v>8.6999999999999994E-2</v>
      </c>
      <c r="B10" s="359">
        <v>3</v>
      </c>
      <c r="C10" s="353">
        <f>C9-G9</f>
        <v>6812239.0026742583</v>
      </c>
      <c r="D10" s="357"/>
      <c r="E10" s="354">
        <f t="shared" si="0"/>
        <v>49388.732769388364</v>
      </c>
      <c r="F10" s="353"/>
      <c r="G10" s="354">
        <f t="shared" si="1"/>
        <v>94902.678278434265</v>
      </c>
      <c r="H10" s="355"/>
      <c r="I10" s="356">
        <f>I9</f>
        <v>144291.41104782262</v>
      </c>
      <c r="J10" s="357">
        <f t="shared" si="2"/>
        <v>6667947.5916264355</v>
      </c>
      <c r="K10" s="357">
        <f t="shared" si="3"/>
        <v>2469.4366384694185</v>
      </c>
      <c r="L10" s="360">
        <f t="shared" ref="L10:L73" si="5">+L9</f>
        <v>12</v>
      </c>
      <c r="M10" s="358" t="e">
        <f>-PMT(E6/J6,#REF!,E5,0,1)</f>
        <v>#DIV/0!</v>
      </c>
    </row>
    <row r="11" spans="1:13">
      <c r="A11" s="348">
        <f t="shared" si="4"/>
        <v>8.6999999999999994E-2</v>
      </c>
      <c r="B11" s="359">
        <v>4</v>
      </c>
      <c r="C11" s="353">
        <f t="shared" ref="C11:C67" si="6">C10-G10</f>
        <v>6717336.3243958242</v>
      </c>
      <c r="D11" s="357"/>
      <c r="E11" s="354">
        <f t="shared" si="0"/>
        <v>48700.688351869721</v>
      </c>
      <c r="F11" s="353"/>
      <c r="G11" s="354">
        <f t="shared" si="1"/>
        <v>95590.722695952893</v>
      </c>
      <c r="H11" s="355"/>
      <c r="I11" s="356">
        <f t="shared" ref="I11:I67" si="7">I10</f>
        <v>144291.41104782262</v>
      </c>
      <c r="J11" s="357">
        <f t="shared" si="2"/>
        <v>6573044.9133480014</v>
      </c>
      <c r="K11" s="357">
        <f t="shared" si="3"/>
        <v>2435.0344175934861</v>
      </c>
      <c r="L11" s="360">
        <f t="shared" si="5"/>
        <v>12</v>
      </c>
      <c r="M11" s="358" t="e">
        <f>-PMT(#REF!/#REF!,#REF!,E6,0,1)</f>
        <v>#REF!</v>
      </c>
    </row>
    <row r="12" spans="1:13">
      <c r="A12" s="348">
        <f t="shared" si="4"/>
        <v>8.6999999999999994E-2</v>
      </c>
      <c r="B12" s="359">
        <v>5</v>
      </c>
      <c r="C12" s="353">
        <f t="shared" si="6"/>
        <v>6621745.601699871</v>
      </c>
      <c r="D12" s="357"/>
      <c r="E12" s="354">
        <f t="shared" si="0"/>
        <v>48007.655612324066</v>
      </c>
      <c r="F12" s="353"/>
      <c r="G12" s="354">
        <f t="shared" si="1"/>
        <v>96283.755435498548</v>
      </c>
      <c r="H12" s="355"/>
      <c r="I12" s="356">
        <f t="shared" si="7"/>
        <v>144291.41104782262</v>
      </c>
      <c r="J12" s="357">
        <f t="shared" si="2"/>
        <v>6477454.1906520482</v>
      </c>
      <c r="K12" s="357">
        <f t="shared" si="3"/>
        <v>2400.3827806162035</v>
      </c>
      <c r="L12" s="360">
        <f t="shared" si="5"/>
        <v>12</v>
      </c>
      <c r="M12" s="358" t="e">
        <f>-PMT(#REF!/#REF!,J7,#REF!,0,1)</f>
        <v>#REF!</v>
      </c>
    </row>
    <row r="13" spans="1:13">
      <c r="A13" s="348">
        <f t="shared" si="4"/>
        <v>8.6999999999999994E-2</v>
      </c>
      <c r="B13" s="359">
        <v>6</v>
      </c>
      <c r="C13" s="353">
        <f t="shared" si="6"/>
        <v>6525461.8462643726</v>
      </c>
      <c r="D13" s="357"/>
      <c r="E13" s="354">
        <f t="shared" si="0"/>
        <v>47309.598385416699</v>
      </c>
      <c r="F13" s="353"/>
      <c r="G13" s="354">
        <f t="shared" si="1"/>
        <v>96981.812662405922</v>
      </c>
      <c r="H13" s="355"/>
      <c r="I13" s="356">
        <f t="shared" si="7"/>
        <v>144291.41104782262</v>
      </c>
      <c r="J13" s="357">
        <f t="shared" si="2"/>
        <v>6381170.4352165498</v>
      </c>
      <c r="K13" s="357">
        <f t="shared" si="3"/>
        <v>2365.4799192708351</v>
      </c>
      <c r="L13" s="360">
        <f t="shared" si="5"/>
        <v>12</v>
      </c>
      <c r="M13" s="358" t="e">
        <f>-PMT(E7/J7,J8,#REF!,0,1)</f>
        <v>#VALUE!</v>
      </c>
    </row>
    <row r="14" spans="1:13">
      <c r="A14" s="348">
        <f t="shared" si="4"/>
        <v>8.6999999999999994E-2</v>
      </c>
      <c r="B14" s="359">
        <v>7</v>
      </c>
      <c r="C14" s="361">
        <f t="shared" si="6"/>
        <v>6428480.0336019667</v>
      </c>
      <c r="D14" s="357"/>
      <c r="E14" s="354">
        <f t="shared" si="0"/>
        <v>46606.480243614256</v>
      </c>
      <c r="F14" s="361"/>
      <c r="G14" s="354">
        <f t="shared" si="1"/>
        <v>97684.930804208358</v>
      </c>
      <c r="H14" s="362"/>
      <c r="I14" s="363">
        <f t="shared" si="7"/>
        <v>144291.41104782262</v>
      </c>
      <c r="J14" s="357">
        <f t="shared" si="2"/>
        <v>6284188.6225541439</v>
      </c>
      <c r="K14" s="357">
        <f t="shared" si="3"/>
        <v>2330.324012180713</v>
      </c>
      <c r="L14" s="360">
        <f t="shared" si="5"/>
        <v>12</v>
      </c>
      <c r="M14" s="358" t="e">
        <f t="shared" ref="M14:M43" si="8">-PMT(E8/J8,J9,E7,0,1)</f>
        <v>#VALUE!</v>
      </c>
    </row>
    <row r="15" spans="1:13">
      <c r="A15" s="348">
        <f t="shared" si="4"/>
        <v>8.6999999999999994E-2</v>
      </c>
      <c r="B15" s="359">
        <v>8</v>
      </c>
      <c r="C15" s="361">
        <f t="shared" si="6"/>
        <v>6330795.1027977588</v>
      </c>
      <c r="D15" s="357"/>
      <c r="E15" s="354">
        <f t="shared" si="0"/>
        <v>45898.264495283744</v>
      </c>
      <c r="F15" s="361"/>
      <c r="G15" s="354">
        <f t="shared" si="1"/>
        <v>98393.146552538878</v>
      </c>
      <c r="H15" s="362"/>
      <c r="I15" s="363">
        <f t="shared" si="7"/>
        <v>144291.41104782262</v>
      </c>
      <c r="J15" s="357">
        <f t="shared" si="2"/>
        <v>6186503.691749936</v>
      </c>
      <c r="K15" s="357">
        <f t="shared" si="3"/>
        <v>2294.9132247641874</v>
      </c>
      <c r="L15" s="360">
        <f t="shared" si="5"/>
        <v>12</v>
      </c>
      <c r="M15" s="358">
        <f t="shared" si="8"/>
        <v>373.02641702309955</v>
      </c>
    </row>
    <row r="16" spans="1:13">
      <c r="A16" s="348">
        <f t="shared" si="4"/>
        <v>8.6999999999999994E-2</v>
      </c>
      <c r="B16" s="359">
        <v>9</v>
      </c>
      <c r="C16" s="361">
        <f t="shared" si="6"/>
        <v>6232401.9562452203</v>
      </c>
      <c r="D16" s="357"/>
      <c r="E16" s="354">
        <f t="shared" si="0"/>
        <v>45184.914182777844</v>
      </c>
      <c r="F16" s="361"/>
      <c r="G16" s="354">
        <f t="shared" si="1"/>
        <v>99106.496865044784</v>
      </c>
      <c r="H16" s="362"/>
      <c r="I16" s="363">
        <f t="shared" si="7"/>
        <v>144291.41104782262</v>
      </c>
      <c r="J16" s="357">
        <f t="shared" si="2"/>
        <v>6088110.5451973975</v>
      </c>
      <c r="K16" s="357">
        <f t="shared" si="3"/>
        <v>2259.2457091388924</v>
      </c>
      <c r="L16" s="360">
        <f t="shared" si="5"/>
        <v>12</v>
      </c>
      <c r="M16" s="358">
        <f t="shared" si="8"/>
        <v>368.14949459283201</v>
      </c>
    </row>
    <row r="17" spans="1:13">
      <c r="A17" s="348">
        <f t="shared" si="4"/>
        <v>8.6999999999999994E-2</v>
      </c>
      <c r="B17" s="359">
        <v>10</v>
      </c>
      <c r="C17" s="361">
        <f t="shared" si="6"/>
        <v>6133295.4593801759</v>
      </c>
      <c r="D17" s="357"/>
      <c r="E17" s="354">
        <f t="shared" si="0"/>
        <v>44466.392080506273</v>
      </c>
      <c r="F17" s="361"/>
      <c r="G17" s="354">
        <f t="shared" si="1"/>
        <v>99825.01896731634</v>
      </c>
      <c r="H17" s="362"/>
      <c r="I17" s="363">
        <f t="shared" si="7"/>
        <v>144291.41104782262</v>
      </c>
      <c r="J17" s="357">
        <f t="shared" si="2"/>
        <v>5989004.0483323531</v>
      </c>
      <c r="K17" s="357">
        <f t="shared" si="3"/>
        <v>2223.3196040253138</v>
      </c>
      <c r="L17" s="360">
        <f t="shared" si="5"/>
        <v>12</v>
      </c>
      <c r="M17" s="358">
        <f t="shared" si="8"/>
        <v>363.23734365124233</v>
      </c>
    </row>
    <row r="18" spans="1:13">
      <c r="A18" s="348">
        <f t="shared" si="4"/>
        <v>8.6999999999999994E-2</v>
      </c>
      <c r="B18" s="359">
        <v>11</v>
      </c>
      <c r="C18" s="361">
        <f t="shared" si="6"/>
        <v>6033470.4404128594</v>
      </c>
      <c r="D18" s="357"/>
      <c r="E18" s="354">
        <f t="shared" si="0"/>
        <v>43742.660692993231</v>
      </c>
      <c r="F18" s="361"/>
      <c r="G18" s="354">
        <f t="shared" si="1"/>
        <v>100548.75035482939</v>
      </c>
      <c r="H18" s="364"/>
      <c r="I18" s="363">
        <f t="shared" si="7"/>
        <v>144291.41104782262</v>
      </c>
      <c r="J18" s="357">
        <f t="shared" si="2"/>
        <v>5889179.0293650366</v>
      </c>
      <c r="K18" s="357">
        <f t="shared" si="3"/>
        <v>2187.1330346496616</v>
      </c>
      <c r="L18" s="360">
        <f t="shared" si="5"/>
        <v>12</v>
      </c>
      <c r="M18" s="358">
        <f t="shared" si="8"/>
        <v>358.28971643104779</v>
      </c>
    </row>
    <row r="19" spans="1:13">
      <c r="A19" s="348">
        <f t="shared" si="4"/>
        <v>8.6999999999999994E-2</v>
      </c>
      <c r="B19" s="365">
        <v>12</v>
      </c>
      <c r="C19" s="366">
        <f>C18-G18</f>
        <v>5932921.6900580302</v>
      </c>
      <c r="D19" s="367">
        <f>+SUM(E8:E19)</f>
        <v>563140.89383699826</v>
      </c>
      <c r="E19" s="368">
        <f t="shared" si="0"/>
        <v>43013.68225292072</v>
      </c>
      <c r="F19" s="369">
        <f>+SUM(G8:G19)</f>
        <v>1168356.0387368733</v>
      </c>
      <c r="G19" s="368">
        <f t="shared" si="1"/>
        <v>101277.72879490189</v>
      </c>
      <c r="H19" s="370">
        <f>+D19+F19</f>
        <v>1731496.9325738717</v>
      </c>
      <c r="I19" s="371">
        <f t="shared" si="7"/>
        <v>144291.41104782262</v>
      </c>
      <c r="J19" s="372">
        <f>C19-I19</f>
        <v>5788630.2790102074</v>
      </c>
      <c r="K19" s="373">
        <f t="shared" si="3"/>
        <v>2150.6841126460363</v>
      </c>
      <c r="L19" s="374">
        <f t="shared" si="5"/>
        <v>12</v>
      </c>
      <c r="M19" s="358">
        <f t="shared" si="8"/>
        <v>353.30636395736764</v>
      </c>
    </row>
    <row r="20" spans="1:13">
      <c r="A20" s="348">
        <f t="shared" si="4"/>
        <v>8.6999999999999994E-2</v>
      </c>
      <c r="B20" s="359">
        <v>13</v>
      </c>
      <c r="C20" s="361">
        <f t="shared" si="6"/>
        <v>5831643.9612631286</v>
      </c>
      <c r="D20" s="357"/>
      <c r="E20" s="354">
        <f t="shared" si="0"/>
        <v>42279.418719157678</v>
      </c>
      <c r="F20" s="361"/>
      <c r="G20" s="354">
        <f t="shared" si="1"/>
        <v>102011.99232866494</v>
      </c>
      <c r="H20" s="362"/>
      <c r="I20" s="363">
        <f t="shared" si="7"/>
        <v>144291.41104782262</v>
      </c>
      <c r="J20" s="357">
        <f t="shared" si="2"/>
        <v>5687352.5502153058</v>
      </c>
      <c r="K20" s="357">
        <f t="shared" si="3"/>
        <v>2113.9709359578842</v>
      </c>
      <c r="L20" s="360">
        <f t="shared" si="5"/>
        <v>12</v>
      </c>
      <c r="M20" s="358">
        <f t="shared" si="8"/>
        <v>348.2870360958018</v>
      </c>
    </row>
    <row r="21" spans="1:13">
      <c r="A21" s="348">
        <f t="shared" si="4"/>
        <v>8.6999999999999994E-2</v>
      </c>
      <c r="B21" s="359">
        <v>14</v>
      </c>
      <c r="C21" s="361">
        <f t="shared" si="6"/>
        <v>5729631.9689344633</v>
      </c>
      <c r="D21" s="357"/>
      <c r="E21" s="354">
        <f t="shared" si="0"/>
        <v>41539.831774774859</v>
      </c>
      <c r="F21" s="361"/>
      <c r="G21" s="354">
        <f t="shared" si="1"/>
        <v>102751.57927304777</v>
      </c>
      <c r="H21" s="362"/>
      <c r="I21" s="363">
        <f t="shared" si="7"/>
        <v>144291.41104782262</v>
      </c>
      <c r="J21" s="357">
        <f t="shared" si="2"/>
        <v>5585340.5578866405</v>
      </c>
      <c r="K21" s="357">
        <f t="shared" si="3"/>
        <v>2076.9915887387428</v>
      </c>
      <c r="L21" s="360">
        <f t="shared" si="5"/>
        <v>12</v>
      </c>
      <c r="M21" s="358">
        <f t="shared" si="8"/>
        <v>343.23148160751526</v>
      </c>
    </row>
    <row r="22" spans="1:13">
      <c r="A22" s="348">
        <f t="shared" si="4"/>
        <v>8.6999999999999994E-2</v>
      </c>
      <c r="B22" s="359">
        <v>15</v>
      </c>
      <c r="C22" s="361">
        <f t="shared" si="6"/>
        <v>5626880.3896614155</v>
      </c>
      <c r="D22" s="357"/>
      <c r="E22" s="354">
        <f t="shared" si="0"/>
        <v>40794.882825045257</v>
      </c>
      <c r="F22" s="361"/>
      <c r="G22" s="354">
        <f t="shared" si="1"/>
        <v>103496.52822277736</v>
      </c>
      <c r="H22" s="362"/>
      <c r="I22" s="363">
        <f t="shared" si="7"/>
        <v>144291.41104782262</v>
      </c>
      <c r="J22" s="357">
        <f t="shared" si="2"/>
        <v>5482588.9786135927</v>
      </c>
      <c r="K22" s="357">
        <f t="shared" si="3"/>
        <v>2039.744141252263</v>
      </c>
      <c r="L22" s="360">
        <f t="shared" si="5"/>
        <v>12</v>
      </c>
      <c r="M22" s="358">
        <f t="shared" si="8"/>
        <v>338.13944821230285</v>
      </c>
    </row>
    <row r="23" spans="1:13">
      <c r="A23" s="348">
        <f t="shared" si="4"/>
        <v>8.6999999999999994E-2</v>
      </c>
      <c r="B23" s="359">
        <v>16</v>
      </c>
      <c r="C23" s="361">
        <f t="shared" si="6"/>
        <v>5523383.8614386385</v>
      </c>
      <c r="D23" s="357"/>
      <c r="E23" s="354">
        <f t="shared" si="0"/>
        <v>40044.532995430127</v>
      </c>
      <c r="F23" s="361"/>
      <c r="G23" s="354">
        <f t="shared" si="1"/>
        <v>104246.87805239249</v>
      </c>
      <c r="H23" s="362"/>
      <c r="I23" s="363">
        <f t="shared" si="7"/>
        <v>144291.41104782262</v>
      </c>
      <c r="J23" s="357">
        <f t="shared" si="2"/>
        <v>5379092.4503908157</v>
      </c>
      <c r="K23" s="357">
        <f t="shared" si="3"/>
        <v>2002.2266497715063</v>
      </c>
      <c r="L23" s="360">
        <f t="shared" si="5"/>
        <v>12</v>
      </c>
      <c r="M23" s="358">
        <f t="shared" si="8"/>
        <v>333.0106826607643</v>
      </c>
    </row>
    <row r="24" spans="1:13">
      <c r="A24" s="348">
        <f t="shared" si="4"/>
        <v>8.6999999999999994E-2</v>
      </c>
      <c r="B24" s="359">
        <v>17</v>
      </c>
      <c r="C24" s="361">
        <f t="shared" si="6"/>
        <v>5419136.9833862465</v>
      </c>
      <c r="D24" s="357"/>
      <c r="E24" s="354">
        <f t="shared" si="0"/>
        <v>39288.743129550283</v>
      </c>
      <c r="F24" s="361"/>
      <c r="G24" s="354">
        <f t="shared" si="1"/>
        <v>105002.66791827235</v>
      </c>
      <c r="H24" s="362"/>
      <c r="I24" s="363">
        <f t="shared" si="7"/>
        <v>144291.41104782262</v>
      </c>
      <c r="J24" s="357">
        <f t="shared" si="2"/>
        <v>5274845.5723384237</v>
      </c>
      <c r="K24" s="357">
        <f t="shared" si="3"/>
        <v>1964.4371564775142</v>
      </c>
      <c r="L24" s="360">
        <f t="shared" si="5"/>
        <v>12</v>
      </c>
      <c r="M24" s="358">
        <f t="shared" si="8"/>
        <v>327.84493081690459</v>
      </c>
    </row>
    <row r="25" spans="1:13">
      <c r="A25" s="348">
        <f t="shared" si="4"/>
        <v>8.6999999999999994E-2</v>
      </c>
      <c r="B25" s="359">
        <v>18</v>
      </c>
      <c r="C25" s="361">
        <f t="shared" si="6"/>
        <v>5314134.3154679742</v>
      </c>
      <c r="D25" s="357"/>
      <c r="E25" s="354">
        <f t="shared" si="0"/>
        <v>38527.473787142808</v>
      </c>
      <c r="F25" s="361"/>
      <c r="G25" s="354">
        <f t="shared" si="1"/>
        <v>105763.93726067981</v>
      </c>
      <c r="H25" s="362"/>
      <c r="I25" s="363">
        <f t="shared" si="7"/>
        <v>144291.41104782262</v>
      </c>
      <c r="J25" s="357">
        <f t="shared" si="2"/>
        <v>5169842.9044201514</v>
      </c>
      <c r="K25" s="357">
        <f t="shared" si="3"/>
        <v>1926.3736893571404</v>
      </c>
      <c r="L25" s="360">
        <f t="shared" si="5"/>
        <v>12</v>
      </c>
      <c r="M25" s="358">
        <f t="shared" si="8"/>
        <v>322.64193775269462</v>
      </c>
    </row>
    <row r="26" spans="1:13">
      <c r="A26" s="348">
        <f t="shared" si="4"/>
        <v>8.6999999999999994E-2</v>
      </c>
      <c r="B26" s="359">
        <v>19</v>
      </c>
      <c r="C26" s="361">
        <f t="shared" si="6"/>
        <v>5208370.3782072943</v>
      </c>
      <c r="D26" s="357"/>
      <c r="E26" s="354">
        <f t="shared" si="0"/>
        <v>37760.685242002881</v>
      </c>
      <c r="F26" s="361"/>
      <c r="G26" s="354">
        <f t="shared" si="1"/>
        <v>106530.72580581973</v>
      </c>
      <c r="H26" s="362"/>
      <c r="I26" s="363">
        <f t="shared" si="7"/>
        <v>144291.41104782262</v>
      </c>
      <c r="J26" s="357">
        <f t="shared" si="2"/>
        <v>5064078.9671594715</v>
      </c>
      <c r="K26" s="357">
        <f t="shared" si="3"/>
        <v>1888.0342621001441</v>
      </c>
      <c r="L26" s="360">
        <f t="shared" si="5"/>
        <v>12</v>
      </c>
      <c r="M26" s="358">
        <f t="shared" si="8"/>
        <v>317.40144785638643</v>
      </c>
    </row>
    <row r="27" spans="1:13">
      <c r="A27" s="348">
        <f t="shared" si="4"/>
        <v>8.6999999999999994E-2</v>
      </c>
      <c r="B27" s="359">
        <v>20</v>
      </c>
      <c r="C27" s="361">
        <f t="shared" si="6"/>
        <v>5101839.6524014743</v>
      </c>
      <c r="D27" s="357"/>
      <c r="E27" s="354">
        <f t="shared" si="0"/>
        <v>36988.33747991069</v>
      </c>
      <c r="F27" s="361"/>
      <c r="G27" s="354">
        <f t="shared" si="1"/>
        <v>107303.07356791192</v>
      </c>
      <c r="H27" s="362"/>
      <c r="I27" s="363">
        <f t="shared" si="7"/>
        <v>144291.41104782262</v>
      </c>
      <c r="J27" s="357">
        <f t="shared" si="2"/>
        <v>4957548.2413536515</v>
      </c>
      <c r="K27" s="357">
        <f t="shared" si="3"/>
        <v>1849.4168739955346</v>
      </c>
      <c r="L27" s="360">
        <f t="shared" si="5"/>
        <v>12</v>
      </c>
      <c r="M27" s="358">
        <f t="shared" si="8"/>
        <v>312.12320495669138</v>
      </c>
    </row>
    <row r="28" spans="1:13">
      <c r="A28" s="348">
        <f t="shared" si="4"/>
        <v>8.6999999999999994E-2</v>
      </c>
      <c r="B28" s="359">
        <v>21</v>
      </c>
      <c r="C28" s="361">
        <f t="shared" si="6"/>
        <v>4994536.5788335623</v>
      </c>
      <c r="D28" s="357"/>
      <c r="E28" s="354">
        <f t="shared" si="0"/>
        <v>36210.390196543325</v>
      </c>
      <c r="F28" s="361"/>
      <c r="G28" s="354">
        <f t="shared" si="1"/>
        <v>108081.02085127929</v>
      </c>
      <c r="H28" s="362"/>
      <c r="I28" s="363">
        <f t="shared" si="7"/>
        <v>144291.41104782262</v>
      </c>
      <c r="J28" s="357">
        <f t="shared" si="2"/>
        <v>4850245.1677857395</v>
      </c>
      <c r="K28" s="357">
        <f t="shared" si="3"/>
        <v>1810.5195098271663</v>
      </c>
      <c r="L28" s="360">
        <f t="shared" si="5"/>
        <v>12</v>
      </c>
      <c r="M28" s="358">
        <f t="shared" si="8"/>
        <v>306.80695246530416</v>
      </c>
    </row>
    <row r="29" spans="1:13">
      <c r="A29" s="348">
        <f t="shared" si="4"/>
        <v>8.6999999999999994E-2</v>
      </c>
      <c r="B29" s="359">
        <v>22</v>
      </c>
      <c r="C29" s="361">
        <f t="shared" si="6"/>
        <v>4886455.5579822827</v>
      </c>
      <c r="D29" s="357"/>
      <c r="E29" s="354">
        <f t="shared" si="0"/>
        <v>35426.802795371543</v>
      </c>
      <c r="F29" s="361"/>
      <c r="G29" s="354">
        <f t="shared" si="1"/>
        <v>108864.60825245109</v>
      </c>
      <c r="H29" s="362"/>
      <c r="I29" s="363">
        <f t="shared" si="7"/>
        <v>144291.41104782262</v>
      </c>
      <c r="J29" s="357">
        <f t="shared" si="2"/>
        <v>4742164.1469344599</v>
      </c>
      <c r="K29" s="357">
        <f t="shared" si="3"/>
        <v>1771.3401397685773</v>
      </c>
      <c r="L29" s="360">
        <f t="shared" si="5"/>
        <v>12</v>
      </c>
      <c r="M29" s="358">
        <f t="shared" si="8"/>
        <v>301.45243354070715</v>
      </c>
    </row>
    <row r="30" spans="1:13">
      <c r="A30" s="348">
        <f t="shared" si="4"/>
        <v>8.6999999999999994E-2</v>
      </c>
      <c r="B30" s="359">
        <v>23</v>
      </c>
      <c r="C30" s="361">
        <f t="shared" si="6"/>
        <v>4777590.9497298319</v>
      </c>
      <c r="D30" s="357"/>
      <c r="E30" s="354">
        <f t="shared" si="0"/>
        <v>34637.534385541279</v>
      </c>
      <c r="F30" s="361"/>
      <c r="G30" s="354">
        <f t="shared" si="1"/>
        <v>109653.87666228134</v>
      </c>
      <c r="H30" s="362"/>
      <c r="I30" s="363">
        <f t="shared" si="7"/>
        <v>144291.41104782262</v>
      </c>
      <c r="J30" s="357">
        <f t="shared" si="2"/>
        <v>4633299.5386820091</v>
      </c>
      <c r="K30" s="357">
        <f t="shared" si="3"/>
        <v>1731.876719277064</v>
      </c>
      <c r="L30" s="360">
        <f t="shared" si="5"/>
        <v>12</v>
      </c>
      <c r="M30" s="358">
        <f t="shared" si="8"/>
        <v>296.05939127673463</v>
      </c>
    </row>
    <row r="31" spans="1:13">
      <c r="A31" s="348">
        <f t="shared" si="4"/>
        <v>8.6999999999999994E-2</v>
      </c>
      <c r="B31" s="365">
        <v>24</v>
      </c>
      <c r="C31" s="366">
        <f t="shared" si="6"/>
        <v>4667937.0730675505</v>
      </c>
      <c r="D31" s="367">
        <f>+SUM(E20:E31)</f>
        <v>457341.17711021053</v>
      </c>
      <c r="E31" s="368">
        <f t="shared" si="0"/>
        <v>33842.543779739739</v>
      </c>
      <c r="F31" s="369">
        <f>+SUM(G20:G31)</f>
        <v>1274155.7554636612</v>
      </c>
      <c r="G31" s="368">
        <f t="shared" si="1"/>
        <v>110448.86726808289</v>
      </c>
      <c r="H31" s="370">
        <f>+D31+F31</f>
        <v>1731496.9325738717</v>
      </c>
      <c r="I31" s="371">
        <f t="shared" si="7"/>
        <v>144291.41104782262</v>
      </c>
      <c r="J31" s="372">
        <f t="shared" si="2"/>
        <v>4523645.6620197278</v>
      </c>
      <c r="K31" s="373">
        <f t="shared" si="3"/>
        <v>1692.127188986987</v>
      </c>
      <c r="L31" s="375">
        <f t="shared" si="5"/>
        <v>12</v>
      </c>
      <c r="M31" s="358">
        <f t="shared" si="8"/>
        <v>290.62756892004012</v>
      </c>
    </row>
    <row r="32" spans="1:13">
      <c r="A32" s="348">
        <f t="shared" si="4"/>
        <v>8.6999999999999994E-2</v>
      </c>
      <c r="B32" s="359">
        <v>25</v>
      </c>
      <c r="C32" s="361">
        <f t="shared" si="6"/>
        <v>4557488.2057994679</v>
      </c>
      <c r="D32" s="357"/>
      <c r="E32" s="354">
        <f t="shared" si="0"/>
        <v>33041.78949204614</v>
      </c>
      <c r="F32" s="361"/>
      <c r="G32" s="354">
        <f t="shared" si="1"/>
        <v>111249.62155577648</v>
      </c>
      <c r="H32" s="362"/>
      <c r="I32" s="363">
        <f t="shared" si="7"/>
        <v>144291.41104782262</v>
      </c>
      <c r="J32" s="357">
        <f t="shared" si="2"/>
        <v>4413196.7947516451</v>
      </c>
      <c r="K32" s="357">
        <f t="shared" si="3"/>
        <v>1652.0894746023071</v>
      </c>
      <c r="L32" s="360">
        <f t="shared" si="5"/>
        <v>12</v>
      </c>
      <c r="M32" s="358">
        <f t="shared" si="8"/>
        <v>285.15671012142059</v>
      </c>
    </row>
    <row r="33" spans="1:13">
      <c r="A33" s="348">
        <f t="shared" si="4"/>
        <v>8.6999999999999994E-2</v>
      </c>
      <c r="B33" s="359">
        <v>26</v>
      </c>
      <c r="C33" s="361">
        <f t="shared" si="6"/>
        <v>4446238.5842436915</v>
      </c>
      <c r="D33" s="357"/>
      <c r="E33" s="354">
        <f t="shared" si="0"/>
        <v>32235.229735766759</v>
      </c>
      <c r="F33" s="361"/>
      <c r="G33" s="354">
        <f t="shared" si="1"/>
        <v>112056.18131205587</v>
      </c>
      <c r="H33" s="362"/>
      <c r="I33" s="363">
        <f t="shared" si="7"/>
        <v>144291.41104782262</v>
      </c>
      <c r="J33" s="357">
        <f t="shared" si="2"/>
        <v>4301947.1731958687</v>
      </c>
      <c r="K33" s="357">
        <f t="shared" si="3"/>
        <v>1611.7614867883381</v>
      </c>
      <c r="L33" s="360">
        <f t="shared" si="5"/>
        <v>12</v>
      </c>
      <c r="M33" s="358">
        <f t="shared" si="8"/>
        <v>279.64655922693748</v>
      </c>
    </row>
    <row r="34" spans="1:13">
      <c r="A34" s="348">
        <f t="shared" si="4"/>
        <v>8.6999999999999994E-2</v>
      </c>
      <c r="B34" s="359">
        <v>27</v>
      </c>
      <c r="C34" s="361">
        <f t="shared" si="6"/>
        <v>4334182.4029316353</v>
      </c>
      <c r="D34" s="357"/>
      <c r="E34" s="354">
        <f t="shared" si="0"/>
        <v>31422.822421254354</v>
      </c>
      <c r="F34" s="361"/>
      <c r="G34" s="354">
        <f t="shared" si="1"/>
        <v>112868.58862656826</v>
      </c>
      <c r="H34" s="362"/>
      <c r="I34" s="363">
        <f t="shared" si="7"/>
        <v>144291.41104782262</v>
      </c>
      <c r="J34" s="357">
        <f t="shared" si="2"/>
        <v>4189890.9918838125</v>
      </c>
      <c r="K34" s="357">
        <f t="shared" si="3"/>
        <v>1571.1411210627177</v>
      </c>
      <c r="L34" s="360">
        <f t="shared" si="5"/>
        <v>12</v>
      </c>
      <c r="M34" s="358">
        <f t="shared" si="8"/>
        <v>274.09686161599802</v>
      </c>
    </row>
    <row r="35" spans="1:13">
      <c r="A35" s="348">
        <f t="shared" si="4"/>
        <v>8.6999999999999994E-2</v>
      </c>
      <c r="B35" s="359">
        <v>28</v>
      </c>
      <c r="C35" s="361">
        <f t="shared" si="6"/>
        <v>4221313.8143050671</v>
      </c>
      <c r="D35" s="357"/>
      <c r="E35" s="354">
        <f t="shared" si="0"/>
        <v>30604.525153711733</v>
      </c>
      <c r="F35" s="361"/>
      <c r="G35" s="354">
        <f t="shared" si="1"/>
        <v>113686.88589411089</v>
      </c>
      <c r="H35" s="362"/>
      <c r="I35" s="363">
        <f t="shared" si="7"/>
        <v>144291.41104782262</v>
      </c>
      <c r="J35" s="357">
        <f t="shared" si="2"/>
        <v>4077022.4032572443</v>
      </c>
      <c r="K35" s="357">
        <f t="shared" si="3"/>
        <v>1530.2262576855867</v>
      </c>
      <c r="L35" s="360">
        <f t="shared" si="5"/>
        <v>12</v>
      </c>
      <c r="M35" s="358">
        <f t="shared" si="8"/>
        <v>268.50736409506504</v>
      </c>
    </row>
    <row r="36" spans="1:13">
      <c r="A36" s="348">
        <f t="shared" si="4"/>
        <v>8.6999999999999994E-2</v>
      </c>
      <c r="B36" s="359">
        <v>29</v>
      </c>
      <c r="C36" s="361">
        <f t="shared" si="6"/>
        <v>4107626.9284109562</v>
      </c>
      <c r="D36" s="357"/>
      <c r="E36" s="354">
        <f t="shared" si="0"/>
        <v>29780.295230979431</v>
      </c>
      <c r="F36" s="361"/>
      <c r="G36" s="354">
        <f t="shared" si="1"/>
        <v>114511.11581684319</v>
      </c>
      <c r="H36" s="362"/>
      <c r="I36" s="363">
        <f t="shared" si="7"/>
        <v>144291.41104782262</v>
      </c>
      <c r="J36" s="357">
        <f t="shared" si="2"/>
        <v>3963335.5173631334</v>
      </c>
      <c r="K36" s="357">
        <f t="shared" si="3"/>
        <v>1489.0147615489716</v>
      </c>
      <c r="L36" s="360">
        <f t="shared" si="5"/>
        <v>12</v>
      </c>
      <c r="M36" s="358">
        <f t="shared" si="8"/>
        <v>262.87781535754101</v>
      </c>
    </row>
    <row r="37" spans="1:13">
      <c r="A37" s="348">
        <f t="shared" si="4"/>
        <v>8.6999999999999994E-2</v>
      </c>
      <c r="B37" s="359">
        <v>30</v>
      </c>
      <c r="C37" s="361">
        <f t="shared" si="6"/>
        <v>3993115.8125941129</v>
      </c>
      <c r="D37" s="357"/>
      <c r="E37" s="354">
        <f t="shared" si="0"/>
        <v>28950.089641307317</v>
      </c>
      <c r="F37" s="361"/>
      <c r="G37" s="354">
        <f t="shared" si="1"/>
        <v>115341.3214065153</v>
      </c>
      <c r="H37" s="362"/>
      <c r="I37" s="363">
        <f t="shared" si="7"/>
        <v>144291.41104782262</v>
      </c>
      <c r="J37" s="357">
        <f t="shared" si="2"/>
        <v>3848824.4015462901</v>
      </c>
      <c r="K37" s="357">
        <f t="shared" si="3"/>
        <v>1447.5044820653659</v>
      </c>
      <c r="L37" s="360">
        <f t="shared" si="5"/>
        <v>12</v>
      </c>
      <c r="M37" s="358">
        <f t="shared" si="8"/>
        <v>257.20796652271133</v>
      </c>
    </row>
    <row r="38" spans="1:13">
      <c r="A38" s="348">
        <f t="shared" si="4"/>
        <v>8.6999999999999994E-2</v>
      </c>
      <c r="B38" s="359">
        <v>31</v>
      </c>
      <c r="C38" s="361">
        <f t="shared" si="6"/>
        <v>3877774.4911875976</v>
      </c>
      <c r="D38" s="357"/>
      <c r="E38" s="354">
        <f t="shared" si="0"/>
        <v>28113.865061110078</v>
      </c>
      <c r="F38" s="361"/>
      <c r="G38" s="354">
        <f t="shared" si="1"/>
        <v>116177.54598671255</v>
      </c>
      <c r="H38" s="362"/>
      <c r="I38" s="363">
        <f t="shared" si="7"/>
        <v>144291.41104782262</v>
      </c>
      <c r="J38" s="357">
        <f t="shared" si="2"/>
        <v>3733483.0801397748</v>
      </c>
      <c r="K38" s="357">
        <f t="shared" si="3"/>
        <v>1405.6932530555041</v>
      </c>
      <c r="L38" s="360">
        <f t="shared" si="5"/>
        <v>12</v>
      </c>
      <c r="M38" s="358">
        <f t="shared" si="8"/>
        <v>251.49757176958278</v>
      </c>
    </row>
    <row r="39" spans="1:13">
      <c r="A39" s="348">
        <f t="shared" si="4"/>
        <v>8.6999999999999994E-2</v>
      </c>
      <c r="B39" s="359">
        <v>32</v>
      </c>
      <c r="C39" s="361">
        <f t="shared" si="6"/>
        <v>3761596.9452008852</v>
      </c>
      <c r="D39" s="357"/>
      <c r="E39" s="354">
        <f t="shared" si="0"/>
        <v>27271.577852706414</v>
      </c>
      <c r="F39" s="361"/>
      <c r="G39" s="354">
        <f t="shared" si="1"/>
        <v>117019.83319511621</v>
      </c>
      <c r="H39" s="362"/>
      <c r="I39" s="363">
        <f t="shared" si="7"/>
        <v>144291.41104782262</v>
      </c>
      <c r="J39" s="357">
        <f t="shared" si="2"/>
        <v>3617305.5341530624</v>
      </c>
      <c r="K39" s="357">
        <f t="shared" si="3"/>
        <v>1363.5788926353207</v>
      </c>
      <c r="L39" s="360">
        <f t="shared" si="5"/>
        <v>12</v>
      </c>
      <c r="M39" s="358">
        <f t="shared" si="8"/>
        <v>245.74638908517386</v>
      </c>
    </row>
    <row r="40" spans="1:13">
      <c r="A40" s="348">
        <f t="shared" si="4"/>
        <v>8.6999999999999994E-2</v>
      </c>
      <c r="B40" s="359">
        <v>33</v>
      </c>
      <c r="C40" s="361">
        <f t="shared" si="6"/>
        <v>3644577.1120057688</v>
      </c>
      <c r="D40" s="357"/>
      <c r="E40" s="354">
        <f t="shared" si="0"/>
        <v>26423.184062041822</v>
      </c>
      <c r="F40" s="361"/>
      <c r="G40" s="354">
        <f t="shared" si="1"/>
        <v>117868.2269857808</v>
      </c>
      <c r="H40" s="362"/>
      <c r="I40" s="363">
        <f t="shared" si="7"/>
        <v>144291.41104782262</v>
      </c>
      <c r="J40" s="357">
        <f t="shared" si="2"/>
        <v>3500285.700957946</v>
      </c>
      <c r="K40" s="357">
        <f t="shared" si="3"/>
        <v>1321.1592031020912</v>
      </c>
      <c r="L40" s="360">
        <f t="shared" si="5"/>
        <v>12</v>
      </c>
      <c r="M40" s="358">
        <f t="shared" si="8"/>
        <v>239.95418115155906</v>
      </c>
    </row>
    <row r="41" spans="1:13">
      <c r="A41" s="348">
        <f t="shared" si="4"/>
        <v>8.6999999999999994E-2</v>
      </c>
      <c r="B41" s="359">
        <v>34</v>
      </c>
      <c r="C41" s="361">
        <f t="shared" si="6"/>
        <v>3526708.8850199878</v>
      </c>
      <c r="D41" s="357"/>
      <c r="E41" s="354">
        <f t="shared" si="0"/>
        <v>25568.639416394912</v>
      </c>
      <c r="F41" s="361"/>
      <c r="G41" s="354">
        <f t="shared" si="1"/>
        <v>118722.77163142771</v>
      </c>
      <c r="H41" s="362"/>
      <c r="I41" s="363">
        <f t="shared" si="7"/>
        <v>144291.41104782262</v>
      </c>
      <c r="J41" s="357">
        <f t="shared" si="2"/>
        <v>3382417.473972165</v>
      </c>
      <c r="K41" s="357">
        <f t="shared" si="3"/>
        <v>1278.4319708197456</v>
      </c>
      <c r="L41" s="360">
        <f t="shared" si="5"/>
        <v>12</v>
      </c>
      <c r="M41" s="358">
        <f t="shared" si="8"/>
        <v>234.12071640204289</v>
      </c>
    </row>
    <row r="42" spans="1:13">
      <c r="A42" s="348">
        <f t="shared" si="4"/>
        <v>8.6999999999999994E-2</v>
      </c>
      <c r="B42" s="359">
        <v>35</v>
      </c>
      <c r="C42" s="361">
        <f t="shared" si="6"/>
        <v>3407986.1133885602</v>
      </c>
      <c r="D42" s="357"/>
      <c r="E42" s="354">
        <f t="shared" si="0"/>
        <v>24707.899322067064</v>
      </c>
      <c r="F42" s="361"/>
      <c r="G42" s="354">
        <f t="shared" si="1"/>
        <v>119583.51172575555</v>
      </c>
      <c r="H42" s="362"/>
      <c r="I42" s="363">
        <f t="shared" si="7"/>
        <v>144291.41104782262</v>
      </c>
      <c r="J42" s="357">
        <f t="shared" si="2"/>
        <v>3263694.7023407375</v>
      </c>
      <c r="K42" s="357">
        <f t="shared" si="3"/>
        <v>1235.3949661033532</v>
      </c>
      <c r="L42" s="360">
        <f t="shared" si="5"/>
        <v>12</v>
      </c>
      <c r="M42" s="358">
        <f t="shared" si="8"/>
        <v>228.24577028467806</v>
      </c>
    </row>
    <row r="43" spans="1:13">
      <c r="A43" s="348">
        <f t="shared" si="4"/>
        <v>8.6999999999999994E-2</v>
      </c>
      <c r="B43" s="365">
        <v>36</v>
      </c>
      <c r="C43" s="366">
        <f t="shared" si="6"/>
        <v>3288402.6016628048</v>
      </c>
      <c r="D43" s="367">
        <f>+SUM(E32:E43)</f>
        <v>341960.83625144139</v>
      </c>
      <c r="E43" s="368">
        <f t="shared" si="0"/>
        <v>23840.918862055332</v>
      </c>
      <c r="F43" s="369">
        <f>+SUM(G32:G43)</f>
        <v>1389536.0963224303</v>
      </c>
      <c r="G43" s="368">
        <f t="shared" si="1"/>
        <v>120450.49218576729</v>
      </c>
      <c r="H43" s="370">
        <f>+D43+F43</f>
        <v>1731496.9325738717</v>
      </c>
      <c r="I43" s="371">
        <f t="shared" si="7"/>
        <v>144291.41104782262</v>
      </c>
      <c r="J43" s="372">
        <f t="shared" si="2"/>
        <v>3144111.190614982</v>
      </c>
      <c r="K43" s="373">
        <f t="shared" si="3"/>
        <v>1192.0459431027666</v>
      </c>
      <c r="L43" s="375">
        <f t="shared" si="5"/>
        <v>12</v>
      </c>
      <c r="M43" s="376">
        <f t="shared" si="8"/>
        <v>222.32912678153539</v>
      </c>
    </row>
    <row r="44" spans="1:13">
      <c r="A44" s="348">
        <f t="shared" si="4"/>
        <v>8.6999999999999994E-2</v>
      </c>
      <c r="B44" s="359">
        <v>37</v>
      </c>
      <c r="C44" s="361">
        <f t="shared" si="6"/>
        <v>3167952.1094770376</v>
      </c>
      <c r="D44" s="357"/>
      <c r="E44" s="354">
        <f t="shared" si="0"/>
        <v>22967.652793708519</v>
      </c>
      <c r="F44" s="361"/>
      <c r="G44" s="354">
        <f t="shared" si="1"/>
        <v>121323.7582541141</v>
      </c>
      <c r="H44" s="362"/>
      <c r="I44" s="363">
        <f t="shared" si="7"/>
        <v>144291.41104782262</v>
      </c>
      <c r="J44" s="357">
        <f t="shared" si="2"/>
        <v>3023660.6984292148</v>
      </c>
      <c r="K44" s="357">
        <f t="shared" si="3"/>
        <v>1148.3826396854261</v>
      </c>
      <c r="L44" s="360">
        <f t="shared" si="5"/>
        <v>12</v>
      </c>
    </row>
    <row r="45" spans="1:13">
      <c r="A45" s="348">
        <f t="shared" si="4"/>
        <v>8.6999999999999994E-2</v>
      </c>
      <c r="B45" s="359">
        <v>38</v>
      </c>
      <c r="C45" s="361">
        <f t="shared" si="6"/>
        <v>3046628.3512229235</v>
      </c>
      <c r="D45" s="357"/>
      <c r="E45" s="354">
        <f t="shared" si="0"/>
        <v>22088.055546366191</v>
      </c>
      <c r="F45" s="361"/>
      <c r="G45" s="354">
        <f t="shared" si="1"/>
        <v>122203.35550145643</v>
      </c>
      <c r="H45" s="362"/>
      <c r="I45" s="363">
        <f t="shared" si="7"/>
        <v>144291.41104782262</v>
      </c>
      <c r="J45" s="357">
        <f t="shared" si="2"/>
        <v>2902336.9401751007</v>
      </c>
      <c r="K45" s="357">
        <f t="shared" si="3"/>
        <v>1104.4027773183095</v>
      </c>
      <c r="L45" s="360">
        <f t="shared" si="5"/>
        <v>12</v>
      </c>
    </row>
    <row r="46" spans="1:13">
      <c r="A46" s="348">
        <f t="shared" si="4"/>
        <v>8.6999999999999994E-2</v>
      </c>
      <c r="B46" s="359">
        <v>39</v>
      </c>
      <c r="C46" s="361">
        <f t="shared" si="6"/>
        <v>2924424.9957214668</v>
      </c>
      <c r="D46" s="357"/>
      <c r="E46" s="354">
        <f t="shared" si="0"/>
        <v>21202.081218980635</v>
      </c>
      <c r="F46" s="361"/>
      <c r="G46" s="354">
        <f t="shared" si="1"/>
        <v>123089.32982884199</v>
      </c>
      <c r="H46" s="362"/>
      <c r="I46" s="363">
        <f t="shared" si="7"/>
        <v>144291.41104782262</v>
      </c>
      <c r="J46" s="357">
        <f t="shared" si="2"/>
        <v>2780133.584673644</v>
      </c>
      <c r="K46" s="357">
        <f t="shared" si="3"/>
        <v>1060.1040609490317</v>
      </c>
      <c r="L46" s="360">
        <f t="shared" si="5"/>
        <v>12</v>
      </c>
    </row>
    <row r="47" spans="1:13">
      <c r="A47" s="348">
        <f t="shared" si="4"/>
        <v>8.6999999999999994E-2</v>
      </c>
      <c r="B47" s="359">
        <v>40</v>
      </c>
      <c r="C47" s="361">
        <f t="shared" si="6"/>
        <v>2801335.6658926248</v>
      </c>
      <c r="D47" s="357"/>
      <c r="E47" s="354">
        <f t="shared" si="0"/>
        <v>20309.683577721527</v>
      </c>
      <c r="F47" s="361"/>
      <c r="G47" s="354">
        <f t="shared" si="1"/>
        <v>123981.72747010109</v>
      </c>
      <c r="H47" s="362"/>
      <c r="I47" s="363">
        <f t="shared" si="7"/>
        <v>144291.41104782262</v>
      </c>
      <c r="J47" s="357">
        <f t="shared" si="2"/>
        <v>2657044.254844802</v>
      </c>
      <c r="K47" s="357">
        <f t="shared" si="3"/>
        <v>1015.4841788860764</v>
      </c>
      <c r="L47" s="360">
        <f t="shared" si="5"/>
        <v>12</v>
      </c>
    </row>
    <row r="48" spans="1:13">
      <c r="A48" s="348">
        <f t="shared" si="4"/>
        <v>8.6999999999999994E-2</v>
      </c>
      <c r="B48" s="359">
        <v>41</v>
      </c>
      <c r="C48" s="361">
        <f t="shared" si="6"/>
        <v>2677353.9384225234</v>
      </c>
      <c r="D48" s="357"/>
      <c r="E48" s="354">
        <f t="shared" si="0"/>
        <v>19410.816053563296</v>
      </c>
      <c r="F48" s="361"/>
      <c r="G48" s="354">
        <f t="shared" si="1"/>
        <v>124880.59499425933</v>
      </c>
      <c r="H48" s="362"/>
      <c r="I48" s="363">
        <f t="shared" si="7"/>
        <v>144291.41104782262</v>
      </c>
      <c r="J48" s="357">
        <f t="shared" si="2"/>
        <v>2533062.5273747006</v>
      </c>
      <c r="K48" s="357">
        <f t="shared" si="3"/>
        <v>970.54080267816482</v>
      </c>
      <c r="L48" s="360">
        <f t="shared" si="5"/>
        <v>12</v>
      </c>
    </row>
    <row r="49" spans="1:13">
      <c r="A49" s="348">
        <f t="shared" si="4"/>
        <v>8.6999999999999994E-2</v>
      </c>
      <c r="B49" s="359">
        <v>42</v>
      </c>
      <c r="C49" s="361">
        <f t="shared" si="6"/>
        <v>2552473.3434282639</v>
      </c>
      <c r="D49" s="357"/>
      <c r="E49" s="354">
        <f t="shared" si="0"/>
        <v>18505.431739854914</v>
      </c>
      <c r="F49" s="361"/>
      <c r="G49" s="354">
        <f t="shared" si="1"/>
        <v>125785.9793079677</v>
      </c>
      <c r="H49" s="362"/>
      <c r="I49" s="363">
        <f t="shared" si="7"/>
        <v>144291.41104782262</v>
      </c>
      <c r="J49" s="357">
        <f t="shared" si="2"/>
        <v>2408181.9323804411</v>
      </c>
      <c r="K49" s="357">
        <f t="shared" si="3"/>
        <v>925.27158699274571</v>
      </c>
      <c r="L49" s="360">
        <f t="shared" si="5"/>
        <v>12</v>
      </c>
    </row>
    <row r="50" spans="1:13">
      <c r="A50" s="348">
        <f t="shared" si="4"/>
        <v>8.6999999999999994E-2</v>
      </c>
      <c r="B50" s="359">
        <v>43</v>
      </c>
      <c r="C50" s="361">
        <f t="shared" si="6"/>
        <v>2426687.3641202962</v>
      </c>
      <c r="D50" s="357"/>
      <c r="E50" s="354">
        <f t="shared" si="0"/>
        <v>17593.483389872144</v>
      </c>
      <c r="F50" s="361"/>
      <c r="G50" s="354">
        <f t="shared" si="1"/>
        <v>126697.92765795048</v>
      </c>
      <c r="H50" s="362"/>
      <c r="I50" s="363">
        <f t="shared" si="7"/>
        <v>144291.41104782262</v>
      </c>
      <c r="J50" s="357">
        <f t="shared" si="2"/>
        <v>2282395.9530724734</v>
      </c>
      <c r="K50" s="357">
        <f t="shared" si="3"/>
        <v>879.67416949360722</v>
      </c>
      <c r="L50" s="360">
        <f t="shared" si="5"/>
        <v>12</v>
      </c>
    </row>
    <row r="51" spans="1:13">
      <c r="A51" s="348">
        <f t="shared" si="4"/>
        <v>8.6999999999999994E-2</v>
      </c>
      <c r="B51" s="359">
        <v>44</v>
      </c>
      <c r="C51" s="361">
        <f t="shared" si="6"/>
        <v>2299989.4364623455</v>
      </c>
      <c r="D51" s="357"/>
      <c r="E51" s="354">
        <f t="shared" si="0"/>
        <v>16674.923414352004</v>
      </c>
      <c r="F51" s="361"/>
      <c r="G51" s="354">
        <f t="shared" si="1"/>
        <v>127616.48763347062</v>
      </c>
      <c r="H51" s="362"/>
      <c r="I51" s="363">
        <f t="shared" si="7"/>
        <v>144291.41104782262</v>
      </c>
      <c r="J51" s="357">
        <f t="shared" si="2"/>
        <v>2155698.0254145227</v>
      </c>
      <c r="K51" s="357">
        <f t="shared" si="3"/>
        <v>833.74617071760031</v>
      </c>
      <c r="L51" s="360">
        <f t="shared" si="5"/>
        <v>12</v>
      </c>
    </row>
    <row r="52" spans="1:13">
      <c r="A52" s="348">
        <f t="shared" si="4"/>
        <v>8.6999999999999994E-2</v>
      </c>
      <c r="B52" s="359">
        <v>45</v>
      </c>
      <c r="C52" s="361">
        <f t="shared" si="6"/>
        <v>2172372.9488288751</v>
      </c>
      <c r="D52" s="357"/>
      <c r="E52" s="354">
        <f t="shared" si="0"/>
        <v>15749.703879009343</v>
      </c>
      <c r="F52" s="361"/>
      <c r="G52" s="354">
        <f t="shared" si="1"/>
        <v>128541.70716881327</v>
      </c>
      <c r="H52" s="362"/>
      <c r="I52" s="363">
        <f t="shared" si="7"/>
        <v>144291.41104782262</v>
      </c>
      <c r="J52" s="357">
        <f t="shared" si="2"/>
        <v>2028081.5377810525</v>
      </c>
      <c r="K52" s="357">
        <f t="shared" si="3"/>
        <v>787.48519395046719</v>
      </c>
      <c r="L52" s="360">
        <f t="shared" si="5"/>
        <v>12</v>
      </c>
    </row>
    <row r="53" spans="1:13">
      <c r="A53" s="348">
        <f t="shared" si="4"/>
        <v>8.6999999999999994E-2</v>
      </c>
      <c r="B53" s="359">
        <v>46</v>
      </c>
      <c r="C53" s="361">
        <f t="shared" si="6"/>
        <v>2043831.2416600618</v>
      </c>
      <c r="D53" s="357"/>
      <c r="E53" s="354">
        <f t="shared" si="0"/>
        <v>14817.776502035447</v>
      </c>
      <c r="F53" s="361"/>
      <c r="G53" s="354">
        <f t="shared" si="1"/>
        <v>129473.63454578718</v>
      </c>
      <c r="H53" s="362"/>
      <c r="I53" s="363">
        <f t="shared" si="7"/>
        <v>144291.41104782262</v>
      </c>
      <c r="J53" s="357">
        <f t="shared" si="2"/>
        <v>1899539.8306122392</v>
      </c>
      <c r="K53" s="357">
        <f t="shared" si="3"/>
        <v>740.88882510177245</v>
      </c>
      <c r="L53" s="360">
        <f t="shared" si="5"/>
        <v>12</v>
      </c>
    </row>
    <row r="54" spans="1:13">
      <c r="A54" s="348">
        <f t="shared" si="4"/>
        <v>8.6999999999999994E-2</v>
      </c>
      <c r="B54" s="359">
        <v>47</v>
      </c>
      <c r="C54" s="361">
        <f t="shared" si="6"/>
        <v>1914357.6071142745</v>
      </c>
      <c r="D54" s="357"/>
      <c r="E54" s="354">
        <f t="shared" si="0"/>
        <v>13879.092651578489</v>
      </c>
      <c r="F54" s="361"/>
      <c r="G54" s="354">
        <f t="shared" si="1"/>
        <v>130412.31839624414</v>
      </c>
      <c r="H54" s="362"/>
      <c r="I54" s="363">
        <f t="shared" si="7"/>
        <v>144291.41104782262</v>
      </c>
      <c r="J54" s="357">
        <f t="shared" si="2"/>
        <v>1770066.196066452</v>
      </c>
      <c r="K54" s="357">
        <f t="shared" si="3"/>
        <v>693.95463257892447</v>
      </c>
      <c r="L54" s="360">
        <f t="shared" si="5"/>
        <v>12</v>
      </c>
    </row>
    <row r="55" spans="1:13">
      <c r="A55" s="348">
        <f t="shared" si="4"/>
        <v>8.6999999999999994E-2</v>
      </c>
      <c r="B55" s="365">
        <v>48</v>
      </c>
      <c r="C55" s="366">
        <f t="shared" si="6"/>
        <v>1783945.2887180303</v>
      </c>
      <c r="D55" s="367">
        <f>+SUM(E44:E55)</f>
        <v>216132.30411024822</v>
      </c>
      <c r="E55" s="368">
        <f t="shared" si="0"/>
        <v>12933.603343205717</v>
      </c>
      <c r="F55" s="369">
        <f>+SUM(G44:G55)</f>
        <v>1515364.6284636233</v>
      </c>
      <c r="G55" s="368">
        <f t="shared" si="1"/>
        <v>131357.80770461689</v>
      </c>
      <c r="H55" s="370">
        <f>+D55+F55</f>
        <v>1731496.9325738717</v>
      </c>
      <c r="I55" s="371">
        <f t="shared" si="7"/>
        <v>144291.41104782262</v>
      </c>
      <c r="J55" s="372">
        <f t="shared" si="2"/>
        <v>1639653.8776702078</v>
      </c>
      <c r="K55" s="373">
        <f t="shared" si="3"/>
        <v>646.68016716028592</v>
      </c>
      <c r="L55" s="377">
        <f t="shared" si="5"/>
        <v>12</v>
      </c>
      <c r="M55" s="378"/>
    </row>
    <row r="56" spans="1:13">
      <c r="A56" s="348">
        <f t="shared" si="4"/>
        <v>8.6999999999999994E-2</v>
      </c>
      <c r="B56" s="359">
        <v>49</v>
      </c>
      <c r="C56" s="361">
        <f t="shared" si="6"/>
        <v>1652587.4810134135</v>
      </c>
      <c r="D56" s="357"/>
      <c r="E56" s="354">
        <f t="shared" si="0"/>
        <v>11981.259237347249</v>
      </c>
      <c r="F56" s="361"/>
      <c r="G56" s="354">
        <f t="shared" si="1"/>
        <v>132310.15181047536</v>
      </c>
      <c r="H56" s="362"/>
      <c r="I56" s="363">
        <f t="shared" si="7"/>
        <v>144291.41104782262</v>
      </c>
      <c r="J56" s="357">
        <f t="shared" si="2"/>
        <v>1508296.069965591</v>
      </c>
      <c r="K56" s="357">
        <f t="shared" si="3"/>
        <v>599.06296186736245</v>
      </c>
      <c r="L56" s="360">
        <f t="shared" si="5"/>
        <v>12</v>
      </c>
    </row>
    <row r="57" spans="1:13">
      <c r="A57" s="348">
        <f t="shared" si="4"/>
        <v>8.6999999999999994E-2</v>
      </c>
      <c r="B57" s="359">
        <v>50</v>
      </c>
      <c r="C57" s="361">
        <f t="shared" si="6"/>
        <v>1520277.3292029381</v>
      </c>
      <c r="D57" s="357"/>
      <c r="E57" s="354">
        <f t="shared" si="0"/>
        <v>11022.010636721301</v>
      </c>
      <c r="F57" s="361"/>
      <c r="G57" s="354">
        <f t="shared" si="1"/>
        <v>133269.40041110132</v>
      </c>
      <c r="H57" s="362"/>
      <c r="I57" s="363">
        <f t="shared" si="7"/>
        <v>144291.41104782262</v>
      </c>
      <c r="J57" s="357">
        <f t="shared" si="2"/>
        <v>1375985.9181551156</v>
      </c>
      <c r="K57" s="357">
        <f t="shared" si="3"/>
        <v>551.1005318360651</v>
      </c>
      <c r="L57" s="360">
        <f t="shared" si="5"/>
        <v>12</v>
      </c>
    </row>
    <row r="58" spans="1:13">
      <c r="A58" s="348">
        <f t="shared" si="4"/>
        <v>8.6999999999999994E-2</v>
      </c>
      <c r="B58" s="359">
        <v>51</v>
      </c>
      <c r="C58" s="361">
        <f>C57-G57</f>
        <v>1387007.9287918368</v>
      </c>
      <c r="D58" s="357"/>
      <c r="E58" s="354">
        <f t="shared" si="0"/>
        <v>10055.807483740817</v>
      </c>
      <c r="F58" s="361"/>
      <c r="G58" s="354">
        <f t="shared" si="1"/>
        <v>134235.6035640818</v>
      </c>
      <c r="H58" s="362"/>
      <c r="I58" s="363">
        <f t="shared" si="7"/>
        <v>144291.41104782262</v>
      </c>
      <c r="J58" s="357">
        <f t="shared" si="2"/>
        <v>1242716.5177440143</v>
      </c>
      <c r="K58" s="357">
        <f t="shared" si="3"/>
        <v>502.79037418704087</v>
      </c>
      <c r="L58" s="360">
        <f t="shared" si="5"/>
        <v>12</v>
      </c>
    </row>
    <row r="59" spans="1:13">
      <c r="A59" s="348">
        <f t="shared" si="4"/>
        <v>8.6999999999999994E-2</v>
      </c>
      <c r="B59" s="359">
        <v>52</v>
      </c>
      <c r="C59" s="361">
        <f t="shared" si="6"/>
        <v>1252772.3252277551</v>
      </c>
      <c r="D59" s="357"/>
      <c r="E59" s="354">
        <f t="shared" si="0"/>
        <v>9082.5993579012229</v>
      </c>
      <c r="F59" s="361"/>
      <c r="G59" s="354">
        <f t="shared" si="1"/>
        <v>135208.81168992139</v>
      </c>
      <c r="H59" s="362"/>
      <c r="I59" s="363">
        <f t="shared" si="7"/>
        <v>144291.41104782262</v>
      </c>
      <c r="J59" s="357">
        <f t="shared" si="2"/>
        <v>1108480.9141799326</v>
      </c>
      <c r="K59" s="357">
        <f t="shared" si="3"/>
        <v>454.12996789506116</v>
      </c>
      <c r="L59" s="360">
        <f t="shared" si="5"/>
        <v>12</v>
      </c>
    </row>
    <row r="60" spans="1:13">
      <c r="A60" s="348">
        <f t="shared" si="4"/>
        <v>8.6999999999999994E-2</v>
      </c>
      <c r="B60" s="359">
        <v>53</v>
      </c>
      <c r="C60" s="361">
        <f t="shared" si="6"/>
        <v>1117563.5135378337</v>
      </c>
      <c r="D60" s="357"/>
      <c r="E60" s="354">
        <f t="shared" si="0"/>
        <v>8102.3354731492936</v>
      </c>
      <c r="F60" s="361"/>
      <c r="G60" s="354">
        <f t="shared" si="1"/>
        <v>136189.07557467333</v>
      </c>
      <c r="H60" s="362"/>
      <c r="I60" s="379">
        <f t="shared" si="7"/>
        <v>144291.41104782262</v>
      </c>
      <c r="J60" s="357">
        <f t="shared" si="2"/>
        <v>973272.10249001114</v>
      </c>
      <c r="K60" s="357">
        <f t="shared" si="3"/>
        <v>405.11677365746471</v>
      </c>
      <c r="L60" s="360">
        <f t="shared" si="5"/>
        <v>12</v>
      </c>
    </row>
    <row r="61" spans="1:13">
      <c r="A61" s="348">
        <f t="shared" si="4"/>
        <v>8.6999999999999994E-2</v>
      </c>
      <c r="B61" s="359">
        <v>54</v>
      </c>
      <c r="C61" s="361">
        <f t="shared" si="6"/>
        <v>981374.43796316034</v>
      </c>
      <c r="D61" s="357"/>
      <c r="E61" s="354">
        <f t="shared" si="0"/>
        <v>7114.9646752329127</v>
      </c>
      <c r="F61" s="361"/>
      <c r="G61" s="354">
        <f t="shared" si="1"/>
        <v>137176.44637258971</v>
      </c>
      <c r="H61" s="362"/>
      <c r="I61" s="363">
        <f t="shared" si="7"/>
        <v>144291.41104782262</v>
      </c>
      <c r="J61" s="357">
        <f t="shared" si="2"/>
        <v>837083.02691533766</v>
      </c>
      <c r="K61" s="357">
        <f t="shared" si="3"/>
        <v>355.74823376164568</v>
      </c>
      <c r="L61" s="360">
        <f t="shared" si="5"/>
        <v>12</v>
      </c>
    </row>
    <row r="62" spans="1:13">
      <c r="A62" s="348">
        <f t="shared" si="4"/>
        <v>8.6999999999999994E-2</v>
      </c>
      <c r="B62" s="359">
        <v>55</v>
      </c>
      <c r="C62" s="361">
        <f t="shared" si="6"/>
        <v>844197.99159057066</v>
      </c>
      <c r="D62" s="357"/>
      <c r="E62" s="354">
        <f t="shared" si="0"/>
        <v>6120.4354390316366</v>
      </c>
      <c r="F62" s="361"/>
      <c r="G62" s="354">
        <f t="shared" si="1"/>
        <v>138170.97560879099</v>
      </c>
      <c r="H62" s="362"/>
      <c r="I62" s="363">
        <f t="shared" si="7"/>
        <v>144291.41104782262</v>
      </c>
      <c r="J62" s="357">
        <f t="shared" si="2"/>
        <v>699906.5805427481</v>
      </c>
      <c r="K62" s="357">
        <f t="shared" si="3"/>
        <v>306.02177195158185</v>
      </c>
      <c r="L62" s="360">
        <f t="shared" si="5"/>
        <v>12</v>
      </c>
    </row>
    <row r="63" spans="1:13">
      <c r="A63" s="348">
        <f t="shared" si="4"/>
        <v>8.6999999999999994E-2</v>
      </c>
      <c r="B63" s="359">
        <v>56</v>
      </c>
      <c r="C63" s="361">
        <f>C62-G62</f>
        <v>706027.01598177967</v>
      </c>
      <c r="D63" s="357"/>
      <c r="E63" s="354">
        <f t="shared" si="0"/>
        <v>5118.6958658679023</v>
      </c>
      <c r="F63" s="361"/>
      <c r="G63" s="354">
        <f t="shared" si="1"/>
        <v>139172.71518195473</v>
      </c>
      <c r="H63" s="362"/>
      <c r="I63" s="379">
        <f t="shared" si="7"/>
        <v>144291.41104782262</v>
      </c>
      <c r="J63" s="357">
        <f t="shared" si="2"/>
        <v>561735.6049339571</v>
      </c>
      <c r="K63" s="357">
        <f t="shared" si="3"/>
        <v>255.93479329339513</v>
      </c>
      <c r="L63" s="360">
        <f t="shared" si="5"/>
        <v>12</v>
      </c>
    </row>
    <row r="64" spans="1:13">
      <c r="A64" s="348">
        <f t="shared" si="4"/>
        <v>8.6999999999999994E-2</v>
      </c>
      <c r="B64" s="359">
        <v>57</v>
      </c>
      <c r="C64" s="361">
        <f t="shared" si="6"/>
        <v>566854.300799825</v>
      </c>
      <c r="D64" s="357"/>
      <c r="E64" s="354">
        <f t="shared" si="0"/>
        <v>4109.6936807987304</v>
      </c>
      <c r="F64" s="361"/>
      <c r="G64" s="354">
        <f t="shared" si="1"/>
        <v>140181.7173670239</v>
      </c>
      <c r="H64" s="362"/>
      <c r="I64" s="363">
        <f t="shared" si="7"/>
        <v>144291.41104782262</v>
      </c>
      <c r="J64" s="357">
        <f t="shared" si="2"/>
        <v>422562.88975200237</v>
      </c>
      <c r="K64" s="357">
        <f t="shared" si="3"/>
        <v>205.48468403993652</v>
      </c>
      <c r="L64" s="360">
        <f t="shared" si="5"/>
        <v>12</v>
      </c>
    </row>
    <row r="65" spans="1:13">
      <c r="A65" s="348">
        <f t="shared" si="4"/>
        <v>8.6999999999999994E-2</v>
      </c>
      <c r="B65" s="359">
        <v>58</v>
      </c>
      <c r="C65" s="361">
        <f t="shared" si="6"/>
        <v>426672.58343280107</v>
      </c>
      <c r="D65" s="357"/>
      <c r="E65" s="354">
        <f t="shared" si="0"/>
        <v>3093.3762298878078</v>
      </c>
      <c r="F65" s="361"/>
      <c r="G65" s="354">
        <f t="shared" si="1"/>
        <v>141198.03481793482</v>
      </c>
      <c r="H65" s="362"/>
      <c r="I65" s="363">
        <f t="shared" si="7"/>
        <v>144291.41104782262</v>
      </c>
      <c r="J65" s="357">
        <f t="shared" si="2"/>
        <v>282381.17238497845</v>
      </c>
      <c r="K65" s="357">
        <f t="shared" si="3"/>
        <v>154.66881149439041</v>
      </c>
      <c r="L65" s="360">
        <f t="shared" si="5"/>
        <v>12</v>
      </c>
    </row>
    <row r="66" spans="1:13" ht="17.25" thickBot="1">
      <c r="A66" s="348">
        <f t="shared" si="4"/>
        <v>8.6999999999999994E-2</v>
      </c>
      <c r="B66" s="359">
        <v>59</v>
      </c>
      <c r="C66" s="361">
        <f t="shared" si="6"/>
        <v>285474.54861486622</v>
      </c>
      <c r="D66" s="357"/>
      <c r="E66" s="354">
        <f t="shared" si="0"/>
        <v>2069.6904774577802</v>
      </c>
      <c r="F66" s="361"/>
      <c r="G66" s="354">
        <f t="shared" si="1"/>
        <v>142221.72057036485</v>
      </c>
      <c r="H66" s="362"/>
      <c r="I66" s="363">
        <f t="shared" si="7"/>
        <v>144291.41104782262</v>
      </c>
      <c r="J66" s="357">
        <f t="shared" si="2"/>
        <v>141183.1375670436</v>
      </c>
      <c r="K66" s="357">
        <f t="shared" si="3"/>
        <v>103.48452387288901</v>
      </c>
      <c r="L66" s="360">
        <f t="shared" si="5"/>
        <v>12</v>
      </c>
    </row>
    <row r="67" spans="1:13" ht="17.25" thickBot="1">
      <c r="A67" s="348">
        <f t="shared" si="4"/>
        <v>8.6999999999999994E-2</v>
      </c>
      <c r="B67" s="380">
        <v>60</v>
      </c>
      <c r="C67" s="381">
        <f t="shared" si="6"/>
        <v>143252.82804450137</v>
      </c>
      <c r="D67" s="382">
        <f>+SUM(E56:E67)</f>
        <v>78909.451560459303</v>
      </c>
      <c r="E67" s="383">
        <f t="shared" si="0"/>
        <v>1038.5830033226348</v>
      </c>
      <c r="F67" s="382">
        <f>+SUM(G56:G67)</f>
        <v>1652587.4810134124</v>
      </c>
      <c r="G67" s="383">
        <f t="shared" si="1"/>
        <v>143252.8280445</v>
      </c>
      <c r="H67" s="384"/>
      <c r="I67" s="385">
        <f t="shared" si="7"/>
        <v>144291.41104782262</v>
      </c>
      <c r="J67" s="386">
        <f t="shared" si="2"/>
        <v>-1038.5830033212551</v>
      </c>
      <c r="K67" s="387">
        <f>+E67*0.05</f>
        <v>51.929150166131741</v>
      </c>
      <c r="L67" s="360">
        <f t="shared" si="5"/>
        <v>12</v>
      </c>
      <c r="M67" s="378"/>
    </row>
    <row r="68" spans="1:13">
      <c r="A68" s="348">
        <f t="shared" si="4"/>
        <v>8.6999999999999994E-2</v>
      </c>
      <c r="B68" s="318"/>
      <c r="C68" s="361"/>
      <c r="D68" s="361"/>
      <c r="E68" s="379"/>
      <c r="F68" s="361"/>
      <c r="G68" s="379"/>
      <c r="H68" s="362"/>
      <c r="I68" s="379"/>
      <c r="J68" s="361"/>
      <c r="K68" s="388"/>
      <c r="L68" s="360">
        <f t="shared" si="5"/>
        <v>12</v>
      </c>
    </row>
    <row r="69" spans="1:13" ht="17.25" thickBot="1">
      <c r="A69" s="348">
        <f t="shared" si="4"/>
        <v>8.6999999999999994E-2</v>
      </c>
      <c r="B69" s="318"/>
      <c r="C69" s="361"/>
      <c r="D69" s="361"/>
      <c r="E69" s="379"/>
      <c r="F69" s="361"/>
      <c r="G69" s="379"/>
      <c r="H69" s="362"/>
      <c r="I69" s="363"/>
      <c r="J69" s="361"/>
      <c r="K69" s="361"/>
      <c r="L69" s="360">
        <f t="shared" si="5"/>
        <v>12</v>
      </c>
    </row>
    <row r="70" spans="1:13" ht="17.25" thickBot="1">
      <c r="A70" s="348">
        <f t="shared" si="4"/>
        <v>8.6999999999999994E-2</v>
      </c>
      <c r="B70" s="318"/>
      <c r="C70" s="623" t="s">
        <v>326</v>
      </c>
      <c r="D70" s="624"/>
      <c r="E70" s="624"/>
      <c r="F70" s="624"/>
      <c r="G70" s="624"/>
      <c r="H70" s="624"/>
      <c r="I70" s="624"/>
      <c r="J70" s="625"/>
      <c r="K70" s="389"/>
      <c r="L70" s="360">
        <f t="shared" si="5"/>
        <v>12</v>
      </c>
    </row>
    <row r="71" spans="1:13" ht="17.25" thickBot="1">
      <c r="A71" s="348">
        <f t="shared" si="4"/>
        <v>8.6999999999999994E-2</v>
      </c>
      <c r="B71" s="318"/>
      <c r="C71" s="390" t="s">
        <v>327</v>
      </c>
      <c r="D71" s="391" t="s">
        <v>328</v>
      </c>
      <c r="E71" s="391" t="s">
        <v>329</v>
      </c>
      <c r="F71" s="391" t="s">
        <v>330</v>
      </c>
      <c r="G71" s="391" t="s">
        <v>331</v>
      </c>
      <c r="H71" s="391" t="s">
        <v>332</v>
      </c>
      <c r="I71" s="391" t="s">
        <v>333</v>
      </c>
      <c r="J71" s="391" t="s">
        <v>334</v>
      </c>
      <c r="K71" s="392"/>
      <c r="L71" s="360">
        <f t="shared" si="5"/>
        <v>12</v>
      </c>
    </row>
    <row r="72" spans="1:13" ht="17.25" thickBot="1">
      <c r="A72" s="348">
        <f t="shared" si="4"/>
        <v>8.6999999999999994E-2</v>
      </c>
      <c r="B72" s="318"/>
      <c r="C72" s="393" t="s">
        <v>335</v>
      </c>
      <c r="D72" s="394">
        <f>E3</f>
        <v>7000000</v>
      </c>
      <c r="E72" s="395">
        <f>+D72-F19</f>
        <v>5831643.9612631267</v>
      </c>
      <c r="F72" s="396">
        <f>+E72-F31</f>
        <v>4557488.205799466</v>
      </c>
      <c r="G72" s="395">
        <f>+F72-F43</f>
        <v>3167952.1094770357</v>
      </c>
      <c r="H72" s="395">
        <f>+G72-F55</f>
        <v>1652587.4810134124</v>
      </c>
      <c r="I72" s="395">
        <f>+H72-F67</f>
        <v>0</v>
      </c>
      <c r="J72" s="393"/>
      <c r="K72" s="353"/>
      <c r="L72" s="360">
        <f t="shared" si="5"/>
        <v>12</v>
      </c>
    </row>
    <row r="73" spans="1:13" ht="17.25" thickBot="1">
      <c r="A73" s="348">
        <f t="shared" si="4"/>
        <v>8.6999999999999994E-2</v>
      </c>
      <c r="B73" s="318"/>
      <c r="C73" s="393" t="s">
        <v>336</v>
      </c>
      <c r="D73" s="393">
        <v>0</v>
      </c>
      <c r="E73" s="395">
        <f>+D19</f>
        <v>563140.89383699826</v>
      </c>
      <c r="F73" s="396">
        <f>+D31</f>
        <v>457341.17711021053</v>
      </c>
      <c r="G73" s="395">
        <f>+D43</f>
        <v>341960.83625144139</v>
      </c>
      <c r="H73" s="395">
        <f>+D55</f>
        <v>216132.30411024822</v>
      </c>
      <c r="I73" s="397">
        <f>+D67</f>
        <v>78909.451560459303</v>
      </c>
      <c r="J73" s="398">
        <f>+SUM(D73:I73)</f>
        <v>1657484.6628693577</v>
      </c>
      <c r="K73" s="399"/>
      <c r="L73" s="360">
        <f t="shared" si="5"/>
        <v>12</v>
      </c>
    </row>
    <row r="74" spans="1:13" ht="17.25" thickBot="1">
      <c r="A74" s="348">
        <f>+A73</f>
        <v>8.6999999999999994E-2</v>
      </c>
      <c r="B74" s="318"/>
      <c r="C74" s="393" t="s">
        <v>337</v>
      </c>
      <c r="D74" s="393">
        <v>0</v>
      </c>
      <c r="E74" s="395">
        <f>+F19</f>
        <v>1168356.0387368733</v>
      </c>
      <c r="F74" s="396">
        <f>+F31</f>
        <v>1274155.7554636612</v>
      </c>
      <c r="G74" s="395">
        <f>+F43</f>
        <v>1389536.0963224303</v>
      </c>
      <c r="H74" s="395">
        <f>+F55</f>
        <v>1515364.6284636233</v>
      </c>
      <c r="I74" s="395">
        <f>+F67</f>
        <v>1652587.4810134124</v>
      </c>
      <c r="J74" s="400">
        <f>+SUM(D74:I74)</f>
        <v>7000000.0000000009</v>
      </c>
      <c r="K74" s="401"/>
      <c r="L74" s="360">
        <f>+L73</f>
        <v>12</v>
      </c>
    </row>
    <row r="75" spans="1:13" ht="17.25" thickBot="1">
      <c r="A75" s="348">
        <f t="shared" ref="A75:A138" si="9">+A74</f>
        <v>8.6999999999999994E-2</v>
      </c>
      <c r="B75" s="318"/>
      <c r="C75" s="393" t="s">
        <v>338</v>
      </c>
      <c r="D75" s="393">
        <f t="shared" ref="D75:J75" si="10">+D73+D74</f>
        <v>0</v>
      </c>
      <c r="E75" s="395">
        <f>+E73+E74</f>
        <v>1731496.9325738717</v>
      </c>
      <c r="F75" s="396">
        <f t="shared" si="10"/>
        <v>1731496.9325738717</v>
      </c>
      <c r="G75" s="395">
        <f t="shared" si="10"/>
        <v>1731496.9325738717</v>
      </c>
      <c r="H75" s="396">
        <f t="shared" si="10"/>
        <v>1731496.9325738717</v>
      </c>
      <c r="I75" s="395">
        <f t="shared" si="10"/>
        <v>1731496.9325738717</v>
      </c>
      <c r="J75" s="393">
        <f t="shared" si="10"/>
        <v>8657484.6628693584</v>
      </c>
      <c r="K75" s="353"/>
      <c r="L75" s="360">
        <f t="shared" ref="L75:L138" si="11">+L74</f>
        <v>12</v>
      </c>
    </row>
    <row r="76" spans="1:13" ht="17.25" thickBot="1">
      <c r="A76" s="348"/>
      <c r="B76" s="318"/>
      <c r="C76" s="393" t="s">
        <v>339</v>
      </c>
      <c r="D76" s="393"/>
      <c r="E76" s="395">
        <f>+SUM(K8:K19)</f>
        <v>28157.044691849911</v>
      </c>
      <c r="F76" s="396">
        <f>+SUM(K20:K31)</f>
        <v>22867.058855510524</v>
      </c>
      <c r="G76" s="395">
        <f>+SUM(K32:K43)</f>
        <v>17098.041812572068</v>
      </c>
      <c r="H76" s="396">
        <f>+SUM(K44:K55)</f>
        <v>10806.615205512415</v>
      </c>
      <c r="I76" s="395">
        <f>+SUM(K56:K67)</f>
        <v>3945.4725780229646</v>
      </c>
      <c r="J76" s="393">
        <f>+SUM(D76:I76)</f>
        <v>82874.233143467878</v>
      </c>
      <c r="K76" s="353"/>
      <c r="L76" s="360"/>
    </row>
    <row r="77" spans="1:13" ht="17.25" thickBot="1">
      <c r="A77" s="348">
        <f>+A75</f>
        <v>8.6999999999999994E-2</v>
      </c>
      <c r="B77" s="318"/>
      <c r="C77" s="626" t="s">
        <v>340</v>
      </c>
      <c r="D77" s="627"/>
      <c r="E77" s="627"/>
      <c r="F77" s="627"/>
      <c r="G77" s="627"/>
      <c r="H77" s="627"/>
      <c r="I77" s="628"/>
      <c r="J77" s="402">
        <f>+(J73+J76)/J74</f>
        <v>0.24862269943040363</v>
      </c>
      <c r="K77" s="403"/>
      <c r="L77" s="360">
        <f>+L75</f>
        <v>12</v>
      </c>
    </row>
    <row r="78" spans="1:13">
      <c r="A78" s="348">
        <f t="shared" si="9"/>
        <v>8.6999999999999994E-2</v>
      </c>
      <c r="B78" s="318"/>
      <c r="C78" s="361"/>
      <c r="D78" s="361"/>
      <c r="E78" s="379"/>
      <c r="F78" s="361"/>
      <c r="G78" s="379"/>
      <c r="H78" s="362"/>
      <c r="I78" s="379"/>
      <c r="J78" s="361"/>
      <c r="K78" s="361"/>
      <c r="L78" s="360">
        <f t="shared" si="11"/>
        <v>12</v>
      </c>
    </row>
    <row r="79" spans="1:13">
      <c r="A79" s="348">
        <f t="shared" si="9"/>
        <v>8.6999999999999994E-2</v>
      </c>
      <c r="B79" s="318"/>
      <c r="C79" s="361"/>
      <c r="D79" s="361"/>
      <c r="E79" s="379"/>
      <c r="F79" s="361"/>
      <c r="G79" s="379"/>
      <c r="H79" s="362"/>
      <c r="I79" s="379"/>
      <c r="J79" s="361"/>
      <c r="K79" s="361"/>
      <c r="L79" s="360">
        <f t="shared" si="11"/>
        <v>12</v>
      </c>
    </row>
    <row r="80" spans="1:13">
      <c r="A80" s="348">
        <f t="shared" si="9"/>
        <v>8.6999999999999994E-2</v>
      </c>
      <c r="B80" s="318"/>
      <c r="C80" s="361"/>
      <c r="D80" s="361"/>
      <c r="E80" s="379"/>
      <c r="F80" s="361"/>
      <c r="G80" s="379"/>
      <c r="H80" s="362"/>
      <c r="I80" s="379"/>
      <c r="J80" s="361"/>
      <c r="K80" s="361"/>
      <c r="L80" s="360">
        <f t="shared" si="11"/>
        <v>12</v>
      </c>
    </row>
    <row r="81" spans="1:12">
      <c r="A81" s="348">
        <f t="shared" si="9"/>
        <v>8.6999999999999994E-2</v>
      </c>
      <c r="B81" s="318"/>
      <c r="C81" s="361"/>
      <c r="D81" s="361"/>
      <c r="E81" s="379"/>
      <c r="F81" s="361"/>
      <c r="G81" s="379"/>
      <c r="H81" s="362"/>
      <c r="I81" s="379"/>
      <c r="J81" s="361"/>
      <c r="K81" s="361"/>
      <c r="L81" s="360">
        <f t="shared" si="11"/>
        <v>12</v>
      </c>
    </row>
    <row r="82" spans="1:12">
      <c r="A82" s="348">
        <f t="shared" si="9"/>
        <v>8.6999999999999994E-2</v>
      </c>
      <c r="B82" s="318"/>
      <c r="C82" s="361"/>
      <c r="D82" s="361"/>
      <c r="E82" s="379"/>
      <c r="F82" s="361"/>
      <c r="G82" s="379"/>
      <c r="H82" s="362"/>
      <c r="I82" s="379"/>
      <c r="J82" s="361"/>
      <c r="K82" s="361"/>
      <c r="L82" s="360">
        <f t="shared" si="11"/>
        <v>12</v>
      </c>
    </row>
    <row r="83" spans="1:12">
      <c r="A83" s="348">
        <f t="shared" si="9"/>
        <v>8.6999999999999994E-2</v>
      </c>
      <c r="B83" s="318"/>
      <c r="C83" s="361"/>
      <c r="D83" s="361"/>
      <c r="E83" s="379"/>
      <c r="F83" s="361"/>
      <c r="G83" s="379"/>
      <c r="H83" s="362"/>
      <c r="I83" s="379"/>
      <c r="J83" s="361"/>
      <c r="K83" s="361"/>
      <c r="L83" s="360">
        <f t="shared" si="11"/>
        <v>12</v>
      </c>
    </row>
    <row r="84" spans="1:12">
      <c r="A84" s="348">
        <f t="shared" si="9"/>
        <v>8.6999999999999994E-2</v>
      </c>
      <c r="B84" s="318"/>
      <c r="C84" s="361"/>
      <c r="D84" s="361"/>
      <c r="E84" s="379"/>
      <c r="F84" s="361"/>
      <c r="G84" s="379"/>
      <c r="H84" s="362"/>
      <c r="I84" s="379"/>
      <c r="J84" s="361"/>
      <c r="K84" s="361"/>
      <c r="L84" s="360">
        <f t="shared" si="11"/>
        <v>12</v>
      </c>
    </row>
    <row r="85" spans="1:12">
      <c r="A85" s="348">
        <f t="shared" si="9"/>
        <v>8.6999999999999994E-2</v>
      </c>
      <c r="B85" s="318"/>
      <c r="C85" s="361"/>
      <c r="D85" s="361"/>
      <c r="E85" s="379"/>
      <c r="F85" s="361"/>
      <c r="G85" s="379"/>
      <c r="H85" s="362"/>
      <c r="I85" s="379"/>
      <c r="J85" s="361"/>
      <c r="K85" s="361"/>
      <c r="L85" s="360">
        <f t="shared" si="11"/>
        <v>12</v>
      </c>
    </row>
    <row r="86" spans="1:12">
      <c r="A86" s="348">
        <f t="shared" si="9"/>
        <v>8.6999999999999994E-2</v>
      </c>
      <c r="B86" s="318"/>
      <c r="C86" s="361"/>
      <c r="D86" s="361"/>
      <c r="E86" s="379"/>
      <c r="F86" s="361"/>
      <c r="G86" s="379"/>
      <c r="H86" s="362"/>
      <c r="I86" s="379"/>
      <c r="J86" s="361"/>
      <c r="K86" s="361"/>
      <c r="L86" s="360">
        <f t="shared" si="11"/>
        <v>12</v>
      </c>
    </row>
    <row r="87" spans="1:12">
      <c r="A87" s="348">
        <f t="shared" si="9"/>
        <v>8.6999999999999994E-2</v>
      </c>
      <c r="B87" s="318"/>
      <c r="C87" s="361"/>
      <c r="D87" s="361"/>
      <c r="E87" s="379"/>
      <c r="F87" s="361"/>
      <c r="G87" s="379"/>
      <c r="H87" s="362"/>
      <c r="I87" s="379"/>
      <c r="J87" s="361"/>
      <c r="K87" s="361"/>
      <c r="L87" s="360">
        <f t="shared" si="11"/>
        <v>12</v>
      </c>
    </row>
    <row r="88" spans="1:12">
      <c r="A88" s="348">
        <f t="shared" si="9"/>
        <v>8.6999999999999994E-2</v>
      </c>
      <c r="B88" s="318"/>
      <c r="C88" s="361"/>
      <c r="D88" s="361"/>
      <c r="E88" s="379"/>
      <c r="F88" s="361"/>
      <c r="G88" s="379"/>
      <c r="H88" s="362"/>
      <c r="I88" s="379"/>
      <c r="J88" s="361"/>
      <c r="K88" s="361"/>
      <c r="L88" s="360">
        <f t="shared" si="11"/>
        <v>12</v>
      </c>
    </row>
    <row r="89" spans="1:12">
      <c r="A89" s="348">
        <f t="shared" si="9"/>
        <v>8.6999999999999994E-2</v>
      </c>
      <c r="B89" s="318"/>
      <c r="C89" s="361"/>
      <c r="D89" s="361"/>
      <c r="E89" s="379"/>
      <c r="F89" s="361"/>
      <c r="G89" s="379"/>
      <c r="H89" s="362"/>
      <c r="I89" s="379"/>
      <c r="J89" s="361"/>
      <c r="K89" s="361"/>
      <c r="L89" s="360">
        <f t="shared" si="11"/>
        <v>12</v>
      </c>
    </row>
    <row r="90" spans="1:12">
      <c r="A90" s="348">
        <f t="shared" si="9"/>
        <v>8.6999999999999994E-2</v>
      </c>
      <c r="B90" s="318"/>
      <c r="C90" s="361"/>
      <c r="D90" s="361"/>
      <c r="E90" s="379"/>
      <c r="F90" s="361"/>
      <c r="G90" s="379"/>
      <c r="H90" s="362"/>
      <c r="I90" s="379"/>
      <c r="J90" s="361"/>
      <c r="K90" s="361"/>
      <c r="L90" s="360">
        <f t="shared" si="11"/>
        <v>12</v>
      </c>
    </row>
    <row r="91" spans="1:12">
      <c r="A91" s="348">
        <f t="shared" si="9"/>
        <v>8.6999999999999994E-2</v>
      </c>
      <c r="B91" s="318"/>
      <c r="C91" s="361"/>
      <c r="D91" s="361"/>
      <c r="E91" s="379"/>
      <c r="F91" s="361"/>
      <c r="G91" s="379"/>
      <c r="H91" s="362"/>
      <c r="I91" s="379"/>
      <c r="J91" s="361"/>
      <c r="K91" s="361"/>
      <c r="L91" s="360">
        <f t="shared" si="11"/>
        <v>12</v>
      </c>
    </row>
    <row r="92" spans="1:12">
      <c r="A92" s="348">
        <f t="shared" si="9"/>
        <v>8.6999999999999994E-2</v>
      </c>
      <c r="B92" s="318"/>
      <c r="C92" s="361"/>
      <c r="D92" s="361"/>
      <c r="E92" s="379"/>
      <c r="F92" s="361"/>
      <c r="G92" s="379"/>
      <c r="H92" s="362"/>
      <c r="I92" s="379"/>
      <c r="J92" s="361"/>
      <c r="K92" s="361"/>
      <c r="L92" s="360">
        <f t="shared" si="11"/>
        <v>12</v>
      </c>
    </row>
    <row r="93" spans="1:12">
      <c r="A93" s="348">
        <f t="shared" si="9"/>
        <v>8.6999999999999994E-2</v>
      </c>
      <c r="B93" s="318"/>
      <c r="C93" s="361"/>
      <c r="D93" s="361"/>
      <c r="E93" s="379"/>
      <c r="F93" s="361"/>
      <c r="G93" s="379"/>
      <c r="H93" s="362"/>
      <c r="I93" s="379"/>
      <c r="J93" s="361"/>
      <c r="K93" s="361"/>
      <c r="L93" s="360">
        <f t="shared" si="11"/>
        <v>12</v>
      </c>
    </row>
    <row r="94" spans="1:12">
      <c r="A94" s="348">
        <f t="shared" si="9"/>
        <v>8.6999999999999994E-2</v>
      </c>
      <c r="B94" s="318"/>
      <c r="C94" s="361"/>
      <c r="D94" s="361"/>
      <c r="E94" s="379"/>
      <c r="F94" s="361"/>
      <c r="G94" s="379"/>
      <c r="H94" s="362"/>
      <c r="I94" s="379"/>
      <c r="J94" s="361"/>
      <c r="K94" s="361"/>
      <c r="L94" s="360">
        <f t="shared" si="11"/>
        <v>12</v>
      </c>
    </row>
    <row r="95" spans="1:12">
      <c r="A95" s="348">
        <f t="shared" si="9"/>
        <v>8.6999999999999994E-2</v>
      </c>
      <c r="B95" s="318"/>
      <c r="C95" s="361"/>
      <c r="D95" s="361"/>
      <c r="E95" s="379"/>
      <c r="F95" s="361"/>
      <c r="G95" s="379"/>
      <c r="H95" s="362"/>
      <c r="I95" s="379"/>
      <c r="J95" s="361"/>
      <c r="K95" s="361"/>
      <c r="L95" s="360">
        <f t="shared" si="11"/>
        <v>12</v>
      </c>
    </row>
    <row r="96" spans="1:12">
      <c r="A96" s="348">
        <f t="shared" si="9"/>
        <v>8.6999999999999994E-2</v>
      </c>
      <c r="B96" s="318"/>
      <c r="C96" s="361"/>
      <c r="D96" s="361"/>
      <c r="E96" s="379"/>
      <c r="F96" s="361"/>
      <c r="G96" s="379"/>
      <c r="H96" s="362"/>
      <c r="I96" s="379"/>
      <c r="J96" s="361"/>
      <c r="K96" s="361"/>
      <c r="L96" s="360">
        <f t="shared" si="11"/>
        <v>12</v>
      </c>
    </row>
    <row r="97" spans="1:12">
      <c r="A97" s="348">
        <f t="shared" si="9"/>
        <v>8.6999999999999994E-2</v>
      </c>
      <c r="B97" s="318"/>
      <c r="C97" s="361"/>
      <c r="D97" s="361"/>
      <c r="E97" s="379"/>
      <c r="F97" s="361"/>
      <c r="G97" s="379"/>
      <c r="H97" s="362"/>
      <c r="I97" s="379"/>
      <c r="J97" s="361"/>
      <c r="K97" s="361"/>
      <c r="L97" s="360">
        <f t="shared" si="11"/>
        <v>12</v>
      </c>
    </row>
    <row r="98" spans="1:12">
      <c r="A98" s="348">
        <f t="shared" si="9"/>
        <v>8.6999999999999994E-2</v>
      </c>
      <c r="B98" s="318"/>
      <c r="C98" s="361"/>
      <c r="D98" s="361"/>
      <c r="E98" s="379"/>
      <c r="F98" s="361"/>
      <c r="G98" s="379"/>
      <c r="H98" s="362"/>
      <c r="I98" s="379"/>
      <c r="J98" s="361"/>
      <c r="K98" s="361"/>
      <c r="L98" s="360">
        <f t="shared" si="11"/>
        <v>12</v>
      </c>
    </row>
    <row r="99" spans="1:12">
      <c r="A99" s="348">
        <f t="shared" si="9"/>
        <v>8.6999999999999994E-2</v>
      </c>
      <c r="B99" s="318"/>
      <c r="C99" s="361"/>
      <c r="D99" s="361"/>
      <c r="E99" s="379"/>
      <c r="F99" s="361"/>
      <c r="G99" s="379"/>
      <c r="H99" s="362"/>
      <c r="I99" s="379"/>
      <c r="J99" s="361"/>
      <c r="K99" s="361"/>
      <c r="L99" s="360">
        <f t="shared" si="11"/>
        <v>12</v>
      </c>
    </row>
    <row r="100" spans="1:12">
      <c r="A100" s="348">
        <f t="shared" si="9"/>
        <v>8.6999999999999994E-2</v>
      </c>
      <c r="B100" s="318"/>
      <c r="C100" s="361"/>
      <c r="D100" s="361"/>
      <c r="E100" s="379"/>
      <c r="F100" s="361"/>
      <c r="G100" s="379"/>
      <c r="H100" s="362"/>
      <c r="I100" s="379"/>
      <c r="J100" s="361"/>
      <c r="K100" s="361"/>
      <c r="L100" s="360">
        <f t="shared" si="11"/>
        <v>12</v>
      </c>
    </row>
    <row r="101" spans="1:12">
      <c r="A101" s="348">
        <f t="shared" si="9"/>
        <v>8.6999999999999994E-2</v>
      </c>
      <c r="B101" s="318"/>
      <c r="C101" s="361"/>
      <c r="D101" s="361"/>
      <c r="E101" s="379"/>
      <c r="F101" s="361"/>
      <c r="G101" s="379"/>
      <c r="H101" s="362"/>
      <c r="I101" s="379"/>
      <c r="J101" s="361"/>
      <c r="K101" s="361"/>
      <c r="L101" s="360">
        <f t="shared" si="11"/>
        <v>12</v>
      </c>
    </row>
    <row r="102" spans="1:12">
      <c r="A102" s="348">
        <f t="shared" si="9"/>
        <v>8.6999999999999994E-2</v>
      </c>
      <c r="B102" s="318"/>
      <c r="C102" s="361"/>
      <c r="D102" s="361"/>
      <c r="E102" s="379"/>
      <c r="F102" s="361"/>
      <c r="G102" s="379"/>
      <c r="H102" s="362"/>
      <c r="I102" s="379"/>
      <c r="J102" s="361"/>
      <c r="K102" s="361"/>
      <c r="L102" s="360">
        <f t="shared" si="11"/>
        <v>12</v>
      </c>
    </row>
    <row r="103" spans="1:12">
      <c r="A103" s="348">
        <f t="shared" si="9"/>
        <v>8.6999999999999994E-2</v>
      </c>
      <c r="B103" s="318"/>
      <c r="C103" s="361"/>
      <c r="D103" s="361"/>
      <c r="E103" s="379"/>
      <c r="F103" s="361"/>
      <c r="G103" s="379"/>
      <c r="H103" s="362"/>
      <c r="I103" s="379"/>
      <c r="J103" s="361"/>
      <c r="K103" s="361"/>
      <c r="L103" s="360">
        <f t="shared" si="11"/>
        <v>12</v>
      </c>
    </row>
    <row r="104" spans="1:12">
      <c r="A104" s="348">
        <f t="shared" si="9"/>
        <v>8.6999999999999994E-2</v>
      </c>
      <c r="B104" s="318"/>
      <c r="C104" s="361"/>
      <c r="D104" s="361"/>
      <c r="E104" s="379"/>
      <c r="F104" s="361"/>
      <c r="G104" s="379"/>
      <c r="H104" s="362"/>
      <c r="I104" s="379"/>
      <c r="J104" s="361"/>
      <c r="K104" s="361"/>
      <c r="L104" s="360">
        <f t="shared" si="11"/>
        <v>12</v>
      </c>
    </row>
    <row r="105" spans="1:12">
      <c r="A105" s="348">
        <f t="shared" si="9"/>
        <v>8.6999999999999994E-2</v>
      </c>
      <c r="B105" s="318"/>
      <c r="C105" s="361"/>
      <c r="D105" s="361"/>
      <c r="E105" s="379"/>
      <c r="F105" s="361"/>
      <c r="G105" s="379"/>
      <c r="H105" s="362"/>
      <c r="I105" s="379"/>
      <c r="J105" s="361"/>
      <c r="K105" s="361"/>
      <c r="L105" s="360">
        <f t="shared" si="11"/>
        <v>12</v>
      </c>
    </row>
    <row r="106" spans="1:12">
      <c r="A106" s="348">
        <f t="shared" si="9"/>
        <v>8.6999999999999994E-2</v>
      </c>
      <c r="B106" s="318"/>
      <c r="C106" s="361"/>
      <c r="D106" s="361"/>
      <c r="E106" s="379"/>
      <c r="F106" s="361"/>
      <c r="G106" s="379"/>
      <c r="H106" s="362"/>
      <c r="I106" s="379"/>
      <c r="J106" s="361"/>
      <c r="K106" s="361"/>
      <c r="L106" s="360">
        <f t="shared" si="11"/>
        <v>12</v>
      </c>
    </row>
    <row r="107" spans="1:12">
      <c r="A107" s="348">
        <f t="shared" si="9"/>
        <v>8.6999999999999994E-2</v>
      </c>
      <c r="B107" s="318"/>
      <c r="C107" s="361"/>
      <c r="D107" s="361"/>
      <c r="E107" s="379"/>
      <c r="F107" s="361"/>
      <c r="G107" s="379"/>
      <c r="H107" s="362"/>
      <c r="I107" s="379"/>
      <c r="J107" s="361"/>
      <c r="K107" s="361"/>
      <c r="L107" s="360">
        <f t="shared" si="11"/>
        <v>12</v>
      </c>
    </row>
    <row r="108" spans="1:12">
      <c r="A108" s="348">
        <f t="shared" si="9"/>
        <v>8.6999999999999994E-2</v>
      </c>
      <c r="B108" s="318"/>
      <c r="C108" s="361"/>
      <c r="D108" s="361"/>
      <c r="E108" s="379"/>
      <c r="F108" s="361"/>
      <c r="G108" s="379"/>
      <c r="H108" s="362"/>
      <c r="I108" s="379"/>
      <c r="J108" s="361"/>
      <c r="K108" s="361"/>
      <c r="L108" s="360">
        <f t="shared" si="11"/>
        <v>12</v>
      </c>
    </row>
    <row r="109" spans="1:12">
      <c r="A109" s="348">
        <f t="shared" si="9"/>
        <v>8.6999999999999994E-2</v>
      </c>
      <c r="B109" s="318"/>
      <c r="C109" s="361"/>
      <c r="D109" s="361"/>
      <c r="E109" s="379"/>
      <c r="F109" s="361"/>
      <c r="G109" s="379"/>
      <c r="H109" s="362"/>
      <c r="I109" s="379"/>
      <c r="J109" s="361"/>
      <c r="K109" s="361"/>
      <c r="L109" s="360">
        <f t="shared" si="11"/>
        <v>12</v>
      </c>
    </row>
    <row r="110" spans="1:12">
      <c r="A110" s="348">
        <f t="shared" si="9"/>
        <v>8.6999999999999994E-2</v>
      </c>
      <c r="B110" s="318"/>
      <c r="C110" s="361"/>
      <c r="D110" s="361"/>
      <c r="E110" s="379"/>
      <c r="F110" s="361"/>
      <c r="G110" s="379"/>
      <c r="H110" s="362"/>
      <c r="I110" s="379"/>
      <c r="J110" s="361"/>
      <c r="K110" s="361"/>
      <c r="L110" s="360">
        <f t="shared" si="11"/>
        <v>12</v>
      </c>
    </row>
    <row r="111" spans="1:12">
      <c r="A111" s="348">
        <f t="shared" si="9"/>
        <v>8.6999999999999994E-2</v>
      </c>
      <c r="B111" s="318"/>
      <c r="C111" s="361"/>
      <c r="D111" s="361"/>
      <c r="E111" s="379"/>
      <c r="F111" s="361"/>
      <c r="G111" s="379"/>
      <c r="H111" s="362"/>
      <c r="I111" s="379"/>
      <c r="J111" s="361"/>
      <c r="K111" s="361"/>
      <c r="L111" s="360">
        <f t="shared" si="11"/>
        <v>12</v>
      </c>
    </row>
    <row r="112" spans="1:12">
      <c r="A112" s="348">
        <f t="shared" si="9"/>
        <v>8.6999999999999994E-2</v>
      </c>
      <c r="B112" s="318"/>
      <c r="C112" s="361"/>
      <c r="D112" s="361"/>
      <c r="E112" s="379"/>
      <c r="F112" s="361"/>
      <c r="G112" s="379"/>
      <c r="H112" s="362"/>
      <c r="I112" s="379"/>
      <c r="J112" s="361"/>
      <c r="K112" s="361"/>
      <c r="L112" s="360">
        <f t="shared" si="11"/>
        <v>12</v>
      </c>
    </row>
    <row r="113" spans="1:12">
      <c r="A113" s="348">
        <f t="shared" si="9"/>
        <v>8.6999999999999994E-2</v>
      </c>
      <c r="B113" s="318"/>
      <c r="C113" s="361"/>
      <c r="D113" s="361"/>
      <c r="E113" s="379"/>
      <c r="F113" s="361"/>
      <c r="G113" s="379"/>
      <c r="H113" s="362"/>
      <c r="I113" s="379"/>
      <c r="J113" s="361"/>
      <c r="K113" s="361"/>
      <c r="L113" s="360">
        <f t="shared" si="11"/>
        <v>12</v>
      </c>
    </row>
    <row r="114" spans="1:12">
      <c r="A114" s="348">
        <f t="shared" si="9"/>
        <v>8.6999999999999994E-2</v>
      </c>
      <c r="B114" s="318"/>
      <c r="C114" s="361"/>
      <c r="D114" s="361"/>
      <c r="E114" s="379"/>
      <c r="F114" s="361"/>
      <c r="G114" s="379"/>
      <c r="H114" s="362"/>
      <c r="I114" s="379"/>
      <c r="J114" s="361"/>
      <c r="K114" s="361"/>
      <c r="L114" s="360">
        <f t="shared" si="11"/>
        <v>12</v>
      </c>
    </row>
    <row r="115" spans="1:12">
      <c r="A115" s="348">
        <f t="shared" si="9"/>
        <v>8.6999999999999994E-2</v>
      </c>
      <c r="B115" s="318"/>
      <c r="C115" s="361"/>
      <c r="D115" s="361"/>
      <c r="E115" s="379"/>
      <c r="F115" s="361"/>
      <c r="G115" s="379"/>
      <c r="H115" s="362"/>
      <c r="I115" s="379"/>
      <c r="J115" s="361"/>
      <c r="K115" s="361"/>
      <c r="L115" s="360">
        <f t="shared" si="11"/>
        <v>12</v>
      </c>
    </row>
    <row r="116" spans="1:12">
      <c r="A116" s="348">
        <f t="shared" si="9"/>
        <v>8.6999999999999994E-2</v>
      </c>
      <c r="B116" s="318"/>
      <c r="C116" s="361"/>
      <c r="D116" s="361"/>
      <c r="E116" s="379"/>
      <c r="F116" s="361"/>
      <c r="G116" s="379"/>
      <c r="H116" s="361"/>
      <c r="I116" s="379"/>
      <c r="J116" s="361"/>
      <c r="K116" s="361"/>
      <c r="L116" s="360">
        <f t="shared" si="11"/>
        <v>12</v>
      </c>
    </row>
    <row r="117" spans="1:12">
      <c r="A117" s="348">
        <f t="shared" si="9"/>
        <v>8.6999999999999994E-2</v>
      </c>
      <c r="B117" s="318"/>
      <c r="C117" s="361"/>
      <c r="D117" s="361"/>
      <c r="E117" s="379"/>
      <c r="F117" s="361"/>
      <c r="G117" s="379"/>
      <c r="H117" s="361"/>
      <c r="I117" s="379"/>
      <c r="J117" s="361"/>
      <c r="K117" s="361"/>
      <c r="L117" s="360">
        <f t="shared" si="11"/>
        <v>12</v>
      </c>
    </row>
    <row r="118" spans="1:12">
      <c r="A118" s="348">
        <f t="shared" si="9"/>
        <v>8.6999999999999994E-2</v>
      </c>
      <c r="B118" s="318"/>
      <c r="C118" s="361"/>
      <c r="D118" s="361"/>
      <c r="E118" s="379"/>
      <c r="F118" s="361"/>
      <c r="G118" s="379"/>
      <c r="H118" s="361"/>
      <c r="I118" s="379"/>
      <c r="J118" s="361"/>
      <c r="K118" s="361"/>
      <c r="L118" s="360">
        <f t="shared" si="11"/>
        <v>12</v>
      </c>
    </row>
    <row r="119" spans="1:12">
      <c r="A119" s="348">
        <f t="shared" si="9"/>
        <v>8.6999999999999994E-2</v>
      </c>
      <c r="B119" s="318"/>
      <c r="C119" s="361"/>
      <c r="D119" s="361"/>
      <c r="E119" s="379"/>
      <c r="F119" s="361"/>
      <c r="G119" s="379"/>
      <c r="H119" s="361"/>
      <c r="I119" s="379"/>
      <c r="J119" s="361"/>
      <c r="K119" s="361"/>
      <c r="L119" s="360">
        <f t="shared" si="11"/>
        <v>12</v>
      </c>
    </row>
    <row r="120" spans="1:12">
      <c r="A120" s="348">
        <f t="shared" si="9"/>
        <v>8.6999999999999994E-2</v>
      </c>
      <c r="B120" s="318"/>
      <c r="C120" s="361"/>
      <c r="D120" s="361"/>
      <c r="E120" s="379"/>
      <c r="F120" s="361"/>
      <c r="G120" s="379"/>
      <c r="H120" s="361"/>
      <c r="I120" s="379"/>
      <c r="J120" s="361"/>
      <c r="K120" s="361"/>
      <c r="L120" s="360">
        <f t="shared" si="11"/>
        <v>12</v>
      </c>
    </row>
    <row r="121" spans="1:12">
      <c r="A121" s="348">
        <f t="shared" si="9"/>
        <v>8.6999999999999994E-2</v>
      </c>
      <c r="B121" s="318"/>
      <c r="C121" s="361"/>
      <c r="D121" s="361"/>
      <c r="E121" s="379"/>
      <c r="F121" s="361"/>
      <c r="G121" s="379"/>
      <c r="H121" s="361"/>
      <c r="I121" s="379"/>
      <c r="J121" s="361"/>
      <c r="K121" s="361"/>
      <c r="L121" s="360">
        <f t="shared" si="11"/>
        <v>12</v>
      </c>
    </row>
    <row r="122" spans="1:12">
      <c r="A122" s="348">
        <f t="shared" si="9"/>
        <v>8.6999999999999994E-2</v>
      </c>
      <c r="B122" s="318"/>
      <c r="C122" s="361"/>
      <c r="D122" s="361"/>
      <c r="E122" s="379"/>
      <c r="F122" s="361"/>
      <c r="G122" s="379"/>
      <c r="H122" s="361"/>
      <c r="I122" s="379"/>
      <c r="J122" s="361"/>
      <c r="K122" s="361"/>
      <c r="L122" s="360">
        <f t="shared" si="11"/>
        <v>12</v>
      </c>
    </row>
    <row r="123" spans="1:12">
      <c r="A123" s="348">
        <f t="shared" si="9"/>
        <v>8.6999999999999994E-2</v>
      </c>
      <c r="B123" s="318"/>
      <c r="C123" s="361"/>
      <c r="D123" s="361"/>
      <c r="E123" s="379"/>
      <c r="F123" s="361"/>
      <c r="G123" s="379"/>
      <c r="H123" s="361"/>
      <c r="I123" s="379"/>
      <c r="J123" s="361"/>
      <c r="K123" s="361"/>
      <c r="L123" s="360">
        <f t="shared" si="11"/>
        <v>12</v>
      </c>
    </row>
    <row r="124" spans="1:12">
      <c r="A124" s="348">
        <f t="shared" si="9"/>
        <v>8.6999999999999994E-2</v>
      </c>
      <c r="B124" s="318"/>
      <c r="C124" s="361"/>
      <c r="D124" s="361"/>
      <c r="E124" s="379"/>
      <c r="F124" s="361"/>
      <c r="G124" s="379"/>
      <c r="H124" s="361"/>
      <c r="I124" s="379"/>
      <c r="J124" s="361"/>
      <c r="K124" s="361"/>
      <c r="L124" s="360">
        <f t="shared" si="11"/>
        <v>12</v>
      </c>
    </row>
    <row r="125" spans="1:12">
      <c r="A125" s="348">
        <f t="shared" si="9"/>
        <v>8.6999999999999994E-2</v>
      </c>
      <c r="B125" s="318"/>
      <c r="C125" s="361"/>
      <c r="D125" s="361"/>
      <c r="E125" s="379"/>
      <c r="F125" s="361"/>
      <c r="G125" s="379"/>
      <c r="H125" s="361"/>
      <c r="I125" s="379"/>
      <c r="J125" s="361"/>
      <c r="K125" s="361"/>
      <c r="L125" s="360">
        <f t="shared" si="11"/>
        <v>12</v>
      </c>
    </row>
    <row r="126" spans="1:12">
      <c r="A126" s="348">
        <f t="shared" si="9"/>
        <v>8.6999999999999994E-2</v>
      </c>
      <c r="B126" s="318"/>
      <c r="C126" s="361"/>
      <c r="D126" s="361"/>
      <c r="E126" s="379"/>
      <c r="F126" s="361"/>
      <c r="G126" s="379"/>
      <c r="H126" s="361"/>
      <c r="I126" s="379"/>
      <c r="J126" s="361"/>
      <c r="K126" s="361"/>
      <c r="L126" s="360">
        <f t="shared" si="11"/>
        <v>12</v>
      </c>
    </row>
    <row r="127" spans="1:12">
      <c r="A127" s="348">
        <f t="shared" si="9"/>
        <v>8.6999999999999994E-2</v>
      </c>
      <c r="B127" s="318"/>
      <c r="C127" s="361"/>
      <c r="D127" s="361"/>
      <c r="E127" s="379"/>
      <c r="F127" s="361"/>
      <c r="G127" s="379"/>
      <c r="H127" s="361"/>
      <c r="I127" s="379"/>
      <c r="J127" s="361"/>
      <c r="K127" s="361"/>
      <c r="L127" s="360">
        <f t="shared" si="11"/>
        <v>12</v>
      </c>
    </row>
    <row r="128" spans="1:12">
      <c r="A128" s="348">
        <f t="shared" si="9"/>
        <v>8.6999999999999994E-2</v>
      </c>
      <c r="B128" s="318"/>
      <c r="C128" s="361"/>
      <c r="D128" s="361"/>
      <c r="E128" s="379"/>
      <c r="F128" s="361"/>
      <c r="G128" s="379"/>
      <c r="H128" s="361"/>
      <c r="I128" s="379"/>
      <c r="J128" s="361"/>
      <c r="K128" s="361"/>
      <c r="L128" s="360">
        <f t="shared" si="11"/>
        <v>12</v>
      </c>
    </row>
    <row r="129" spans="1:12">
      <c r="A129" s="348">
        <f t="shared" si="9"/>
        <v>8.6999999999999994E-2</v>
      </c>
      <c r="B129" s="318"/>
      <c r="C129" s="361"/>
      <c r="D129" s="361"/>
      <c r="E129" s="379"/>
      <c r="F129" s="361"/>
      <c r="G129" s="379"/>
      <c r="H129" s="361"/>
      <c r="I129" s="379"/>
      <c r="J129" s="361"/>
      <c r="K129" s="361"/>
      <c r="L129" s="360">
        <f t="shared" si="11"/>
        <v>12</v>
      </c>
    </row>
    <row r="130" spans="1:12">
      <c r="A130" s="348">
        <f t="shared" si="9"/>
        <v>8.6999999999999994E-2</v>
      </c>
      <c r="B130" s="318"/>
      <c r="C130" s="361"/>
      <c r="D130" s="361"/>
      <c r="E130" s="379"/>
      <c r="F130" s="361"/>
      <c r="G130" s="379"/>
      <c r="H130" s="361"/>
      <c r="I130" s="379"/>
      <c r="J130" s="361"/>
      <c r="K130" s="361"/>
      <c r="L130" s="360">
        <f t="shared" si="11"/>
        <v>12</v>
      </c>
    </row>
    <row r="131" spans="1:12">
      <c r="A131" s="348">
        <f t="shared" si="9"/>
        <v>8.6999999999999994E-2</v>
      </c>
      <c r="B131" s="318"/>
      <c r="C131" s="361"/>
      <c r="D131" s="361"/>
      <c r="E131" s="379"/>
      <c r="F131" s="361"/>
      <c r="G131" s="379"/>
      <c r="H131" s="361"/>
      <c r="I131" s="379"/>
      <c r="J131" s="361"/>
      <c r="K131" s="361"/>
      <c r="L131" s="360">
        <f t="shared" si="11"/>
        <v>12</v>
      </c>
    </row>
    <row r="132" spans="1:12">
      <c r="A132" s="348">
        <f t="shared" si="9"/>
        <v>8.6999999999999994E-2</v>
      </c>
      <c r="B132" s="318"/>
      <c r="C132" s="361"/>
      <c r="D132" s="361"/>
      <c r="E132" s="379"/>
      <c r="F132" s="361"/>
      <c r="G132" s="379"/>
      <c r="H132" s="361"/>
      <c r="I132" s="379"/>
      <c r="J132" s="361"/>
      <c r="K132" s="361"/>
      <c r="L132" s="360">
        <f t="shared" si="11"/>
        <v>12</v>
      </c>
    </row>
    <row r="133" spans="1:12">
      <c r="A133" s="348">
        <f t="shared" si="9"/>
        <v>8.6999999999999994E-2</v>
      </c>
      <c r="B133" s="318"/>
      <c r="C133" s="361"/>
      <c r="D133" s="361"/>
      <c r="E133" s="379"/>
      <c r="F133" s="361"/>
      <c r="G133" s="379"/>
      <c r="H133" s="361"/>
      <c r="I133" s="379"/>
      <c r="J133" s="361"/>
      <c r="K133" s="361"/>
      <c r="L133" s="360">
        <f t="shared" si="11"/>
        <v>12</v>
      </c>
    </row>
    <row r="134" spans="1:12">
      <c r="A134" s="348">
        <f t="shared" si="9"/>
        <v>8.6999999999999994E-2</v>
      </c>
      <c r="B134" s="318"/>
      <c r="C134" s="361"/>
      <c r="D134" s="361"/>
      <c r="E134" s="379"/>
      <c r="F134" s="361"/>
      <c r="G134" s="379"/>
      <c r="H134" s="361"/>
      <c r="I134" s="379"/>
      <c r="J134" s="361"/>
      <c r="K134" s="361"/>
      <c r="L134" s="360">
        <f t="shared" si="11"/>
        <v>12</v>
      </c>
    </row>
    <row r="135" spans="1:12">
      <c r="A135" s="348">
        <f t="shared" si="9"/>
        <v>8.6999999999999994E-2</v>
      </c>
      <c r="B135" s="318"/>
      <c r="C135" s="361"/>
      <c r="D135" s="361"/>
      <c r="E135" s="379"/>
      <c r="F135" s="361"/>
      <c r="G135" s="379"/>
      <c r="H135" s="361"/>
      <c r="I135" s="379"/>
      <c r="J135" s="361"/>
      <c r="K135" s="361"/>
      <c r="L135" s="360">
        <f t="shared" si="11"/>
        <v>12</v>
      </c>
    </row>
    <row r="136" spans="1:12">
      <c r="A136" s="348">
        <f t="shared" si="9"/>
        <v>8.6999999999999994E-2</v>
      </c>
      <c r="B136" s="318"/>
      <c r="C136" s="361"/>
      <c r="D136" s="361"/>
      <c r="E136" s="379"/>
      <c r="F136" s="361"/>
      <c r="G136" s="379"/>
      <c r="H136" s="361"/>
      <c r="I136" s="379"/>
      <c r="J136" s="361"/>
      <c r="K136" s="361"/>
      <c r="L136" s="360">
        <f t="shared" si="11"/>
        <v>12</v>
      </c>
    </row>
    <row r="137" spans="1:12">
      <c r="A137" s="348">
        <f t="shared" si="9"/>
        <v>8.6999999999999994E-2</v>
      </c>
      <c r="B137" s="318"/>
      <c r="C137" s="361"/>
      <c r="D137" s="361"/>
      <c r="E137" s="379"/>
      <c r="F137" s="361"/>
      <c r="G137" s="379"/>
      <c r="H137" s="361"/>
      <c r="I137" s="379"/>
      <c r="J137" s="361"/>
      <c r="K137" s="361"/>
      <c r="L137" s="360">
        <f t="shared" si="11"/>
        <v>12</v>
      </c>
    </row>
    <row r="138" spans="1:12">
      <c r="A138" s="348">
        <f t="shared" si="9"/>
        <v>8.6999999999999994E-2</v>
      </c>
      <c r="B138" s="318"/>
      <c r="C138" s="361"/>
      <c r="D138" s="361"/>
      <c r="E138" s="379"/>
      <c r="F138" s="361"/>
      <c r="G138" s="379"/>
      <c r="H138" s="361"/>
      <c r="I138" s="379"/>
      <c r="J138" s="361"/>
      <c r="K138" s="361"/>
      <c r="L138" s="360">
        <f t="shared" si="11"/>
        <v>12</v>
      </c>
    </row>
    <row r="139" spans="1:12">
      <c r="A139" s="348">
        <f t="shared" ref="A139:A202" si="12">+A138</f>
        <v>8.6999999999999994E-2</v>
      </c>
      <c r="B139" s="318"/>
      <c r="C139" s="361"/>
      <c r="D139" s="361"/>
      <c r="E139" s="379"/>
      <c r="F139" s="361"/>
      <c r="G139" s="379"/>
      <c r="H139" s="361"/>
      <c r="I139" s="379"/>
      <c r="J139" s="361"/>
      <c r="K139" s="361"/>
      <c r="L139" s="360">
        <f t="shared" ref="L139:L202" si="13">+L138</f>
        <v>12</v>
      </c>
    </row>
    <row r="140" spans="1:12">
      <c r="A140" s="348">
        <f t="shared" si="12"/>
        <v>8.6999999999999994E-2</v>
      </c>
      <c r="B140" s="318"/>
      <c r="C140" s="361"/>
      <c r="D140" s="361"/>
      <c r="E140" s="379"/>
      <c r="F140" s="361"/>
      <c r="G140" s="379"/>
      <c r="H140" s="361"/>
      <c r="I140" s="379"/>
      <c r="J140" s="361"/>
      <c r="K140" s="361"/>
      <c r="L140" s="360">
        <f t="shared" si="13"/>
        <v>12</v>
      </c>
    </row>
    <row r="141" spans="1:12">
      <c r="A141" s="348">
        <f t="shared" si="12"/>
        <v>8.6999999999999994E-2</v>
      </c>
      <c r="B141" s="318"/>
      <c r="C141" s="361"/>
      <c r="D141" s="361"/>
      <c r="E141" s="379"/>
      <c r="F141" s="361"/>
      <c r="G141" s="379"/>
      <c r="H141" s="361"/>
      <c r="I141" s="379"/>
      <c r="J141" s="361"/>
      <c r="K141" s="361"/>
      <c r="L141" s="360">
        <f t="shared" si="13"/>
        <v>12</v>
      </c>
    </row>
    <row r="142" spans="1:12">
      <c r="A142" s="348">
        <f t="shared" si="12"/>
        <v>8.6999999999999994E-2</v>
      </c>
      <c r="B142" s="318"/>
      <c r="C142" s="361"/>
      <c r="D142" s="361"/>
      <c r="E142" s="379"/>
      <c r="F142" s="361"/>
      <c r="G142" s="379"/>
      <c r="H142" s="361"/>
      <c r="I142" s="379"/>
      <c r="J142" s="361"/>
      <c r="K142" s="361"/>
      <c r="L142" s="360">
        <f t="shared" si="13"/>
        <v>12</v>
      </c>
    </row>
    <row r="143" spans="1:12">
      <c r="A143" s="348">
        <f t="shared" si="12"/>
        <v>8.6999999999999994E-2</v>
      </c>
      <c r="B143" s="318"/>
      <c r="C143" s="361"/>
      <c r="D143" s="361"/>
      <c r="E143" s="379"/>
      <c r="F143" s="361"/>
      <c r="G143" s="379"/>
      <c r="H143" s="361"/>
      <c r="I143" s="379"/>
      <c r="J143" s="361"/>
      <c r="K143" s="361"/>
      <c r="L143" s="360">
        <f t="shared" si="13"/>
        <v>12</v>
      </c>
    </row>
    <row r="144" spans="1:12">
      <c r="A144" s="348">
        <f t="shared" si="12"/>
        <v>8.6999999999999994E-2</v>
      </c>
      <c r="B144" s="318"/>
      <c r="C144" s="361"/>
      <c r="D144" s="361"/>
      <c r="E144" s="379"/>
      <c r="F144" s="361"/>
      <c r="G144" s="379"/>
      <c r="H144" s="361"/>
      <c r="I144" s="379"/>
      <c r="J144" s="361"/>
      <c r="K144" s="361"/>
      <c r="L144" s="360">
        <f t="shared" si="13"/>
        <v>12</v>
      </c>
    </row>
    <row r="145" spans="1:12">
      <c r="A145" s="348">
        <f t="shared" si="12"/>
        <v>8.6999999999999994E-2</v>
      </c>
      <c r="B145" s="318"/>
      <c r="C145" s="361"/>
      <c r="D145" s="361"/>
      <c r="E145" s="379"/>
      <c r="F145" s="361"/>
      <c r="G145" s="379"/>
      <c r="H145" s="361"/>
      <c r="I145" s="379"/>
      <c r="J145" s="361"/>
      <c r="K145" s="361"/>
      <c r="L145" s="360">
        <f t="shared" si="13"/>
        <v>12</v>
      </c>
    </row>
    <row r="146" spans="1:12">
      <c r="A146" s="348">
        <f t="shared" si="12"/>
        <v>8.6999999999999994E-2</v>
      </c>
      <c r="B146" s="318"/>
      <c r="C146" s="361"/>
      <c r="D146" s="361"/>
      <c r="E146" s="379"/>
      <c r="F146" s="361"/>
      <c r="G146" s="379"/>
      <c r="H146" s="361"/>
      <c r="I146" s="379"/>
      <c r="J146" s="361"/>
      <c r="K146" s="361"/>
      <c r="L146" s="360">
        <f t="shared" si="13"/>
        <v>12</v>
      </c>
    </row>
    <row r="147" spans="1:12">
      <c r="A147" s="348">
        <f t="shared" si="12"/>
        <v>8.6999999999999994E-2</v>
      </c>
      <c r="B147" s="318"/>
      <c r="C147" s="361"/>
      <c r="D147" s="361"/>
      <c r="E147" s="379"/>
      <c r="F147" s="361"/>
      <c r="G147" s="379"/>
      <c r="H147" s="361"/>
      <c r="I147" s="379"/>
      <c r="J147" s="361"/>
      <c r="K147" s="361"/>
      <c r="L147" s="360">
        <f t="shared" si="13"/>
        <v>12</v>
      </c>
    </row>
    <row r="148" spans="1:12">
      <c r="A148" s="348">
        <f t="shared" si="12"/>
        <v>8.6999999999999994E-2</v>
      </c>
      <c r="B148" s="318"/>
      <c r="C148" s="361"/>
      <c r="D148" s="361"/>
      <c r="E148" s="379"/>
      <c r="F148" s="361"/>
      <c r="G148" s="379"/>
      <c r="H148" s="361"/>
      <c r="I148" s="379"/>
      <c r="J148" s="361"/>
      <c r="K148" s="361"/>
      <c r="L148" s="360">
        <f t="shared" si="13"/>
        <v>12</v>
      </c>
    </row>
    <row r="149" spans="1:12">
      <c r="A149" s="348">
        <f t="shared" si="12"/>
        <v>8.6999999999999994E-2</v>
      </c>
      <c r="B149" s="318"/>
      <c r="C149" s="361"/>
      <c r="D149" s="361"/>
      <c r="E149" s="379"/>
      <c r="F149" s="361"/>
      <c r="G149" s="379"/>
      <c r="H149" s="361"/>
      <c r="I149" s="379"/>
      <c r="J149" s="361"/>
      <c r="K149" s="361"/>
      <c r="L149" s="360">
        <f t="shared" si="13"/>
        <v>12</v>
      </c>
    </row>
    <row r="150" spans="1:12">
      <c r="A150" s="348">
        <f t="shared" si="12"/>
        <v>8.6999999999999994E-2</v>
      </c>
      <c r="B150" s="318"/>
      <c r="C150" s="361"/>
      <c r="D150" s="361"/>
      <c r="E150" s="379"/>
      <c r="F150" s="361"/>
      <c r="G150" s="379"/>
      <c r="H150" s="361"/>
      <c r="I150" s="379"/>
      <c r="J150" s="361"/>
      <c r="K150" s="361"/>
      <c r="L150" s="360">
        <f t="shared" si="13"/>
        <v>12</v>
      </c>
    </row>
    <row r="151" spans="1:12">
      <c r="A151" s="348">
        <f t="shared" si="12"/>
        <v>8.6999999999999994E-2</v>
      </c>
      <c r="B151" s="318"/>
      <c r="C151" s="361"/>
      <c r="D151" s="361"/>
      <c r="E151" s="379"/>
      <c r="F151" s="361"/>
      <c r="G151" s="379"/>
      <c r="H151" s="361"/>
      <c r="I151" s="379"/>
      <c r="J151" s="361"/>
      <c r="K151" s="361"/>
      <c r="L151" s="360">
        <f t="shared" si="13"/>
        <v>12</v>
      </c>
    </row>
    <row r="152" spans="1:12">
      <c r="A152" s="348">
        <f t="shared" si="12"/>
        <v>8.6999999999999994E-2</v>
      </c>
      <c r="B152" s="318"/>
      <c r="C152" s="361"/>
      <c r="D152" s="361"/>
      <c r="E152" s="379"/>
      <c r="F152" s="361"/>
      <c r="G152" s="379"/>
      <c r="H152" s="361"/>
      <c r="I152" s="379"/>
      <c r="J152" s="361"/>
      <c r="K152" s="361"/>
      <c r="L152" s="360">
        <f t="shared" si="13"/>
        <v>12</v>
      </c>
    </row>
    <row r="153" spans="1:12">
      <c r="A153" s="348">
        <f t="shared" si="12"/>
        <v>8.6999999999999994E-2</v>
      </c>
      <c r="B153" s="318"/>
      <c r="C153" s="361"/>
      <c r="D153" s="361"/>
      <c r="E153" s="379"/>
      <c r="F153" s="361"/>
      <c r="G153" s="379"/>
      <c r="H153" s="361"/>
      <c r="I153" s="379"/>
      <c r="J153" s="361"/>
      <c r="K153" s="361"/>
      <c r="L153" s="360">
        <f t="shared" si="13"/>
        <v>12</v>
      </c>
    </row>
    <row r="154" spans="1:12">
      <c r="A154" s="348">
        <f t="shared" si="12"/>
        <v>8.6999999999999994E-2</v>
      </c>
      <c r="B154" s="318"/>
      <c r="C154" s="361"/>
      <c r="D154" s="361"/>
      <c r="E154" s="379"/>
      <c r="F154" s="361"/>
      <c r="G154" s="379"/>
      <c r="H154" s="361"/>
      <c r="I154" s="379"/>
      <c r="J154" s="361"/>
      <c r="K154" s="361"/>
      <c r="L154" s="360">
        <f t="shared" si="13"/>
        <v>12</v>
      </c>
    </row>
    <row r="155" spans="1:12">
      <c r="A155" s="348">
        <f t="shared" si="12"/>
        <v>8.6999999999999994E-2</v>
      </c>
      <c r="B155" s="318"/>
      <c r="C155" s="361"/>
      <c r="D155" s="361"/>
      <c r="E155" s="379"/>
      <c r="F155" s="361"/>
      <c r="G155" s="379"/>
      <c r="H155" s="361"/>
      <c r="I155" s="379"/>
      <c r="J155" s="361"/>
      <c r="K155" s="361"/>
      <c r="L155" s="360">
        <f t="shared" si="13"/>
        <v>12</v>
      </c>
    </row>
    <row r="156" spans="1:12">
      <c r="A156" s="348">
        <f t="shared" si="12"/>
        <v>8.6999999999999994E-2</v>
      </c>
      <c r="B156" s="318"/>
      <c r="C156" s="361"/>
      <c r="D156" s="361"/>
      <c r="E156" s="379"/>
      <c r="F156" s="361"/>
      <c r="G156" s="379"/>
      <c r="H156" s="361"/>
      <c r="I156" s="379"/>
      <c r="J156" s="361"/>
      <c r="K156" s="361"/>
      <c r="L156" s="360">
        <f t="shared" si="13"/>
        <v>12</v>
      </c>
    </row>
    <row r="157" spans="1:12">
      <c r="A157" s="348">
        <f t="shared" si="12"/>
        <v>8.6999999999999994E-2</v>
      </c>
      <c r="B157" s="318"/>
      <c r="C157" s="361"/>
      <c r="D157" s="361"/>
      <c r="E157" s="379"/>
      <c r="F157" s="361"/>
      <c r="G157" s="379"/>
      <c r="H157" s="361"/>
      <c r="I157" s="379"/>
      <c r="J157" s="361"/>
      <c r="K157" s="361"/>
      <c r="L157" s="360">
        <f t="shared" si="13"/>
        <v>12</v>
      </c>
    </row>
    <row r="158" spans="1:12">
      <c r="A158" s="348">
        <f t="shared" si="12"/>
        <v>8.6999999999999994E-2</v>
      </c>
      <c r="B158" s="318"/>
      <c r="C158" s="361"/>
      <c r="D158" s="361"/>
      <c r="E158" s="379"/>
      <c r="F158" s="361"/>
      <c r="G158" s="379"/>
      <c r="H158" s="361"/>
      <c r="I158" s="379"/>
      <c r="J158" s="361"/>
      <c r="K158" s="361"/>
      <c r="L158" s="360">
        <f t="shared" si="13"/>
        <v>12</v>
      </c>
    </row>
    <row r="159" spans="1:12">
      <c r="A159" s="348">
        <f t="shared" si="12"/>
        <v>8.6999999999999994E-2</v>
      </c>
      <c r="B159" s="318"/>
      <c r="C159" s="361"/>
      <c r="D159" s="361"/>
      <c r="E159" s="379"/>
      <c r="F159" s="361"/>
      <c r="G159" s="379"/>
      <c r="H159" s="361"/>
      <c r="I159" s="379"/>
      <c r="J159" s="361"/>
      <c r="K159" s="361"/>
      <c r="L159" s="360">
        <f t="shared" si="13"/>
        <v>12</v>
      </c>
    </row>
    <row r="160" spans="1:12">
      <c r="A160" s="348">
        <f t="shared" si="12"/>
        <v>8.6999999999999994E-2</v>
      </c>
      <c r="B160" s="318"/>
      <c r="C160" s="361"/>
      <c r="D160" s="361"/>
      <c r="E160" s="379"/>
      <c r="F160" s="361"/>
      <c r="G160" s="379"/>
      <c r="H160" s="361"/>
      <c r="I160" s="379"/>
      <c r="J160" s="361"/>
      <c r="K160" s="361"/>
      <c r="L160" s="360">
        <f t="shared" si="13"/>
        <v>12</v>
      </c>
    </row>
    <row r="161" spans="1:12">
      <c r="A161" s="348">
        <f t="shared" si="12"/>
        <v>8.6999999999999994E-2</v>
      </c>
      <c r="B161" s="318"/>
      <c r="C161" s="361"/>
      <c r="D161" s="361"/>
      <c r="E161" s="379"/>
      <c r="F161" s="361"/>
      <c r="G161" s="379"/>
      <c r="H161" s="361"/>
      <c r="I161" s="379"/>
      <c r="J161" s="361"/>
      <c r="K161" s="361"/>
      <c r="L161" s="360">
        <f t="shared" si="13"/>
        <v>12</v>
      </c>
    </row>
    <row r="162" spans="1:12">
      <c r="A162" s="348">
        <f t="shared" si="12"/>
        <v>8.6999999999999994E-2</v>
      </c>
      <c r="B162" s="318"/>
      <c r="C162" s="361"/>
      <c r="D162" s="361"/>
      <c r="E162" s="379"/>
      <c r="F162" s="361"/>
      <c r="G162" s="379"/>
      <c r="H162" s="361"/>
      <c r="I162" s="379"/>
      <c r="J162" s="361"/>
      <c r="K162" s="361"/>
      <c r="L162" s="360">
        <f t="shared" si="13"/>
        <v>12</v>
      </c>
    </row>
    <row r="163" spans="1:12">
      <c r="A163" s="348">
        <f t="shared" si="12"/>
        <v>8.6999999999999994E-2</v>
      </c>
      <c r="B163" s="318"/>
      <c r="C163" s="361"/>
      <c r="D163" s="361"/>
      <c r="E163" s="379"/>
      <c r="F163" s="361"/>
      <c r="G163" s="379"/>
      <c r="H163" s="361"/>
      <c r="I163" s="379"/>
      <c r="J163" s="361"/>
      <c r="K163" s="361"/>
      <c r="L163" s="360">
        <f t="shared" si="13"/>
        <v>12</v>
      </c>
    </row>
    <row r="164" spans="1:12">
      <c r="A164" s="348">
        <f t="shared" si="12"/>
        <v>8.6999999999999994E-2</v>
      </c>
      <c r="B164" s="318"/>
      <c r="C164" s="361"/>
      <c r="D164" s="361"/>
      <c r="E164" s="379"/>
      <c r="F164" s="361"/>
      <c r="G164" s="379"/>
      <c r="H164" s="361"/>
      <c r="I164" s="379"/>
      <c r="J164" s="361"/>
      <c r="K164" s="361"/>
      <c r="L164" s="360">
        <f t="shared" si="13"/>
        <v>12</v>
      </c>
    </row>
    <row r="165" spans="1:12">
      <c r="A165" s="348">
        <f t="shared" si="12"/>
        <v>8.6999999999999994E-2</v>
      </c>
      <c r="B165" s="318"/>
      <c r="C165" s="361"/>
      <c r="D165" s="361"/>
      <c r="E165" s="379"/>
      <c r="F165" s="361"/>
      <c r="G165" s="379"/>
      <c r="H165" s="361"/>
      <c r="I165" s="379"/>
      <c r="J165" s="361"/>
      <c r="K165" s="361"/>
      <c r="L165" s="360">
        <f t="shared" si="13"/>
        <v>12</v>
      </c>
    </row>
    <row r="166" spans="1:12">
      <c r="A166" s="348">
        <f t="shared" si="12"/>
        <v>8.6999999999999994E-2</v>
      </c>
      <c r="B166" s="318"/>
      <c r="C166" s="361"/>
      <c r="D166" s="361"/>
      <c r="E166" s="379"/>
      <c r="F166" s="361"/>
      <c r="G166" s="379"/>
      <c r="H166" s="361"/>
      <c r="I166" s="379"/>
      <c r="J166" s="361"/>
      <c r="K166" s="361"/>
      <c r="L166" s="360">
        <f t="shared" si="13"/>
        <v>12</v>
      </c>
    </row>
    <row r="167" spans="1:12">
      <c r="A167" s="348">
        <f t="shared" si="12"/>
        <v>8.6999999999999994E-2</v>
      </c>
      <c r="B167" s="318"/>
      <c r="C167" s="361"/>
      <c r="D167" s="361"/>
      <c r="E167" s="379"/>
      <c r="F167" s="361"/>
      <c r="G167" s="379"/>
      <c r="H167" s="361"/>
      <c r="I167" s="379"/>
      <c r="J167" s="361"/>
      <c r="K167" s="361"/>
      <c r="L167" s="360">
        <f t="shared" si="13"/>
        <v>12</v>
      </c>
    </row>
    <row r="168" spans="1:12">
      <c r="A168" s="348">
        <f t="shared" si="12"/>
        <v>8.6999999999999994E-2</v>
      </c>
      <c r="B168" s="318"/>
      <c r="C168" s="361"/>
      <c r="D168" s="361"/>
      <c r="E168" s="379"/>
      <c r="F168" s="361"/>
      <c r="G168" s="379"/>
      <c r="H168" s="361"/>
      <c r="I168" s="379"/>
      <c r="J168" s="361"/>
      <c r="K168" s="361"/>
      <c r="L168" s="360">
        <f t="shared" si="13"/>
        <v>12</v>
      </c>
    </row>
    <row r="169" spans="1:12">
      <c r="A169" s="348">
        <f t="shared" si="12"/>
        <v>8.6999999999999994E-2</v>
      </c>
      <c r="B169" s="318"/>
      <c r="C169" s="361"/>
      <c r="D169" s="361"/>
      <c r="E169" s="379"/>
      <c r="F169" s="361"/>
      <c r="G169" s="379"/>
      <c r="H169" s="361"/>
      <c r="I169" s="379"/>
      <c r="J169" s="361"/>
      <c r="K169" s="361"/>
      <c r="L169" s="360">
        <f t="shared" si="13"/>
        <v>12</v>
      </c>
    </row>
    <row r="170" spans="1:12">
      <c r="A170" s="348">
        <f t="shared" si="12"/>
        <v>8.6999999999999994E-2</v>
      </c>
      <c r="B170" s="318"/>
      <c r="C170" s="361"/>
      <c r="D170" s="361"/>
      <c r="E170" s="379"/>
      <c r="F170" s="361"/>
      <c r="G170" s="379"/>
      <c r="H170" s="361"/>
      <c r="I170" s="379"/>
      <c r="J170" s="361"/>
      <c r="K170" s="361"/>
      <c r="L170" s="360">
        <f t="shared" si="13"/>
        <v>12</v>
      </c>
    </row>
    <row r="171" spans="1:12">
      <c r="A171" s="348">
        <f t="shared" si="12"/>
        <v>8.6999999999999994E-2</v>
      </c>
      <c r="B171" s="318"/>
      <c r="C171" s="361"/>
      <c r="D171" s="361"/>
      <c r="E171" s="379"/>
      <c r="F171" s="361"/>
      <c r="G171" s="379"/>
      <c r="H171" s="361"/>
      <c r="I171" s="379"/>
      <c r="J171" s="361"/>
      <c r="K171" s="361"/>
      <c r="L171" s="360">
        <f t="shared" si="13"/>
        <v>12</v>
      </c>
    </row>
    <row r="172" spans="1:12">
      <c r="A172" s="348">
        <f t="shared" si="12"/>
        <v>8.6999999999999994E-2</v>
      </c>
      <c r="B172" s="318"/>
      <c r="C172" s="361"/>
      <c r="D172" s="361"/>
      <c r="E172" s="379"/>
      <c r="F172" s="361"/>
      <c r="G172" s="379"/>
      <c r="H172" s="361"/>
      <c r="I172" s="379"/>
      <c r="J172" s="361"/>
      <c r="K172" s="361"/>
      <c r="L172" s="360">
        <f t="shared" si="13"/>
        <v>12</v>
      </c>
    </row>
    <row r="173" spans="1:12">
      <c r="A173" s="348">
        <f t="shared" si="12"/>
        <v>8.6999999999999994E-2</v>
      </c>
      <c r="B173" s="318"/>
      <c r="C173" s="361"/>
      <c r="D173" s="361"/>
      <c r="E173" s="379"/>
      <c r="F173" s="361"/>
      <c r="G173" s="379"/>
      <c r="H173" s="361"/>
      <c r="I173" s="379"/>
      <c r="J173" s="361"/>
      <c r="K173" s="361"/>
      <c r="L173" s="360">
        <f t="shared" si="13"/>
        <v>12</v>
      </c>
    </row>
    <row r="174" spans="1:12">
      <c r="A174" s="348">
        <f t="shared" si="12"/>
        <v>8.6999999999999994E-2</v>
      </c>
      <c r="B174" s="318"/>
      <c r="C174" s="361"/>
      <c r="D174" s="361"/>
      <c r="E174" s="379"/>
      <c r="F174" s="361"/>
      <c r="G174" s="379"/>
      <c r="H174" s="361"/>
      <c r="I174" s="379"/>
      <c r="J174" s="361"/>
      <c r="K174" s="361"/>
      <c r="L174" s="360">
        <f t="shared" si="13"/>
        <v>12</v>
      </c>
    </row>
    <row r="175" spans="1:12">
      <c r="A175" s="348">
        <f t="shared" si="12"/>
        <v>8.6999999999999994E-2</v>
      </c>
      <c r="B175" s="318"/>
      <c r="C175" s="361"/>
      <c r="D175" s="361"/>
      <c r="E175" s="379"/>
      <c r="F175" s="361"/>
      <c r="G175" s="379"/>
      <c r="H175" s="361"/>
      <c r="I175" s="379"/>
      <c r="J175" s="361"/>
      <c r="K175" s="361"/>
      <c r="L175" s="360">
        <f t="shared" si="13"/>
        <v>12</v>
      </c>
    </row>
    <row r="176" spans="1:12">
      <c r="A176" s="348">
        <f t="shared" si="12"/>
        <v>8.6999999999999994E-2</v>
      </c>
      <c r="B176" s="318"/>
      <c r="C176" s="361"/>
      <c r="D176" s="361"/>
      <c r="E176" s="379"/>
      <c r="F176" s="361"/>
      <c r="G176" s="379"/>
      <c r="H176" s="361"/>
      <c r="I176" s="379"/>
      <c r="J176" s="361"/>
      <c r="K176" s="361"/>
      <c r="L176" s="360">
        <f t="shared" si="13"/>
        <v>12</v>
      </c>
    </row>
    <row r="177" spans="1:12">
      <c r="A177" s="348">
        <f t="shared" si="12"/>
        <v>8.6999999999999994E-2</v>
      </c>
      <c r="B177" s="318"/>
      <c r="C177" s="320"/>
      <c r="D177" s="320"/>
      <c r="E177" s="318"/>
      <c r="F177" s="319"/>
      <c r="G177" s="318"/>
      <c r="H177" s="319"/>
      <c r="I177" s="318"/>
      <c r="J177" s="319"/>
      <c r="K177" s="319"/>
      <c r="L177" s="360">
        <f t="shared" si="13"/>
        <v>12</v>
      </c>
    </row>
    <row r="178" spans="1:12">
      <c r="A178" s="348">
        <f t="shared" si="12"/>
        <v>8.6999999999999994E-2</v>
      </c>
      <c r="B178" s="318"/>
      <c r="C178" s="320"/>
      <c r="D178" s="320"/>
      <c r="E178" s="318"/>
      <c r="F178" s="319"/>
      <c r="G178" s="318"/>
      <c r="H178" s="319"/>
      <c r="I178" s="318"/>
      <c r="J178" s="319"/>
      <c r="K178" s="319"/>
      <c r="L178" s="360">
        <f t="shared" si="13"/>
        <v>12</v>
      </c>
    </row>
    <row r="179" spans="1:12">
      <c r="A179" s="348">
        <f t="shared" si="12"/>
        <v>8.6999999999999994E-2</v>
      </c>
      <c r="B179" s="318"/>
      <c r="C179" s="320"/>
      <c r="D179" s="320"/>
      <c r="E179" s="318"/>
      <c r="F179" s="319"/>
      <c r="G179" s="318"/>
      <c r="H179" s="319"/>
      <c r="I179" s="318"/>
      <c r="J179" s="319"/>
      <c r="K179" s="319"/>
      <c r="L179" s="360">
        <f t="shared" si="13"/>
        <v>12</v>
      </c>
    </row>
    <row r="180" spans="1:12">
      <c r="A180" s="348">
        <f t="shared" si="12"/>
        <v>8.6999999999999994E-2</v>
      </c>
      <c r="B180" s="318"/>
      <c r="C180" s="320"/>
      <c r="D180" s="320"/>
      <c r="E180" s="318"/>
      <c r="F180" s="319"/>
      <c r="G180" s="318"/>
      <c r="H180" s="319"/>
      <c r="I180" s="318"/>
      <c r="J180" s="319"/>
      <c r="K180" s="319"/>
      <c r="L180" s="360">
        <f t="shared" si="13"/>
        <v>12</v>
      </c>
    </row>
    <row r="181" spans="1:12">
      <c r="A181" s="348">
        <f t="shared" si="12"/>
        <v>8.6999999999999994E-2</v>
      </c>
      <c r="B181" s="318"/>
      <c r="C181" s="320"/>
      <c r="D181" s="320"/>
      <c r="E181" s="318"/>
      <c r="F181" s="319"/>
      <c r="G181" s="318"/>
      <c r="H181" s="319"/>
      <c r="I181" s="318"/>
      <c r="J181" s="319"/>
      <c r="K181" s="319"/>
      <c r="L181" s="360">
        <f t="shared" si="13"/>
        <v>12</v>
      </c>
    </row>
    <row r="182" spans="1:12">
      <c r="A182" s="348">
        <f t="shared" si="12"/>
        <v>8.6999999999999994E-2</v>
      </c>
      <c r="B182" s="318"/>
      <c r="C182" s="319"/>
      <c r="D182" s="319"/>
      <c r="E182" s="318"/>
      <c r="F182" s="319"/>
      <c r="G182" s="318"/>
      <c r="H182" s="319"/>
      <c r="I182" s="318"/>
      <c r="J182" s="319"/>
      <c r="K182" s="319"/>
      <c r="L182" s="360">
        <f t="shared" si="13"/>
        <v>12</v>
      </c>
    </row>
    <row r="183" spans="1:12">
      <c r="A183" s="348">
        <f t="shared" si="12"/>
        <v>8.6999999999999994E-2</v>
      </c>
      <c r="B183" s="318"/>
      <c r="C183" s="319"/>
      <c r="D183" s="319"/>
      <c r="E183" s="318"/>
      <c r="F183" s="319"/>
      <c r="G183" s="318"/>
      <c r="H183" s="319"/>
      <c r="I183" s="318"/>
      <c r="J183" s="319"/>
      <c r="K183" s="319"/>
      <c r="L183" s="360">
        <f t="shared" si="13"/>
        <v>12</v>
      </c>
    </row>
    <row r="184" spans="1:12">
      <c r="A184" s="348">
        <f t="shared" si="12"/>
        <v>8.6999999999999994E-2</v>
      </c>
      <c r="B184" s="318"/>
      <c r="C184" s="319"/>
      <c r="D184" s="319"/>
      <c r="E184" s="318"/>
      <c r="F184" s="319"/>
      <c r="G184" s="318"/>
      <c r="H184" s="319"/>
      <c r="I184" s="318"/>
      <c r="J184" s="319"/>
      <c r="K184" s="319"/>
      <c r="L184" s="360">
        <f t="shared" si="13"/>
        <v>12</v>
      </c>
    </row>
    <row r="185" spans="1:12">
      <c r="A185" s="348">
        <f t="shared" si="12"/>
        <v>8.6999999999999994E-2</v>
      </c>
      <c r="B185" s="318"/>
      <c r="C185" s="319"/>
      <c r="D185" s="319"/>
      <c r="E185" s="318"/>
      <c r="F185" s="319"/>
      <c r="G185" s="318"/>
      <c r="H185" s="319"/>
      <c r="I185" s="318"/>
      <c r="J185" s="319"/>
      <c r="K185" s="319"/>
      <c r="L185" s="360">
        <f t="shared" si="13"/>
        <v>12</v>
      </c>
    </row>
    <row r="186" spans="1:12">
      <c r="A186" s="348">
        <f t="shared" si="12"/>
        <v>8.6999999999999994E-2</v>
      </c>
      <c r="B186" s="318"/>
      <c r="C186" s="319"/>
      <c r="D186" s="319"/>
      <c r="E186" s="318"/>
      <c r="F186" s="319"/>
      <c r="G186" s="318"/>
      <c r="H186" s="319"/>
      <c r="I186" s="318"/>
      <c r="J186" s="319"/>
      <c r="K186" s="319"/>
      <c r="L186" s="360">
        <f t="shared" si="13"/>
        <v>12</v>
      </c>
    </row>
    <row r="187" spans="1:12">
      <c r="A187" s="348">
        <f t="shared" si="12"/>
        <v>8.6999999999999994E-2</v>
      </c>
      <c r="B187" s="318"/>
      <c r="C187" s="319"/>
      <c r="D187" s="319"/>
      <c r="E187" s="318"/>
      <c r="F187" s="319"/>
      <c r="G187" s="318"/>
      <c r="H187" s="319"/>
      <c r="I187" s="318"/>
      <c r="J187" s="319"/>
      <c r="K187" s="319"/>
      <c r="L187" s="360">
        <f t="shared" si="13"/>
        <v>12</v>
      </c>
    </row>
    <row r="188" spans="1:12">
      <c r="A188" s="348">
        <f t="shared" si="12"/>
        <v>8.6999999999999994E-2</v>
      </c>
      <c r="B188" s="318"/>
      <c r="C188" s="319"/>
      <c r="D188" s="319"/>
      <c r="E188" s="318"/>
      <c r="F188" s="319"/>
      <c r="G188" s="318"/>
      <c r="H188" s="319"/>
      <c r="I188" s="318"/>
      <c r="J188" s="319"/>
      <c r="K188" s="319"/>
      <c r="L188" s="360">
        <f t="shared" si="13"/>
        <v>12</v>
      </c>
    </row>
    <row r="189" spans="1:12">
      <c r="A189" s="348">
        <f t="shared" si="12"/>
        <v>8.6999999999999994E-2</v>
      </c>
      <c r="B189" s="318"/>
      <c r="C189" s="319"/>
      <c r="D189" s="319"/>
      <c r="E189" s="318"/>
      <c r="F189" s="319"/>
      <c r="G189" s="318"/>
      <c r="H189" s="319"/>
      <c r="I189" s="318"/>
      <c r="J189" s="319"/>
      <c r="K189" s="319"/>
      <c r="L189" s="360">
        <f t="shared" si="13"/>
        <v>12</v>
      </c>
    </row>
    <row r="190" spans="1:12">
      <c r="A190" s="348">
        <f t="shared" si="12"/>
        <v>8.6999999999999994E-2</v>
      </c>
      <c r="B190" s="318"/>
      <c r="C190" s="319"/>
      <c r="D190" s="319"/>
      <c r="E190" s="318"/>
      <c r="F190" s="319"/>
      <c r="G190" s="318"/>
      <c r="H190" s="319"/>
      <c r="I190" s="318"/>
      <c r="J190" s="319"/>
      <c r="K190" s="319"/>
      <c r="L190" s="360">
        <f t="shared" si="13"/>
        <v>12</v>
      </c>
    </row>
    <row r="191" spans="1:12">
      <c r="A191" s="348">
        <f t="shared" si="12"/>
        <v>8.6999999999999994E-2</v>
      </c>
      <c r="B191" s="318"/>
      <c r="C191" s="319"/>
      <c r="D191" s="319"/>
      <c r="E191" s="318"/>
      <c r="F191" s="319"/>
      <c r="G191" s="318"/>
      <c r="H191" s="319"/>
      <c r="I191" s="318"/>
      <c r="J191" s="319"/>
      <c r="K191" s="319"/>
      <c r="L191" s="360">
        <f t="shared" si="13"/>
        <v>12</v>
      </c>
    </row>
    <row r="192" spans="1:12">
      <c r="A192" s="348">
        <f t="shared" si="12"/>
        <v>8.6999999999999994E-2</v>
      </c>
      <c r="B192" s="318"/>
      <c r="C192" s="319"/>
      <c r="D192" s="319"/>
      <c r="E192" s="318"/>
      <c r="F192" s="319"/>
      <c r="G192" s="318"/>
      <c r="H192" s="319"/>
      <c r="I192" s="318"/>
      <c r="J192" s="319"/>
      <c r="K192" s="319"/>
      <c r="L192" s="360">
        <f t="shared" si="13"/>
        <v>12</v>
      </c>
    </row>
    <row r="193" spans="1:12">
      <c r="A193" s="348">
        <f t="shared" si="12"/>
        <v>8.6999999999999994E-2</v>
      </c>
      <c r="B193" s="318"/>
      <c r="C193" s="319"/>
      <c r="D193" s="319"/>
      <c r="E193" s="318"/>
      <c r="F193" s="319"/>
      <c r="G193" s="318"/>
      <c r="H193" s="319"/>
      <c r="I193" s="318"/>
      <c r="J193" s="319"/>
      <c r="K193" s="319"/>
      <c r="L193" s="360">
        <f t="shared" si="13"/>
        <v>12</v>
      </c>
    </row>
    <row r="194" spans="1:12">
      <c r="A194" s="348">
        <f t="shared" si="12"/>
        <v>8.6999999999999994E-2</v>
      </c>
      <c r="B194" s="318"/>
      <c r="C194" s="319"/>
      <c r="D194" s="319"/>
      <c r="E194" s="318"/>
      <c r="F194" s="319"/>
      <c r="G194" s="318"/>
      <c r="H194" s="319"/>
      <c r="I194" s="318"/>
      <c r="J194" s="319"/>
      <c r="K194" s="319"/>
      <c r="L194" s="360">
        <f t="shared" si="13"/>
        <v>12</v>
      </c>
    </row>
    <row r="195" spans="1:12">
      <c r="A195" s="348">
        <f t="shared" si="12"/>
        <v>8.6999999999999994E-2</v>
      </c>
      <c r="B195" s="318"/>
      <c r="C195" s="319"/>
      <c r="D195" s="319"/>
      <c r="E195" s="318"/>
      <c r="F195" s="319"/>
      <c r="G195" s="318"/>
      <c r="H195" s="319"/>
      <c r="I195" s="318"/>
      <c r="J195" s="319"/>
      <c r="K195" s="319"/>
      <c r="L195" s="360">
        <f t="shared" si="13"/>
        <v>12</v>
      </c>
    </row>
    <row r="196" spans="1:12">
      <c r="A196" s="348">
        <f t="shared" si="12"/>
        <v>8.6999999999999994E-2</v>
      </c>
      <c r="B196" s="318"/>
      <c r="C196" s="319"/>
      <c r="D196" s="319"/>
      <c r="E196" s="318"/>
      <c r="F196" s="319"/>
      <c r="G196" s="318"/>
      <c r="H196" s="319"/>
      <c r="I196" s="318"/>
      <c r="J196" s="319"/>
      <c r="K196" s="319"/>
      <c r="L196" s="360">
        <f t="shared" si="13"/>
        <v>12</v>
      </c>
    </row>
    <row r="197" spans="1:12">
      <c r="A197" s="348">
        <f t="shared" si="12"/>
        <v>8.6999999999999994E-2</v>
      </c>
      <c r="B197" s="318"/>
      <c r="C197" s="319"/>
      <c r="D197" s="319"/>
      <c r="E197" s="318"/>
      <c r="F197" s="319"/>
      <c r="G197" s="318"/>
      <c r="H197" s="319"/>
      <c r="I197" s="318"/>
      <c r="J197" s="319"/>
      <c r="K197" s="319"/>
      <c r="L197" s="360">
        <f t="shared" si="13"/>
        <v>12</v>
      </c>
    </row>
    <row r="198" spans="1:12">
      <c r="A198" s="348">
        <f t="shared" si="12"/>
        <v>8.6999999999999994E-2</v>
      </c>
      <c r="B198" s="318"/>
      <c r="C198" s="319"/>
      <c r="D198" s="319"/>
      <c r="E198" s="318"/>
      <c r="F198" s="319"/>
      <c r="G198" s="318"/>
      <c r="H198" s="319"/>
      <c r="I198" s="318"/>
      <c r="J198" s="319"/>
      <c r="K198" s="319"/>
      <c r="L198" s="360">
        <f t="shared" si="13"/>
        <v>12</v>
      </c>
    </row>
    <row r="199" spans="1:12">
      <c r="A199" s="348">
        <f t="shared" si="12"/>
        <v>8.6999999999999994E-2</v>
      </c>
      <c r="B199" s="318"/>
      <c r="C199" s="319"/>
      <c r="D199" s="319"/>
      <c r="E199" s="318"/>
      <c r="F199" s="319"/>
      <c r="G199" s="318"/>
      <c r="H199" s="319"/>
      <c r="I199" s="318"/>
      <c r="J199" s="319"/>
      <c r="K199" s="319"/>
      <c r="L199" s="360">
        <f t="shared" si="13"/>
        <v>12</v>
      </c>
    </row>
    <row r="200" spans="1:12">
      <c r="A200" s="348">
        <f t="shared" si="12"/>
        <v>8.6999999999999994E-2</v>
      </c>
      <c r="B200" s="318"/>
      <c r="C200" s="319"/>
      <c r="D200" s="319"/>
      <c r="E200" s="318"/>
      <c r="F200" s="319"/>
      <c r="G200" s="318"/>
      <c r="H200" s="319"/>
      <c r="I200" s="318"/>
      <c r="J200" s="319"/>
      <c r="K200" s="319"/>
      <c r="L200" s="360">
        <f t="shared" si="13"/>
        <v>12</v>
      </c>
    </row>
    <row r="201" spans="1:12">
      <c r="A201" s="348">
        <f t="shared" si="12"/>
        <v>8.6999999999999994E-2</v>
      </c>
      <c r="B201" s="318"/>
      <c r="C201" s="319"/>
      <c r="D201" s="319"/>
      <c r="E201" s="318"/>
      <c r="F201" s="319"/>
      <c r="G201" s="318"/>
      <c r="H201" s="319"/>
      <c r="I201" s="318"/>
      <c r="J201" s="319"/>
      <c r="K201" s="319"/>
      <c r="L201" s="360">
        <f t="shared" si="13"/>
        <v>12</v>
      </c>
    </row>
    <row r="202" spans="1:12">
      <c r="A202" s="348">
        <f t="shared" si="12"/>
        <v>8.6999999999999994E-2</v>
      </c>
      <c r="B202" s="318"/>
      <c r="C202" s="319"/>
      <c r="D202" s="319"/>
      <c r="E202" s="318"/>
      <c r="F202" s="319"/>
      <c r="G202" s="318"/>
      <c r="H202" s="319"/>
      <c r="I202" s="318"/>
      <c r="J202" s="319"/>
      <c r="K202" s="319"/>
      <c r="L202" s="360">
        <f t="shared" si="13"/>
        <v>12</v>
      </c>
    </row>
    <row r="203" spans="1:12">
      <c r="A203" s="348">
        <f t="shared" ref="A203:A262" si="14">+A202</f>
        <v>8.6999999999999994E-2</v>
      </c>
      <c r="B203" s="318"/>
      <c r="C203" s="319"/>
      <c r="D203" s="319"/>
      <c r="E203" s="318"/>
      <c r="F203" s="319"/>
      <c r="G203" s="318"/>
      <c r="H203" s="319"/>
      <c r="I203" s="318"/>
      <c r="J203" s="319"/>
      <c r="K203" s="319"/>
      <c r="L203" s="360">
        <f t="shared" ref="L203:L266" si="15">+L202</f>
        <v>12</v>
      </c>
    </row>
    <row r="204" spans="1:12">
      <c r="A204" s="348">
        <f t="shared" si="14"/>
        <v>8.6999999999999994E-2</v>
      </c>
      <c r="B204" s="318"/>
      <c r="C204" s="319"/>
      <c r="D204" s="319"/>
      <c r="E204" s="318"/>
      <c r="F204" s="319"/>
      <c r="G204" s="318"/>
      <c r="H204" s="319"/>
      <c r="I204" s="318"/>
      <c r="J204" s="319"/>
      <c r="K204" s="319"/>
      <c r="L204" s="360">
        <f t="shared" si="15"/>
        <v>12</v>
      </c>
    </row>
    <row r="205" spans="1:12">
      <c r="A205" s="348">
        <f t="shared" si="14"/>
        <v>8.6999999999999994E-2</v>
      </c>
      <c r="B205" s="318"/>
      <c r="C205" s="319"/>
      <c r="D205" s="319"/>
      <c r="E205" s="318"/>
      <c r="F205" s="319"/>
      <c r="G205" s="318"/>
      <c r="H205" s="319"/>
      <c r="I205" s="318"/>
      <c r="J205" s="319"/>
      <c r="K205" s="319"/>
      <c r="L205" s="360">
        <f t="shared" si="15"/>
        <v>12</v>
      </c>
    </row>
    <row r="206" spans="1:12">
      <c r="A206" s="348">
        <f t="shared" si="14"/>
        <v>8.6999999999999994E-2</v>
      </c>
      <c r="B206" s="318"/>
      <c r="C206" s="319"/>
      <c r="D206" s="319"/>
      <c r="E206" s="318"/>
      <c r="F206" s="319"/>
      <c r="G206" s="318"/>
      <c r="H206" s="319"/>
      <c r="I206" s="318"/>
      <c r="J206" s="319"/>
      <c r="K206" s="319"/>
      <c r="L206" s="360">
        <f t="shared" si="15"/>
        <v>12</v>
      </c>
    </row>
    <row r="207" spans="1:12">
      <c r="A207" s="348">
        <f t="shared" si="14"/>
        <v>8.6999999999999994E-2</v>
      </c>
      <c r="B207" s="318"/>
      <c r="C207" s="319"/>
      <c r="D207" s="319"/>
      <c r="E207" s="318"/>
      <c r="F207" s="319"/>
      <c r="G207" s="318"/>
      <c r="H207" s="319"/>
      <c r="I207" s="318"/>
      <c r="J207" s="319"/>
      <c r="K207" s="319"/>
      <c r="L207" s="360">
        <f t="shared" si="15"/>
        <v>12</v>
      </c>
    </row>
    <row r="208" spans="1:12">
      <c r="A208" s="348">
        <f t="shared" si="14"/>
        <v>8.6999999999999994E-2</v>
      </c>
      <c r="B208" s="318"/>
      <c r="C208" s="319"/>
      <c r="D208" s="319"/>
      <c r="E208" s="318"/>
      <c r="F208" s="319"/>
      <c r="G208" s="318"/>
      <c r="H208" s="319"/>
      <c r="I208" s="318"/>
      <c r="J208" s="319"/>
      <c r="K208" s="319"/>
      <c r="L208" s="360">
        <f t="shared" si="15"/>
        <v>12</v>
      </c>
    </row>
    <row r="209" spans="1:12">
      <c r="A209" s="348">
        <f t="shared" si="14"/>
        <v>8.6999999999999994E-2</v>
      </c>
      <c r="B209" s="318"/>
      <c r="C209" s="319"/>
      <c r="D209" s="319"/>
      <c r="E209" s="318"/>
      <c r="F209" s="319"/>
      <c r="G209" s="318"/>
      <c r="H209" s="319"/>
      <c r="I209" s="318"/>
      <c r="J209" s="319"/>
      <c r="K209" s="319"/>
      <c r="L209" s="360">
        <f t="shared" si="15"/>
        <v>12</v>
      </c>
    </row>
    <row r="210" spans="1:12">
      <c r="A210" s="348">
        <f t="shared" si="14"/>
        <v>8.6999999999999994E-2</v>
      </c>
      <c r="B210" s="318"/>
      <c r="C210" s="319"/>
      <c r="D210" s="319"/>
      <c r="E210" s="318"/>
      <c r="F210" s="319"/>
      <c r="G210" s="318"/>
      <c r="H210" s="319"/>
      <c r="I210" s="318"/>
      <c r="J210" s="319"/>
      <c r="K210" s="319"/>
      <c r="L210" s="360">
        <f t="shared" si="15"/>
        <v>12</v>
      </c>
    </row>
    <row r="211" spans="1:12">
      <c r="A211" s="348">
        <f t="shared" si="14"/>
        <v>8.6999999999999994E-2</v>
      </c>
      <c r="B211" s="318"/>
      <c r="C211" s="319"/>
      <c r="D211" s="319"/>
      <c r="E211" s="318"/>
      <c r="F211" s="319"/>
      <c r="G211" s="318"/>
      <c r="H211" s="319"/>
      <c r="I211" s="318"/>
      <c r="J211" s="319"/>
      <c r="K211" s="319"/>
      <c r="L211" s="360">
        <f t="shared" si="15"/>
        <v>12</v>
      </c>
    </row>
    <row r="212" spans="1:12">
      <c r="A212" s="348">
        <f t="shared" si="14"/>
        <v>8.6999999999999994E-2</v>
      </c>
      <c r="B212" s="318"/>
      <c r="C212" s="319"/>
      <c r="D212" s="319"/>
      <c r="E212" s="318"/>
      <c r="F212" s="319"/>
      <c r="G212" s="318"/>
      <c r="H212" s="319"/>
      <c r="I212" s="318"/>
      <c r="J212" s="319"/>
      <c r="K212" s="319"/>
      <c r="L212" s="360">
        <f t="shared" si="15"/>
        <v>12</v>
      </c>
    </row>
    <row r="213" spans="1:12">
      <c r="A213" s="348">
        <f t="shared" si="14"/>
        <v>8.6999999999999994E-2</v>
      </c>
      <c r="B213" s="318"/>
      <c r="C213" s="319"/>
      <c r="D213" s="319"/>
      <c r="E213" s="318"/>
      <c r="F213" s="319"/>
      <c r="G213" s="318"/>
      <c r="H213" s="319"/>
      <c r="I213" s="318"/>
      <c r="J213" s="319"/>
      <c r="K213" s="319"/>
      <c r="L213" s="360">
        <f t="shared" si="15"/>
        <v>12</v>
      </c>
    </row>
    <row r="214" spans="1:12">
      <c r="A214" s="348">
        <f t="shared" si="14"/>
        <v>8.6999999999999994E-2</v>
      </c>
      <c r="B214" s="318"/>
      <c r="C214" s="319"/>
      <c r="D214" s="319"/>
      <c r="E214" s="318"/>
      <c r="F214" s="319"/>
      <c r="G214" s="318"/>
      <c r="H214" s="319"/>
      <c r="I214" s="318"/>
      <c r="J214" s="319"/>
      <c r="K214" s="319"/>
      <c r="L214" s="360">
        <f t="shared" si="15"/>
        <v>12</v>
      </c>
    </row>
    <row r="215" spans="1:12">
      <c r="A215" s="348">
        <f t="shared" si="14"/>
        <v>8.6999999999999994E-2</v>
      </c>
      <c r="B215" s="318"/>
      <c r="C215" s="319"/>
      <c r="D215" s="319"/>
      <c r="E215" s="318"/>
      <c r="F215" s="319"/>
      <c r="G215" s="318"/>
      <c r="H215" s="319"/>
      <c r="I215" s="318"/>
      <c r="J215" s="319"/>
      <c r="K215" s="319"/>
      <c r="L215" s="360">
        <f t="shared" si="15"/>
        <v>12</v>
      </c>
    </row>
    <row r="216" spans="1:12">
      <c r="A216" s="348">
        <f t="shared" si="14"/>
        <v>8.6999999999999994E-2</v>
      </c>
      <c r="B216" s="318"/>
      <c r="C216" s="319"/>
      <c r="D216" s="319"/>
      <c r="E216" s="318"/>
      <c r="F216" s="319"/>
      <c r="G216" s="318"/>
      <c r="H216" s="319"/>
      <c r="I216" s="318"/>
      <c r="J216" s="319"/>
      <c r="K216" s="319"/>
      <c r="L216" s="360">
        <f t="shared" si="15"/>
        <v>12</v>
      </c>
    </row>
    <row r="217" spans="1:12">
      <c r="A217" s="348">
        <f t="shared" si="14"/>
        <v>8.6999999999999994E-2</v>
      </c>
      <c r="B217" s="318"/>
      <c r="C217" s="319"/>
      <c r="D217" s="319"/>
      <c r="E217" s="318"/>
      <c r="F217" s="319"/>
      <c r="G217" s="318"/>
      <c r="H217" s="319"/>
      <c r="I217" s="318"/>
      <c r="J217" s="319"/>
      <c r="K217" s="319"/>
      <c r="L217" s="360">
        <f t="shared" si="15"/>
        <v>12</v>
      </c>
    </row>
    <row r="218" spans="1:12">
      <c r="A218" s="348">
        <f t="shared" si="14"/>
        <v>8.6999999999999994E-2</v>
      </c>
      <c r="B218" s="318"/>
      <c r="C218" s="319"/>
      <c r="D218" s="319"/>
      <c r="E218" s="318"/>
      <c r="F218" s="319"/>
      <c r="G218" s="318"/>
      <c r="H218" s="319"/>
      <c r="I218" s="318"/>
      <c r="J218" s="319"/>
      <c r="K218" s="319"/>
      <c r="L218" s="360">
        <f t="shared" si="15"/>
        <v>12</v>
      </c>
    </row>
    <row r="219" spans="1:12">
      <c r="A219" s="348">
        <f t="shared" si="14"/>
        <v>8.6999999999999994E-2</v>
      </c>
      <c r="B219" s="318"/>
      <c r="C219" s="319"/>
      <c r="D219" s="319"/>
      <c r="E219" s="318"/>
      <c r="F219" s="319"/>
      <c r="G219" s="318"/>
      <c r="H219" s="319"/>
      <c r="I219" s="318"/>
      <c r="J219" s="319"/>
      <c r="K219" s="319"/>
      <c r="L219" s="360">
        <f t="shared" si="15"/>
        <v>12</v>
      </c>
    </row>
    <row r="220" spans="1:12">
      <c r="A220" s="348">
        <f t="shared" si="14"/>
        <v>8.6999999999999994E-2</v>
      </c>
      <c r="B220" s="318"/>
      <c r="C220" s="319"/>
      <c r="D220" s="319"/>
      <c r="E220" s="318"/>
      <c r="F220" s="319"/>
      <c r="G220" s="318"/>
      <c r="H220" s="319"/>
      <c r="I220" s="318"/>
      <c r="J220" s="319"/>
      <c r="K220" s="319"/>
      <c r="L220" s="360">
        <f t="shared" si="15"/>
        <v>12</v>
      </c>
    </row>
    <row r="221" spans="1:12">
      <c r="A221" s="348">
        <f t="shared" si="14"/>
        <v>8.6999999999999994E-2</v>
      </c>
      <c r="B221" s="318"/>
      <c r="C221" s="319"/>
      <c r="D221" s="319"/>
      <c r="E221" s="318"/>
      <c r="F221" s="319"/>
      <c r="G221" s="318"/>
      <c r="H221" s="319"/>
      <c r="I221" s="318"/>
      <c r="J221" s="319"/>
      <c r="K221" s="319"/>
      <c r="L221" s="360">
        <f t="shared" si="15"/>
        <v>12</v>
      </c>
    </row>
    <row r="222" spans="1:12">
      <c r="A222" s="348">
        <f t="shared" si="14"/>
        <v>8.6999999999999994E-2</v>
      </c>
      <c r="B222" s="318"/>
      <c r="C222" s="319"/>
      <c r="D222" s="319"/>
      <c r="E222" s="318"/>
      <c r="F222" s="319"/>
      <c r="G222" s="318"/>
      <c r="H222" s="319"/>
      <c r="I222" s="318"/>
      <c r="J222" s="319"/>
      <c r="K222" s="319"/>
      <c r="L222" s="360">
        <f t="shared" si="15"/>
        <v>12</v>
      </c>
    </row>
    <row r="223" spans="1:12">
      <c r="A223" s="348">
        <f t="shared" si="14"/>
        <v>8.6999999999999994E-2</v>
      </c>
      <c r="B223" s="318"/>
      <c r="C223" s="319"/>
      <c r="D223" s="319"/>
      <c r="E223" s="318"/>
      <c r="F223" s="319"/>
      <c r="G223" s="318"/>
      <c r="H223" s="319"/>
      <c r="I223" s="318"/>
      <c r="J223" s="319"/>
      <c r="K223" s="319"/>
      <c r="L223" s="360">
        <f t="shared" si="15"/>
        <v>12</v>
      </c>
    </row>
    <row r="224" spans="1:12">
      <c r="A224" s="348">
        <f t="shared" si="14"/>
        <v>8.6999999999999994E-2</v>
      </c>
      <c r="B224" s="318"/>
      <c r="C224" s="319"/>
      <c r="D224" s="319"/>
      <c r="E224" s="318"/>
      <c r="F224" s="319"/>
      <c r="G224" s="318"/>
      <c r="H224" s="319"/>
      <c r="I224" s="318"/>
      <c r="J224" s="319"/>
      <c r="K224" s="319"/>
      <c r="L224" s="360">
        <f t="shared" si="15"/>
        <v>12</v>
      </c>
    </row>
    <row r="225" spans="1:12">
      <c r="A225" s="348">
        <f t="shared" si="14"/>
        <v>8.6999999999999994E-2</v>
      </c>
      <c r="B225" s="318"/>
      <c r="C225" s="319"/>
      <c r="D225" s="319"/>
      <c r="E225" s="318"/>
      <c r="F225" s="319"/>
      <c r="G225" s="318"/>
      <c r="H225" s="319"/>
      <c r="I225" s="318"/>
      <c r="J225" s="319"/>
      <c r="K225" s="319"/>
      <c r="L225" s="360">
        <f t="shared" si="15"/>
        <v>12</v>
      </c>
    </row>
    <row r="226" spans="1:12">
      <c r="A226" s="348">
        <f t="shared" si="14"/>
        <v>8.6999999999999994E-2</v>
      </c>
      <c r="B226" s="318"/>
      <c r="C226" s="319"/>
      <c r="D226" s="319"/>
      <c r="E226" s="318"/>
      <c r="F226" s="319"/>
      <c r="G226" s="318"/>
      <c r="H226" s="319"/>
      <c r="I226" s="318"/>
      <c r="J226" s="319"/>
      <c r="K226" s="319"/>
      <c r="L226" s="360">
        <f t="shared" si="15"/>
        <v>12</v>
      </c>
    </row>
    <row r="227" spans="1:12">
      <c r="A227" s="348">
        <f t="shared" si="14"/>
        <v>8.6999999999999994E-2</v>
      </c>
      <c r="B227" s="318"/>
      <c r="C227" s="319"/>
      <c r="D227" s="319"/>
      <c r="E227" s="318"/>
      <c r="F227" s="319"/>
      <c r="G227" s="318"/>
      <c r="H227" s="319"/>
      <c r="I227" s="318"/>
      <c r="J227" s="319"/>
      <c r="K227" s="319"/>
      <c r="L227" s="360">
        <f t="shared" si="15"/>
        <v>12</v>
      </c>
    </row>
    <row r="228" spans="1:12">
      <c r="A228" s="348">
        <f t="shared" si="14"/>
        <v>8.6999999999999994E-2</v>
      </c>
      <c r="B228" s="318"/>
      <c r="C228" s="319"/>
      <c r="D228" s="319"/>
      <c r="E228" s="318"/>
      <c r="F228" s="319"/>
      <c r="G228" s="318"/>
      <c r="H228" s="319"/>
      <c r="I228" s="318"/>
      <c r="J228" s="319"/>
      <c r="K228" s="319"/>
      <c r="L228" s="360">
        <f t="shared" si="15"/>
        <v>12</v>
      </c>
    </row>
    <row r="229" spans="1:12">
      <c r="A229" s="348">
        <f t="shared" si="14"/>
        <v>8.6999999999999994E-2</v>
      </c>
      <c r="B229" s="318"/>
      <c r="C229" s="319"/>
      <c r="D229" s="319"/>
      <c r="E229" s="318"/>
      <c r="F229" s="319"/>
      <c r="G229" s="318"/>
      <c r="H229" s="319"/>
      <c r="I229" s="318"/>
      <c r="J229" s="319"/>
      <c r="K229" s="319"/>
      <c r="L229" s="360">
        <f t="shared" si="15"/>
        <v>12</v>
      </c>
    </row>
    <row r="230" spans="1:12">
      <c r="A230" s="348">
        <f t="shared" si="14"/>
        <v>8.6999999999999994E-2</v>
      </c>
      <c r="B230" s="318"/>
      <c r="C230" s="319"/>
      <c r="D230" s="319"/>
      <c r="E230" s="318"/>
      <c r="F230" s="319"/>
      <c r="G230" s="318"/>
      <c r="H230" s="319"/>
      <c r="I230" s="318"/>
      <c r="J230" s="319"/>
      <c r="K230" s="319"/>
      <c r="L230" s="360">
        <f t="shared" si="15"/>
        <v>12</v>
      </c>
    </row>
    <row r="231" spans="1:12">
      <c r="A231" s="348">
        <f t="shared" si="14"/>
        <v>8.6999999999999994E-2</v>
      </c>
      <c r="B231" s="318"/>
      <c r="C231" s="319"/>
      <c r="D231" s="319"/>
      <c r="E231" s="318"/>
      <c r="F231" s="319"/>
      <c r="G231" s="318"/>
      <c r="H231" s="319"/>
      <c r="I231" s="318"/>
      <c r="J231" s="319"/>
      <c r="K231" s="319"/>
      <c r="L231" s="360">
        <f t="shared" si="15"/>
        <v>12</v>
      </c>
    </row>
    <row r="232" spans="1:12">
      <c r="A232" s="348">
        <f t="shared" si="14"/>
        <v>8.6999999999999994E-2</v>
      </c>
      <c r="B232" s="318"/>
      <c r="C232" s="319"/>
      <c r="D232" s="319"/>
      <c r="E232" s="318"/>
      <c r="F232" s="319"/>
      <c r="G232" s="318"/>
      <c r="H232" s="319"/>
      <c r="I232" s="318"/>
      <c r="J232" s="319"/>
      <c r="K232" s="319"/>
      <c r="L232" s="360">
        <f t="shared" si="15"/>
        <v>12</v>
      </c>
    </row>
    <row r="233" spans="1:12">
      <c r="A233" s="348">
        <f t="shared" si="14"/>
        <v>8.6999999999999994E-2</v>
      </c>
      <c r="B233" s="318"/>
      <c r="C233" s="319"/>
      <c r="D233" s="319"/>
      <c r="E233" s="318"/>
      <c r="F233" s="319"/>
      <c r="G233" s="318"/>
      <c r="H233" s="319"/>
      <c r="I233" s="318"/>
      <c r="J233" s="319"/>
      <c r="K233" s="319"/>
      <c r="L233" s="360">
        <f t="shared" si="15"/>
        <v>12</v>
      </c>
    </row>
    <row r="234" spans="1:12">
      <c r="A234" s="348">
        <f t="shared" si="14"/>
        <v>8.6999999999999994E-2</v>
      </c>
      <c r="B234" s="318"/>
      <c r="C234" s="319"/>
      <c r="D234" s="319"/>
      <c r="E234" s="318"/>
      <c r="F234" s="319"/>
      <c r="G234" s="318"/>
      <c r="H234" s="319"/>
      <c r="I234" s="318"/>
      <c r="J234" s="319"/>
      <c r="K234" s="319"/>
      <c r="L234" s="360">
        <f t="shared" si="15"/>
        <v>12</v>
      </c>
    </row>
    <row r="235" spans="1:12">
      <c r="A235" s="348">
        <f t="shared" si="14"/>
        <v>8.6999999999999994E-2</v>
      </c>
      <c r="B235" s="318"/>
      <c r="C235" s="319"/>
      <c r="D235" s="319"/>
      <c r="E235" s="318"/>
      <c r="F235" s="319"/>
      <c r="G235" s="318"/>
      <c r="H235" s="319"/>
      <c r="I235" s="318"/>
      <c r="J235" s="319"/>
      <c r="K235" s="319"/>
      <c r="L235" s="360">
        <f t="shared" si="15"/>
        <v>12</v>
      </c>
    </row>
    <row r="236" spans="1:12">
      <c r="A236" s="348">
        <f t="shared" si="14"/>
        <v>8.6999999999999994E-2</v>
      </c>
      <c r="B236" s="318"/>
      <c r="C236" s="319"/>
      <c r="D236" s="319"/>
      <c r="E236" s="318"/>
      <c r="F236" s="319"/>
      <c r="G236" s="318"/>
      <c r="H236" s="319"/>
      <c r="I236" s="318"/>
      <c r="J236" s="319"/>
      <c r="K236" s="319"/>
      <c r="L236" s="360">
        <f t="shared" si="15"/>
        <v>12</v>
      </c>
    </row>
    <row r="237" spans="1:12">
      <c r="A237" s="348">
        <f t="shared" si="14"/>
        <v>8.6999999999999994E-2</v>
      </c>
      <c r="B237" s="318"/>
      <c r="C237" s="319"/>
      <c r="D237" s="319"/>
      <c r="E237" s="318"/>
      <c r="F237" s="319"/>
      <c r="G237" s="318"/>
      <c r="H237" s="319"/>
      <c r="I237" s="318"/>
      <c r="J237" s="319"/>
      <c r="K237" s="319"/>
      <c r="L237" s="360">
        <f t="shared" si="15"/>
        <v>12</v>
      </c>
    </row>
    <row r="238" spans="1:12">
      <c r="A238" s="348">
        <f t="shared" si="14"/>
        <v>8.6999999999999994E-2</v>
      </c>
      <c r="B238" s="318"/>
      <c r="C238" s="319"/>
      <c r="D238" s="319"/>
      <c r="E238" s="318"/>
      <c r="F238" s="319"/>
      <c r="G238" s="318"/>
      <c r="H238" s="319"/>
      <c r="I238" s="318"/>
      <c r="J238" s="319"/>
      <c r="K238" s="319"/>
      <c r="L238" s="360">
        <f t="shared" si="15"/>
        <v>12</v>
      </c>
    </row>
    <row r="239" spans="1:12">
      <c r="A239" s="348">
        <f t="shared" si="14"/>
        <v>8.6999999999999994E-2</v>
      </c>
      <c r="B239" s="318"/>
      <c r="C239" s="319"/>
      <c r="D239" s="319"/>
      <c r="E239" s="318"/>
      <c r="F239" s="319"/>
      <c r="G239" s="318"/>
      <c r="H239" s="319"/>
      <c r="I239" s="318"/>
      <c r="J239" s="319"/>
      <c r="K239" s="319"/>
      <c r="L239" s="360">
        <f t="shared" si="15"/>
        <v>12</v>
      </c>
    </row>
    <row r="240" spans="1:12">
      <c r="A240" s="348">
        <f t="shared" si="14"/>
        <v>8.6999999999999994E-2</v>
      </c>
      <c r="B240" s="318"/>
      <c r="C240" s="319"/>
      <c r="D240" s="319"/>
      <c r="E240" s="318"/>
      <c r="F240" s="319"/>
      <c r="G240" s="318"/>
      <c r="H240" s="319"/>
      <c r="I240" s="318"/>
      <c r="J240" s="319"/>
      <c r="K240" s="319"/>
      <c r="L240" s="360">
        <f t="shared" si="15"/>
        <v>12</v>
      </c>
    </row>
    <row r="241" spans="1:12">
      <c r="A241" s="348">
        <f t="shared" si="14"/>
        <v>8.6999999999999994E-2</v>
      </c>
      <c r="B241" s="318"/>
      <c r="C241" s="319"/>
      <c r="D241" s="319"/>
      <c r="E241" s="318"/>
      <c r="F241" s="319"/>
      <c r="G241" s="318"/>
      <c r="H241" s="319"/>
      <c r="I241" s="318"/>
      <c r="J241" s="319"/>
      <c r="K241" s="319"/>
      <c r="L241" s="360">
        <f t="shared" si="15"/>
        <v>12</v>
      </c>
    </row>
    <row r="242" spans="1:12">
      <c r="A242" s="348">
        <f t="shared" si="14"/>
        <v>8.6999999999999994E-2</v>
      </c>
      <c r="B242" s="318"/>
      <c r="C242" s="319"/>
      <c r="D242" s="319"/>
      <c r="E242" s="318"/>
      <c r="F242" s="319"/>
      <c r="G242" s="318"/>
      <c r="H242" s="319"/>
      <c r="I242" s="318"/>
      <c r="J242" s="319"/>
      <c r="K242" s="319"/>
      <c r="L242" s="360">
        <f t="shared" si="15"/>
        <v>12</v>
      </c>
    </row>
    <row r="243" spans="1:12">
      <c r="A243" s="348">
        <f t="shared" si="14"/>
        <v>8.6999999999999994E-2</v>
      </c>
      <c r="B243" s="318"/>
      <c r="C243" s="319"/>
      <c r="D243" s="319"/>
      <c r="E243" s="318"/>
      <c r="F243" s="319"/>
      <c r="G243" s="318"/>
      <c r="H243" s="319"/>
      <c r="I243" s="318"/>
      <c r="J243" s="319"/>
      <c r="K243" s="319"/>
      <c r="L243" s="360">
        <f t="shared" si="15"/>
        <v>12</v>
      </c>
    </row>
    <row r="244" spans="1:12">
      <c r="A244" s="348">
        <f t="shared" si="14"/>
        <v>8.6999999999999994E-2</v>
      </c>
      <c r="B244" s="318"/>
      <c r="C244" s="319"/>
      <c r="D244" s="319"/>
      <c r="E244" s="318"/>
      <c r="F244" s="319"/>
      <c r="G244" s="318"/>
      <c r="H244" s="319"/>
      <c r="I244" s="318"/>
      <c r="J244" s="319"/>
      <c r="K244" s="319"/>
      <c r="L244" s="360">
        <f t="shared" si="15"/>
        <v>12</v>
      </c>
    </row>
    <row r="245" spans="1:12">
      <c r="A245" s="348">
        <f t="shared" si="14"/>
        <v>8.6999999999999994E-2</v>
      </c>
      <c r="B245" s="318"/>
      <c r="C245" s="319"/>
      <c r="D245" s="319"/>
      <c r="E245" s="318"/>
      <c r="F245" s="319"/>
      <c r="G245" s="318"/>
      <c r="H245" s="319"/>
      <c r="I245" s="318"/>
      <c r="J245" s="319"/>
      <c r="K245" s="319"/>
      <c r="L245" s="360">
        <f t="shared" si="15"/>
        <v>12</v>
      </c>
    </row>
    <row r="246" spans="1:12">
      <c r="A246" s="348">
        <f t="shared" si="14"/>
        <v>8.6999999999999994E-2</v>
      </c>
      <c r="B246" s="318"/>
      <c r="C246" s="319"/>
      <c r="D246" s="319"/>
      <c r="E246" s="318"/>
      <c r="F246" s="319"/>
      <c r="G246" s="318"/>
      <c r="H246" s="319"/>
      <c r="I246" s="318"/>
      <c r="J246" s="319"/>
      <c r="K246" s="319"/>
      <c r="L246" s="360">
        <f t="shared" si="15"/>
        <v>12</v>
      </c>
    </row>
    <row r="247" spans="1:12">
      <c r="A247" s="348">
        <f t="shared" si="14"/>
        <v>8.6999999999999994E-2</v>
      </c>
      <c r="B247" s="318"/>
      <c r="C247" s="319"/>
      <c r="D247" s="319"/>
      <c r="E247" s="318"/>
      <c r="F247" s="319"/>
      <c r="G247" s="318"/>
      <c r="H247" s="319"/>
      <c r="I247" s="318"/>
      <c r="J247" s="319"/>
      <c r="K247" s="319"/>
      <c r="L247" s="360">
        <f t="shared" si="15"/>
        <v>12</v>
      </c>
    </row>
    <row r="248" spans="1:12">
      <c r="A248" s="348">
        <f t="shared" si="14"/>
        <v>8.6999999999999994E-2</v>
      </c>
      <c r="B248" s="318"/>
      <c r="C248" s="319"/>
      <c r="D248" s="319"/>
      <c r="E248" s="318"/>
      <c r="F248" s="319"/>
      <c r="G248" s="318"/>
      <c r="H248" s="319"/>
      <c r="I248" s="318"/>
      <c r="J248" s="319"/>
      <c r="K248" s="319"/>
      <c r="L248" s="360">
        <f t="shared" si="15"/>
        <v>12</v>
      </c>
    </row>
    <row r="249" spans="1:12">
      <c r="A249" s="348">
        <f t="shared" si="14"/>
        <v>8.6999999999999994E-2</v>
      </c>
      <c r="B249" s="318"/>
      <c r="C249" s="319"/>
      <c r="D249" s="319"/>
      <c r="E249" s="318"/>
      <c r="F249" s="319"/>
      <c r="G249" s="318"/>
      <c r="H249" s="319"/>
      <c r="I249" s="318"/>
      <c r="J249" s="319"/>
      <c r="K249" s="319"/>
      <c r="L249" s="360">
        <f t="shared" si="15"/>
        <v>12</v>
      </c>
    </row>
    <row r="250" spans="1:12">
      <c r="A250" s="348">
        <f t="shared" si="14"/>
        <v>8.6999999999999994E-2</v>
      </c>
      <c r="B250" s="318"/>
      <c r="C250" s="319"/>
      <c r="D250" s="319"/>
      <c r="E250" s="318"/>
      <c r="F250" s="319"/>
      <c r="G250" s="318"/>
      <c r="H250" s="319"/>
      <c r="I250" s="318"/>
      <c r="J250" s="319"/>
      <c r="K250" s="319"/>
      <c r="L250" s="360">
        <f t="shared" si="15"/>
        <v>12</v>
      </c>
    </row>
    <row r="251" spans="1:12">
      <c r="A251" s="348">
        <f t="shared" si="14"/>
        <v>8.6999999999999994E-2</v>
      </c>
      <c r="B251" s="318"/>
      <c r="C251" s="319"/>
      <c r="D251" s="319"/>
      <c r="E251" s="318"/>
      <c r="F251" s="319"/>
      <c r="G251" s="318"/>
      <c r="H251" s="319"/>
      <c r="I251" s="318"/>
      <c r="J251" s="319"/>
      <c r="K251" s="319"/>
      <c r="L251" s="360">
        <f t="shared" si="15"/>
        <v>12</v>
      </c>
    </row>
    <row r="252" spans="1:12">
      <c r="A252" s="348">
        <f t="shared" si="14"/>
        <v>8.6999999999999994E-2</v>
      </c>
      <c r="B252" s="318"/>
      <c r="C252" s="319"/>
      <c r="D252" s="319"/>
      <c r="E252" s="318"/>
      <c r="F252" s="319"/>
      <c r="G252" s="318"/>
      <c r="H252" s="319"/>
      <c r="I252" s="318"/>
      <c r="J252" s="319"/>
      <c r="K252" s="319"/>
      <c r="L252" s="360">
        <f t="shared" si="15"/>
        <v>12</v>
      </c>
    </row>
    <row r="253" spans="1:12">
      <c r="A253" s="348">
        <f t="shared" si="14"/>
        <v>8.6999999999999994E-2</v>
      </c>
      <c r="B253" s="318"/>
      <c r="C253" s="319"/>
      <c r="D253" s="319"/>
      <c r="E253" s="318"/>
      <c r="F253" s="319"/>
      <c r="G253" s="318"/>
      <c r="H253" s="319"/>
      <c r="I253" s="318"/>
      <c r="J253" s="319"/>
      <c r="K253" s="319"/>
      <c r="L253" s="360">
        <f t="shared" si="15"/>
        <v>12</v>
      </c>
    </row>
    <row r="254" spans="1:12">
      <c r="A254" s="348">
        <f t="shared" si="14"/>
        <v>8.6999999999999994E-2</v>
      </c>
      <c r="B254" s="318"/>
      <c r="C254" s="319"/>
      <c r="D254" s="319"/>
      <c r="E254" s="318"/>
      <c r="F254" s="319"/>
      <c r="G254" s="318"/>
      <c r="H254" s="319"/>
      <c r="I254" s="318"/>
      <c r="J254" s="319"/>
      <c r="K254" s="319"/>
      <c r="L254" s="360">
        <f t="shared" si="15"/>
        <v>12</v>
      </c>
    </row>
    <row r="255" spans="1:12">
      <c r="A255" s="348">
        <f t="shared" si="14"/>
        <v>8.6999999999999994E-2</v>
      </c>
      <c r="B255" s="318"/>
      <c r="C255" s="319"/>
      <c r="D255" s="319"/>
      <c r="E255" s="318"/>
      <c r="F255" s="319"/>
      <c r="G255" s="318"/>
      <c r="H255" s="319"/>
      <c r="I255" s="318"/>
      <c r="J255" s="319"/>
      <c r="K255" s="319"/>
      <c r="L255" s="360">
        <f t="shared" si="15"/>
        <v>12</v>
      </c>
    </row>
    <row r="256" spans="1:12">
      <c r="A256" s="348">
        <f t="shared" si="14"/>
        <v>8.6999999999999994E-2</v>
      </c>
      <c r="B256" s="318"/>
      <c r="C256" s="319"/>
      <c r="D256" s="319"/>
      <c r="E256" s="318"/>
      <c r="F256" s="319"/>
      <c r="G256" s="318"/>
      <c r="H256" s="319"/>
      <c r="I256" s="318"/>
      <c r="J256" s="319"/>
      <c r="K256" s="319"/>
      <c r="L256" s="360">
        <f t="shared" si="15"/>
        <v>12</v>
      </c>
    </row>
    <row r="257" spans="1:12">
      <c r="A257" s="348">
        <f t="shared" si="14"/>
        <v>8.6999999999999994E-2</v>
      </c>
      <c r="B257" s="318"/>
      <c r="C257" s="319"/>
      <c r="D257" s="319"/>
      <c r="E257" s="318"/>
      <c r="F257" s="319"/>
      <c r="G257" s="318"/>
      <c r="H257" s="319"/>
      <c r="I257" s="318"/>
      <c r="J257" s="319"/>
      <c r="K257" s="319"/>
      <c r="L257" s="360">
        <f t="shared" si="15"/>
        <v>12</v>
      </c>
    </row>
    <row r="258" spans="1:12">
      <c r="A258" s="348">
        <f t="shared" si="14"/>
        <v>8.6999999999999994E-2</v>
      </c>
      <c r="B258" s="318"/>
      <c r="C258" s="319"/>
      <c r="D258" s="319"/>
      <c r="E258" s="318"/>
      <c r="F258" s="319"/>
      <c r="G258" s="318"/>
      <c r="H258" s="319"/>
      <c r="I258" s="318"/>
      <c r="J258" s="319"/>
      <c r="K258" s="319"/>
      <c r="L258" s="360">
        <f t="shared" si="15"/>
        <v>12</v>
      </c>
    </row>
    <row r="259" spans="1:12">
      <c r="A259" s="348">
        <f t="shared" si="14"/>
        <v>8.6999999999999994E-2</v>
      </c>
      <c r="B259" s="318"/>
      <c r="C259" s="319"/>
      <c r="D259" s="319"/>
      <c r="E259" s="318"/>
      <c r="F259" s="319"/>
      <c r="G259" s="318"/>
      <c r="H259" s="319"/>
      <c r="I259" s="318"/>
      <c r="J259" s="319"/>
      <c r="K259" s="319"/>
      <c r="L259" s="360">
        <f t="shared" si="15"/>
        <v>12</v>
      </c>
    </row>
    <row r="260" spans="1:12">
      <c r="A260" s="348">
        <f t="shared" si="14"/>
        <v>8.6999999999999994E-2</v>
      </c>
      <c r="B260" s="318"/>
      <c r="C260" s="319"/>
      <c r="D260" s="319"/>
      <c r="E260" s="318"/>
      <c r="F260" s="319"/>
      <c r="G260" s="318"/>
      <c r="H260" s="319"/>
      <c r="I260" s="318"/>
      <c r="J260" s="319"/>
      <c r="K260" s="319"/>
      <c r="L260" s="360">
        <f t="shared" si="15"/>
        <v>12</v>
      </c>
    </row>
    <row r="261" spans="1:12">
      <c r="A261" s="348">
        <f t="shared" si="14"/>
        <v>8.6999999999999994E-2</v>
      </c>
      <c r="B261" s="318"/>
      <c r="C261" s="319"/>
      <c r="D261" s="319"/>
      <c r="E261" s="318"/>
      <c r="F261" s="319"/>
      <c r="G261" s="318"/>
      <c r="H261" s="319"/>
      <c r="I261" s="318"/>
      <c r="J261" s="319"/>
      <c r="K261" s="319"/>
      <c r="L261" s="360">
        <f t="shared" si="15"/>
        <v>12</v>
      </c>
    </row>
    <row r="262" spans="1:12">
      <c r="A262" s="348">
        <f t="shared" si="14"/>
        <v>8.6999999999999994E-2</v>
      </c>
      <c r="B262" s="318"/>
      <c r="C262" s="319"/>
      <c r="D262" s="319"/>
      <c r="E262" s="318"/>
      <c r="F262" s="319"/>
      <c r="G262" s="318"/>
      <c r="H262" s="319"/>
      <c r="I262" s="318"/>
      <c r="J262" s="319"/>
      <c r="K262" s="319"/>
      <c r="L262" s="360">
        <f t="shared" si="15"/>
        <v>12</v>
      </c>
    </row>
    <row r="263" spans="1:12">
      <c r="A263" s="348">
        <f>E255</f>
        <v>0</v>
      </c>
      <c r="B263" s="318"/>
      <c r="C263" s="319"/>
      <c r="D263" s="319"/>
      <c r="E263" s="318"/>
      <c r="F263" s="319"/>
      <c r="G263" s="318"/>
      <c r="H263" s="319"/>
      <c r="I263" s="318"/>
      <c r="J263" s="319"/>
      <c r="K263" s="319"/>
      <c r="L263" s="360">
        <f t="shared" si="15"/>
        <v>12</v>
      </c>
    </row>
    <row r="264" spans="1:12">
      <c r="A264" s="348">
        <f>E256</f>
        <v>0</v>
      </c>
      <c r="B264" s="318"/>
      <c r="C264" s="319"/>
      <c r="D264" s="319"/>
      <c r="E264" s="318"/>
      <c r="F264" s="319"/>
      <c r="G264" s="318"/>
      <c r="H264" s="319"/>
      <c r="I264" s="318"/>
      <c r="J264" s="319"/>
      <c r="K264" s="319"/>
      <c r="L264" s="360">
        <f t="shared" si="15"/>
        <v>12</v>
      </c>
    </row>
    <row r="265" spans="1:12">
      <c r="A265" s="348">
        <f>E257</f>
        <v>0</v>
      </c>
      <c r="B265" s="318"/>
      <c r="C265" s="319"/>
      <c r="D265" s="319"/>
      <c r="E265" s="318"/>
      <c r="F265" s="319"/>
      <c r="G265" s="318"/>
      <c r="H265" s="319"/>
      <c r="I265" s="318"/>
      <c r="J265" s="319"/>
      <c r="K265" s="319"/>
      <c r="L265" s="360">
        <f t="shared" si="15"/>
        <v>12</v>
      </c>
    </row>
    <row r="266" spans="1:12">
      <c r="A266" s="348">
        <f t="shared" ref="A266:A327" si="16">E258</f>
        <v>0</v>
      </c>
      <c r="B266" s="318"/>
      <c r="C266" s="319"/>
      <c r="D266" s="319"/>
      <c r="E266" s="318"/>
      <c r="F266" s="319"/>
      <c r="G266" s="318"/>
      <c r="H266" s="319"/>
      <c r="I266" s="318"/>
      <c r="J266" s="319"/>
      <c r="K266" s="319"/>
      <c r="L266" s="360">
        <f t="shared" si="15"/>
        <v>12</v>
      </c>
    </row>
    <row r="267" spans="1:12">
      <c r="A267" s="348">
        <f t="shared" si="16"/>
        <v>0</v>
      </c>
      <c r="B267" s="318"/>
      <c r="C267" s="319"/>
      <c r="D267" s="319"/>
      <c r="E267" s="318"/>
      <c r="F267" s="319"/>
      <c r="G267" s="318"/>
      <c r="H267" s="319"/>
      <c r="I267" s="318"/>
      <c r="J267" s="319"/>
      <c r="K267" s="319"/>
      <c r="L267" s="360">
        <f t="shared" ref="L267:L298" si="17">+L266</f>
        <v>12</v>
      </c>
    </row>
    <row r="268" spans="1:12">
      <c r="A268" s="348">
        <f t="shared" si="16"/>
        <v>0</v>
      </c>
      <c r="B268" s="318"/>
      <c r="C268" s="319"/>
      <c r="D268" s="319"/>
      <c r="E268" s="318"/>
      <c r="F268" s="319"/>
      <c r="G268" s="318"/>
      <c r="H268" s="319"/>
      <c r="I268" s="318"/>
      <c r="J268" s="319"/>
      <c r="K268" s="319"/>
      <c r="L268" s="360">
        <f t="shared" si="17"/>
        <v>12</v>
      </c>
    </row>
    <row r="269" spans="1:12">
      <c r="A269" s="348">
        <f t="shared" si="16"/>
        <v>0</v>
      </c>
      <c r="B269" s="318"/>
      <c r="C269" s="319"/>
      <c r="D269" s="319"/>
      <c r="E269" s="318"/>
      <c r="F269" s="319"/>
      <c r="G269" s="318"/>
      <c r="H269" s="319"/>
      <c r="I269" s="318"/>
      <c r="J269" s="319"/>
      <c r="K269" s="319"/>
      <c r="L269" s="360">
        <f t="shared" si="17"/>
        <v>12</v>
      </c>
    </row>
    <row r="270" spans="1:12">
      <c r="A270" s="348">
        <f t="shared" si="16"/>
        <v>0</v>
      </c>
      <c r="B270" s="318"/>
      <c r="C270" s="319"/>
      <c r="D270" s="319"/>
      <c r="E270" s="318"/>
      <c r="F270" s="319"/>
      <c r="G270" s="318"/>
      <c r="H270" s="319"/>
      <c r="I270" s="318"/>
      <c r="J270" s="319"/>
      <c r="K270" s="319"/>
      <c r="L270" s="360">
        <f t="shared" si="17"/>
        <v>12</v>
      </c>
    </row>
    <row r="271" spans="1:12">
      <c r="A271" s="348">
        <f t="shared" si="16"/>
        <v>0</v>
      </c>
      <c r="B271" s="318"/>
      <c r="C271" s="319"/>
      <c r="D271" s="319"/>
      <c r="E271" s="318"/>
      <c r="F271" s="319"/>
      <c r="G271" s="318"/>
      <c r="H271" s="319"/>
      <c r="I271" s="318"/>
      <c r="J271" s="319"/>
      <c r="K271" s="319"/>
      <c r="L271" s="360">
        <f t="shared" si="17"/>
        <v>12</v>
      </c>
    </row>
    <row r="272" spans="1:12">
      <c r="A272" s="348">
        <f t="shared" si="16"/>
        <v>0</v>
      </c>
      <c r="B272" s="318"/>
      <c r="C272" s="319"/>
      <c r="D272" s="319"/>
      <c r="E272" s="318"/>
      <c r="F272" s="319"/>
      <c r="G272" s="318"/>
      <c r="H272" s="319"/>
      <c r="I272" s="318"/>
      <c r="J272" s="319"/>
      <c r="K272" s="319"/>
      <c r="L272" s="360">
        <f t="shared" si="17"/>
        <v>12</v>
      </c>
    </row>
    <row r="273" spans="1:12">
      <c r="A273" s="348">
        <f t="shared" si="16"/>
        <v>0</v>
      </c>
      <c r="B273" s="318"/>
      <c r="C273" s="319"/>
      <c r="D273" s="319"/>
      <c r="E273" s="318"/>
      <c r="F273" s="319"/>
      <c r="G273" s="318"/>
      <c r="H273" s="319"/>
      <c r="I273" s="318"/>
      <c r="J273" s="319"/>
      <c r="K273" s="319"/>
      <c r="L273" s="360">
        <f t="shared" si="17"/>
        <v>12</v>
      </c>
    </row>
    <row r="274" spans="1:12">
      <c r="A274" s="348">
        <f t="shared" si="16"/>
        <v>0</v>
      </c>
      <c r="B274" s="318"/>
      <c r="C274" s="319"/>
      <c r="D274" s="319"/>
      <c r="E274" s="318"/>
      <c r="F274" s="319"/>
      <c r="G274" s="318"/>
      <c r="H274" s="319"/>
      <c r="I274" s="318"/>
      <c r="J274" s="319"/>
      <c r="K274" s="319"/>
      <c r="L274" s="360">
        <f t="shared" si="17"/>
        <v>12</v>
      </c>
    </row>
    <row r="275" spans="1:12">
      <c r="A275" s="348">
        <f t="shared" si="16"/>
        <v>0</v>
      </c>
      <c r="B275" s="318"/>
      <c r="C275" s="319"/>
      <c r="D275" s="319"/>
      <c r="E275" s="318"/>
      <c r="F275" s="319"/>
      <c r="G275" s="318"/>
      <c r="H275" s="319"/>
      <c r="I275" s="318"/>
      <c r="J275" s="319"/>
      <c r="K275" s="319"/>
      <c r="L275" s="360">
        <f t="shared" si="17"/>
        <v>12</v>
      </c>
    </row>
    <row r="276" spans="1:12">
      <c r="A276" s="348">
        <f t="shared" si="16"/>
        <v>0</v>
      </c>
      <c r="B276" s="318"/>
      <c r="C276" s="319"/>
      <c r="D276" s="319"/>
      <c r="E276" s="318"/>
      <c r="F276" s="319"/>
      <c r="G276" s="318"/>
      <c r="H276" s="319"/>
      <c r="I276" s="318"/>
      <c r="J276" s="319"/>
      <c r="K276" s="319"/>
      <c r="L276" s="360">
        <f t="shared" si="17"/>
        <v>12</v>
      </c>
    </row>
    <row r="277" spans="1:12">
      <c r="A277" s="348">
        <f t="shared" si="16"/>
        <v>0</v>
      </c>
      <c r="B277" s="318"/>
      <c r="C277" s="319"/>
      <c r="D277" s="319"/>
      <c r="E277" s="318"/>
      <c r="F277" s="319"/>
      <c r="G277" s="318"/>
      <c r="H277" s="319"/>
      <c r="I277" s="318"/>
      <c r="J277" s="319"/>
      <c r="K277" s="319"/>
      <c r="L277" s="360">
        <f t="shared" si="17"/>
        <v>12</v>
      </c>
    </row>
    <row r="278" spans="1:12">
      <c r="A278" s="348">
        <f t="shared" si="16"/>
        <v>0</v>
      </c>
      <c r="B278" s="318"/>
      <c r="C278" s="319"/>
      <c r="D278" s="319"/>
      <c r="E278" s="318"/>
      <c r="F278" s="319"/>
      <c r="G278" s="318"/>
      <c r="H278" s="319"/>
      <c r="I278" s="318"/>
      <c r="J278" s="319"/>
      <c r="K278" s="319"/>
      <c r="L278" s="360">
        <f t="shared" si="17"/>
        <v>12</v>
      </c>
    </row>
    <row r="279" spans="1:12">
      <c r="A279" s="348">
        <f t="shared" si="16"/>
        <v>0</v>
      </c>
      <c r="B279" s="318"/>
      <c r="C279" s="319"/>
      <c r="D279" s="319"/>
      <c r="E279" s="318"/>
      <c r="F279" s="319"/>
      <c r="G279" s="318"/>
      <c r="H279" s="319"/>
      <c r="I279" s="318"/>
      <c r="J279" s="319"/>
      <c r="K279" s="319"/>
      <c r="L279" s="360">
        <f t="shared" si="17"/>
        <v>12</v>
      </c>
    </row>
    <row r="280" spans="1:12">
      <c r="A280" s="348">
        <f t="shared" si="16"/>
        <v>0</v>
      </c>
      <c r="B280" s="318"/>
      <c r="C280" s="319"/>
      <c r="D280" s="319"/>
      <c r="E280" s="318"/>
      <c r="F280" s="319"/>
      <c r="G280" s="318"/>
      <c r="H280" s="319"/>
      <c r="I280" s="318"/>
      <c r="J280" s="319"/>
      <c r="K280" s="319"/>
      <c r="L280" s="360">
        <f t="shared" si="17"/>
        <v>12</v>
      </c>
    </row>
    <row r="281" spans="1:12">
      <c r="A281" s="348">
        <f t="shared" si="16"/>
        <v>0</v>
      </c>
      <c r="B281" s="318"/>
      <c r="C281" s="319"/>
      <c r="D281" s="319"/>
      <c r="E281" s="318"/>
      <c r="F281" s="319"/>
      <c r="G281" s="318"/>
      <c r="H281" s="319"/>
      <c r="I281" s="318"/>
      <c r="J281" s="319"/>
      <c r="K281" s="319"/>
      <c r="L281" s="360">
        <f t="shared" si="17"/>
        <v>12</v>
      </c>
    </row>
    <row r="282" spans="1:12">
      <c r="A282" s="348">
        <f t="shared" si="16"/>
        <v>0</v>
      </c>
      <c r="B282" s="318"/>
      <c r="C282" s="319"/>
      <c r="D282" s="319"/>
      <c r="E282" s="318"/>
      <c r="F282" s="319"/>
      <c r="G282" s="318"/>
      <c r="H282" s="319"/>
      <c r="I282" s="318"/>
      <c r="J282" s="319"/>
      <c r="K282" s="319"/>
      <c r="L282" s="360">
        <f t="shared" si="17"/>
        <v>12</v>
      </c>
    </row>
    <row r="283" spans="1:12">
      <c r="A283" s="348">
        <f t="shared" si="16"/>
        <v>0</v>
      </c>
      <c r="B283" s="318"/>
      <c r="C283" s="319"/>
      <c r="D283" s="319"/>
      <c r="E283" s="318"/>
      <c r="F283" s="319"/>
      <c r="G283" s="318"/>
      <c r="H283" s="319"/>
      <c r="I283" s="318"/>
      <c r="J283" s="319"/>
      <c r="K283" s="319"/>
      <c r="L283" s="360">
        <f t="shared" si="17"/>
        <v>12</v>
      </c>
    </row>
    <row r="284" spans="1:12">
      <c r="A284" s="348">
        <f t="shared" si="16"/>
        <v>0</v>
      </c>
      <c r="B284" s="318"/>
      <c r="C284" s="319"/>
      <c r="D284" s="319"/>
      <c r="E284" s="318"/>
      <c r="F284" s="319"/>
      <c r="G284" s="318"/>
      <c r="H284" s="319"/>
      <c r="I284" s="318"/>
      <c r="J284" s="319"/>
      <c r="K284" s="319"/>
      <c r="L284" s="360">
        <f t="shared" si="17"/>
        <v>12</v>
      </c>
    </row>
    <row r="285" spans="1:12">
      <c r="A285" s="348">
        <f t="shared" si="16"/>
        <v>0</v>
      </c>
      <c r="B285" s="318"/>
      <c r="C285" s="319"/>
      <c r="D285" s="319"/>
      <c r="E285" s="318"/>
      <c r="F285" s="319"/>
      <c r="G285" s="318"/>
      <c r="H285" s="319"/>
      <c r="I285" s="318"/>
      <c r="J285" s="319"/>
      <c r="K285" s="319"/>
      <c r="L285" s="360">
        <f t="shared" si="17"/>
        <v>12</v>
      </c>
    </row>
    <row r="286" spans="1:12">
      <c r="A286" s="348">
        <f t="shared" si="16"/>
        <v>0</v>
      </c>
      <c r="B286" s="318"/>
      <c r="C286" s="319"/>
      <c r="D286" s="319"/>
      <c r="E286" s="318"/>
      <c r="F286" s="319"/>
      <c r="G286" s="318"/>
      <c r="H286" s="319"/>
      <c r="I286" s="318"/>
      <c r="J286" s="319"/>
      <c r="K286" s="319"/>
      <c r="L286" s="360">
        <f t="shared" si="17"/>
        <v>12</v>
      </c>
    </row>
    <row r="287" spans="1:12">
      <c r="A287" s="348">
        <f t="shared" si="16"/>
        <v>0</v>
      </c>
      <c r="B287" s="318"/>
      <c r="C287" s="319"/>
      <c r="D287" s="319"/>
      <c r="E287" s="318"/>
      <c r="F287" s="319"/>
      <c r="G287" s="318"/>
      <c r="H287" s="319"/>
      <c r="I287" s="318"/>
      <c r="J287" s="319"/>
      <c r="K287" s="319"/>
      <c r="L287" s="360">
        <f t="shared" si="17"/>
        <v>12</v>
      </c>
    </row>
    <row r="288" spans="1:12">
      <c r="A288" s="348">
        <f t="shared" si="16"/>
        <v>0</v>
      </c>
      <c r="B288" s="318"/>
      <c r="C288" s="319"/>
      <c r="D288" s="319"/>
      <c r="E288" s="318"/>
      <c r="F288" s="319"/>
      <c r="G288" s="318"/>
      <c r="H288" s="319"/>
      <c r="I288" s="318"/>
      <c r="J288" s="319"/>
      <c r="K288" s="319"/>
      <c r="L288" s="360">
        <f t="shared" si="17"/>
        <v>12</v>
      </c>
    </row>
    <row r="289" spans="1:12">
      <c r="A289" s="348">
        <f t="shared" si="16"/>
        <v>0</v>
      </c>
      <c r="B289" s="318"/>
      <c r="C289" s="319"/>
      <c r="D289" s="319"/>
      <c r="E289" s="318"/>
      <c r="F289" s="319"/>
      <c r="G289" s="318"/>
      <c r="H289" s="319"/>
      <c r="I289" s="318"/>
      <c r="J289" s="319"/>
      <c r="K289" s="319"/>
      <c r="L289" s="360">
        <f t="shared" si="17"/>
        <v>12</v>
      </c>
    </row>
    <row r="290" spans="1:12">
      <c r="A290" s="348">
        <f t="shared" si="16"/>
        <v>0</v>
      </c>
      <c r="B290" s="318"/>
      <c r="C290" s="319"/>
      <c r="D290" s="319"/>
      <c r="E290" s="318"/>
      <c r="F290" s="319"/>
      <c r="G290" s="318"/>
      <c r="H290" s="319"/>
      <c r="I290" s="318"/>
      <c r="J290" s="319"/>
      <c r="K290" s="319"/>
      <c r="L290" s="360">
        <f t="shared" si="17"/>
        <v>12</v>
      </c>
    </row>
    <row r="291" spans="1:12">
      <c r="A291" s="348">
        <f t="shared" si="16"/>
        <v>0</v>
      </c>
      <c r="B291" s="318"/>
      <c r="C291" s="319"/>
      <c r="D291" s="319"/>
      <c r="E291" s="318"/>
      <c r="F291" s="319"/>
      <c r="G291" s="318"/>
      <c r="H291" s="319"/>
      <c r="I291" s="318"/>
      <c r="J291" s="319"/>
      <c r="K291" s="319"/>
      <c r="L291" s="360">
        <f t="shared" si="17"/>
        <v>12</v>
      </c>
    </row>
    <row r="292" spans="1:12">
      <c r="A292" s="348">
        <f t="shared" si="16"/>
        <v>0</v>
      </c>
      <c r="B292" s="318"/>
      <c r="C292" s="319"/>
      <c r="D292" s="319"/>
      <c r="E292" s="318"/>
      <c r="F292" s="319"/>
      <c r="G292" s="318"/>
      <c r="H292" s="319"/>
      <c r="I292" s="318"/>
      <c r="J292" s="319"/>
      <c r="K292" s="319"/>
      <c r="L292" s="360">
        <f t="shared" si="17"/>
        <v>12</v>
      </c>
    </row>
    <row r="293" spans="1:12">
      <c r="A293" s="348">
        <f t="shared" si="16"/>
        <v>0</v>
      </c>
      <c r="B293" s="318"/>
      <c r="C293" s="319"/>
      <c r="D293" s="319"/>
      <c r="E293" s="318"/>
      <c r="F293" s="319"/>
      <c r="G293" s="318"/>
      <c r="H293" s="319"/>
      <c r="I293" s="318"/>
      <c r="J293" s="319"/>
      <c r="K293" s="319"/>
      <c r="L293" s="360">
        <f t="shared" si="17"/>
        <v>12</v>
      </c>
    </row>
    <row r="294" spans="1:12">
      <c r="A294" s="348">
        <f t="shared" si="16"/>
        <v>0</v>
      </c>
      <c r="B294" s="318"/>
      <c r="C294" s="319"/>
      <c r="D294" s="319"/>
      <c r="E294" s="318"/>
      <c r="F294" s="319"/>
      <c r="G294" s="318"/>
      <c r="H294" s="319"/>
      <c r="I294" s="318"/>
      <c r="J294" s="319"/>
      <c r="K294" s="319"/>
      <c r="L294" s="360">
        <f t="shared" si="17"/>
        <v>12</v>
      </c>
    </row>
    <row r="295" spans="1:12">
      <c r="A295" s="348">
        <f t="shared" si="16"/>
        <v>0</v>
      </c>
      <c r="B295" s="318"/>
      <c r="C295" s="319"/>
      <c r="D295" s="319"/>
      <c r="E295" s="318"/>
      <c r="F295" s="319"/>
      <c r="G295" s="318"/>
      <c r="H295" s="319"/>
      <c r="I295" s="318"/>
      <c r="J295" s="319"/>
      <c r="K295" s="319"/>
      <c r="L295" s="360">
        <f t="shared" si="17"/>
        <v>12</v>
      </c>
    </row>
    <row r="296" spans="1:12">
      <c r="A296" s="348">
        <f t="shared" si="16"/>
        <v>0</v>
      </c>
      <c r="B296" s="318"/>
      <c r="C296" s="319"/>
      <c r="D296" s="319"/>
      <c r="E296" s="318"/>
      <c r="F296" s="319"/>
      <c r="G296" s="318"/>
      <c r="H296" s="319"/>
      <c r="I296" s="318"/>
      <c r="J296" s="319"/>
      <c r="K296" s="319"/>
      <c r="L296" s="360">
        <f t="shared" si="17"/>
        <v>12</v>
      </c>
    </row>
    <row r="297" spans="1:12">
      <c r="A297" s="348">
        <f t="shared" si="16"/>
        <v>0</v>
      </c>
      <c r="B297" s="318"/>
      <c r="C297" s="319"/>
      <c r="D297" s="319"/>
      <c r="E297" s="318"/>
      <c r="F297" s="319"/>
      <c r="G297" s="318"/>
      <c r="H297" s="319"/>
      <c r="I297" s="318"/>
      <c r="J297" s="319"/>
      <c r="K297" s="319"/>
      <c r="L297" s="360">
        <f t="shared" si="17"/>
        <v>12</v>
      </c>
    </row>
    <row r="298" spans="1:12">
      <c r="A298" s="348">
        <f t="shared" si="16"/>
        <v>0</v>
      </c>
      <c r="B298" s="318"/>
      <c r="C298" s="319"/>
      <c r="D298" s="319"/>
      <c r="E298" s="318"/>
      <c r="F298" s="319"/>
      <c r="G298" s="318"/>
      <c r="H298" s="319"/>
      <c r="I298" s="318"/>
      <c r="J298" s="319"/>
      <c r="K298" s="319"/>
      <c r="L298" s="360">
        <f t="shared" si="17"/>
        <v>12</v>
      </c>
    </row>
    <row r="299" spans="1:12">
      <c r="A299" s="348">
        <f t="shared" si="16"/>
        <v>0</v>
      </c>
      <c r="B299" s="318"/>
      <c r="C299" s="319"/>
      <c r="D299" s="319"/>
      <c r="E299" s="318"/>
      <c r="F299" s="319"/>
      <c r="G299" s="318"/>
      <c r="H299" s="319"/>
      <c r="I299" s="318"/>
      <c r="J299" s="319"/>
      <c r="K299" s="319"/>
      <c r="L299" s="320"/>
    </row>
    <row r="300" spans="1:12">
      <c r="A300" s="348">
        <f t="shared" si="16"/>
        <v>0</v>
      </c>
      <c r="B300" s="318"/>
      <c r="C300" s="319"/>
      <c r="D300" s="319"/>
      <c r="E300" s="318"/>
      <c r="F300" s="319"/>
      <c r="G300" s="318"/>
      <c r="H300" s="319"/>
      <c r="I300" s="318"/>
      <c r="J300" s="319"/>
      <c r="K300" s="319"/>
      <c r="L300" s="320"/>
    </row>
    <row r="301" spans="1:12">
      <c r="A301" s="348">
        <f t="shared" si="16"/>
        <v>0</v>
      </c>
      <c r="B301" s="318"/>
      <c r="C301" s="319"/>
      <c r="D301" s="319"/>
      <c r="E301" s="318"/>
      <c r="F301" s="319"/>
      <c r="G301" s="318"/>
      <c r="H301" s="319"/>
      <c r="I301" s="318"/>
      <c r="J301" s="319"/>
      <c r="K301" s="319"/>
      <c r="L301" s="320"/>
    </row>
    <row r="302" spans="1:12">
      <c r="A302" s="348">
        <f t="shared" si="16"/>
        <v>0</v>
      </c>
      <c r="B302" s="318"/>
      <c r="C302" s="319"/>
      <c r="D302" s="319"/>
      <c r="E302" s="318"/>
      <c r="F302" s="319"/>
      <c r="G302" s="318"/>
      <c r="H302" s="319"/>
      <c r="I302" s="318"/>
      <c r="J302" s="319"/>
      <c r="K302" s="319"/>
      <c r="L302" s="320"/>
    </row>
    <row r="303" spans="1:12">
      <c r="A303" s="348">
        <f t="shared" si="16"/>
        <v>0</v>
      </c>
      <c r="B303" s="318"/>
      <c r="C303" s="319"/>
      <c r="D303" s="319"/>
      <c r="E303" s="318"/>
      <c r="F303" s="319"/>
      <c r="G303" s="318"/>
      <c r="H303" s="319"/>
      <c r="I303" s="318"/>
      <c r="J303" s="319"/>
      <c r="K303" s="319"/>
      <c r="L303" s="320"/>
    </row>
    <row r="304" spans="1:12" s="319" customFormat="1">
      <c r="A304" s="348">
        <f t="shared" si="16"/>
        <v>0</v>
      </c>
      <c r="B304" s="318"/>
      <c r="E304" s="318"/>
      <c r="G304" s="318"/>
      <c r="I304" s="318"/>
      <c r="L304" s="320"/>
    </row>
    <row r="305" spans="1:12" s="319" customFormat="1">
      <c r="A305" s="348">
        <f t="shared" si="16"/>
        <v>0</v>
      </c>
      <c r="B305" s="318"/>
      <c r="E305" s="318"/>
      <c r="G305" s="318"/>
      <c r="I305" s="318"/>
      <c r="L305" s="320"/>
    </row>
    <row r="306" spans="1:12" s="319" customFormat="1">
      <c r="A306" s="348">
        <f t="shared" si="16"/>
        <v>0</v>
      </c>
      <c r="B306" s="318"/>
      <c r="E306" s="318"/>
      <c r="G306" s="318"/>
      <c r="I306" s="318"/>
      <c r="L306" s="320"/>
    </row>
    <row r="307" spans="1:12" s="319" customFormat="1">
      <c r="A307" s="348">
        <f t="shared" si="16"/>
        <v>0</v>
      </c>
      <c r="B307" s="318"/>
      <c r="E307" s="318"/>
      <c r="G307" s="318"/>
      <c r="I307" s="318"/>
      <c r="L307" s="320"/>
    </row>
    <row r="308" spans="1:12" s="319" customFormat="1">
      <c r="A308" s="348">
        <f t="shared" si="16"/>
        <v>0</v>
      </c>
      <c r="B308" s="318"/>
      <c r="E308" s="318"/>
      <c r="G308" s="318"/>
      <c r="I308" s="318"/>
      <c r="L308" s="320"/>
    </row>
    <row r="309" spans="1:12" s="319" customFormat="1">
      <c r="A309" s="348">
        <f t="shared" si="16"/>
        <v>0</v>
      </c>
      <c r="B309" s="318"/>
      <c r="E309" s="318"/>
      <c r="G309" s="318"/>
      <c r="I309" s="318"/>
      <c r="L309" s="320"/>
    </row>
    <row r="310" spans="1:12" s="319" customFormat="1">
      <c r="A310" s="348">
        <f t="shared" si="16"/>
        <v>0</v>
      </c>
      <c r="B310" s="318"/>
      <c r="E310" s="318"/>
      <c r="G310" s="318"/>
      <c r="I310" s="318"/>
      <c r="L310" s="320"/>
    </row>
    <row r="311" spans="1:12" s="319" customFormat="1">
      <c r="A311" s="348">
        <f t="shared" si="16"/>
        <v>0</v>
      </c>
      <c r="B311" s="318"/>
      <c r="E311" s="318"/>
      <c r="G311" s="318"/>
      <c r="I311" s="318"/>
      <c r="L311" s="320"/>
    </row>
    <row r="312" spans="1:12" s="319" customFormat="1">
      <c r="A312" s="348">
        <f t="shared" si="16"/>
        <v>0</v>
      </c>
      <c r="B312" s="318"/>
      <c r="E312" s="318"/>
      <c r="G312" s="318"/>
      <c r="I312" s="318"/>
      <c r="L312" s="320"/>
    </row>
    <row r="313" spans="1:12" s="319" customFormat="1">
      <c r="A313" s="348">
        <f t="shared" si="16"/>
        <v>0</v>
      </c>
      <c r="B313" s="318"/>
      <c r="E313" s="318"/>
      <c r="G313" s="318"/>
      <c r="I313" s="318"/>
      <c r="L313" s="320"/>
    </row>
    <row r="314" spans="1:12" s="319" customFormat="1">
      <c r="A314" s="348">
        <f t="shared" si="16"/>
        <v>0</v>
      </c>
      <c r="B314" s="318"/>
      <c r="E314" s="318"/>
      <c r="G314" s="318"/>
      <c r="I314" s="318"/>
      <c r="L314" s="320"/>
    </row>
    <row r="315" spans="1:12" s="319" customFormat="1">
      <c r="A315" s="348">
        <f t="shared" si="16"/>
        <v>0</v>
      </c>
      <c r="B315" s="318"/>
      <c r="E315" s="318"/>
      <c r="G315" s="318"/>
      <c r="I315" s="318"/>
      <c r="L315" s="320"/>
    </row>
    <row r="316" spans="1:12" s="319" customFormat="1">
      <c r="A316" s="348">
        <f t="shared" si="16"/>
        <v>0</v>
      </c>
      <c r="B316" s="318"/>
      <c r="E316" s="318"/>
      <c r="G316" s="318"/>
      <c r="I316" s="318"/>
      <c r="L316" s="320"/>
    </row>
    <row r="317" spans="1:12" s="319" customFormat="1">
      <c r="A317" s="348">
        <f t="shared" si="16"/>
        <v>0</v>
      </c>
      <c r="B317" s="318"/>
      <c r="E317" s="318"/>
      <c r="G317" s="318"/>
      <c r="I317" s="318"/>
      <c r="L317" s="320"/>
    </row>
    <row r="318" spans="1:12" s="319" customFormat="1">
      <c r="A318" s="348">
        <f t="shared" si="16"/>
        <v>0</v>
      </c>
      <c r="B318" s="318"/>
      <c r="E318" s="318"/>
      <c r="G318" s="318"/>
      <c r="I318" s="318"/>
      <c r="L318" s="320"/>
    </row>
    <row r="319" spans="1:12" s="319" customFormat="1">
      <c r="A319" s="348">
        <f t="shared" si="16"/>
        <v>0</v>
      </c>
      <c r="B319" s="318"/>
      <c r="E319" s="318"/>
      <c r="G319" s="318"/>
      <c r="I319" s="318"/>
      <c r="L319" s="320"/>
    </row>
    <row r="320" spans="1:12" s="319" customFormat="1">
      <c r="A320" s="348">
        <f t="shared" si="16"/>
        <v>0</v>
      </c>
      <c r="B320" s="318"/>
      <c r="E320" s="318"/>
      <c r="G320" s="318"/>
      <c r="I320" s="318"/>
      <c r="L320" s="320"/>
    </row>
    <row r="321" spans="1:12" s="319" customFormat="1">
      <c r="A321" s="348">
        <f t="shared" si="16"/>
        <v>0</v>
      </c>
      <c r="B321" s="318"/>
      <c r="E321" s="318"/>
      <c r="G321" s="318"/>
      <c r="I321" s="318"/>
      <c r="L321" s="320"/>
    </row>
    <row r="322" spans="1:12" s="319" customFormat="1">
      <c r="A322" s="348">
        <f t="shared" si="16"/>
        <v>0</v>
      </c>
      <c r="B322" s="318"/>
      <c r="E322" s="318"/>
      <c r="G322" s="318"/>
      <c r="I322" s="318"/>
      <c r="L322" s="320"/>
    </row>
    <row r="323" spans="1:12" s="319" customFormat="1">
      <c r="A323" s="348">
        <f t="shared" si="16"/>
        <v>0</v>
      </c>
      <c r="B323" s="318"/>
      <c r="E323" s="318"/>
      <c r="G323" s="318"/>
      <c r="I323" s="318"/>
      <c r="L323" s="320"/>
    </row>
    <row r="324" spans="1:12" s="319" customFormat="1">
      <c r="A324" s="348">
        <f t="shared" si="16"/>
        <v>0</v>
      </c>
      <c r="B324" s="318"/>
      <c r="E324" s="318"/>
      <c r="G324" s="318"/>
      <c r="I324" s="318"/>
      <c r="L324" s="320"/>
    </row>
    <row r="325" spans="1:12" s="319" customFormat="1">
      <c r="A325" s="348">
        <f t="shared" si="16"/>
        <v>0</v>
      </c>
      <c r="B325" s="318"/>
      <c r="E325" s="318"/>
      <c r="G325" s="318"/>
      <c r="I325" s="318"/>
      <c r="L325" s="320"/>
    </row>
    <row r="326" spans="1:12" s="319" customFormat="1">
      <c r="A326" s="348">
        <f t="shared" si="16"/>
        <v>0</v>
      </c>
      <c r="B326" s="318"/>
      <c r="E326" s="318"/>
      <c r="G326" s="318"/>
      <c r="I326" s="318"/>
      <c r="L326" s="320"/>
    </row>
    <row r="327" spans="1:12" s="319" customFormat="1">
      <c r="A327" s="348">
        <f t="shared" si="16"/>
        <v>0</v>
      </c>
      <c r="B327" s="318"/>
      <c r="E327" s="318"/>
      <c r="G327" s="318"/>
      <c r="I327" s="318"/>
      <c r="L327" s="320"/>
    </row>
    <row r="328" spans="1:12" s="319" customFormat="1">
      <c r="A328" s="317"/>
      <c r="B328" s="318"/>
      <c r="E328" s="318"/>
      <c r="G328" s="318"/>
      <c r="I328" s="318"/>
      <c r="L328" s="320"/>
    </row>
    <row r="329" spans="1:12" s="319" customFormat="1">
      <c r="A329" s="317"/>
      <c r="B329" s="318"/>
      <c r="E329" s="318"/>
      <c r="G329" s="318"/>
      <c r="I329" s="318"/>
      <c r="L329" s="320"/>
    </row>
    <row r="330" spans="1:12" s="319" customFormat="1">
      <c r="A330" s="317"/>
      <c r="B330" s="318"/>
      <c r="E330" s="318"/>
      <c r="G330" s="318"/>
      <c r="I330" s="318"/>
      <c r="L330" s="320"/>
    </row>
    <row r="331" spans="1:12" s="319" customFormat="1">
      <c r="A331" s="317"/>
      <c r="B331" s="318"/>
      <c r="E331" s="318"/>
      <c r="G331" s="318"/>
      <c r="I331" s="318"/>
      <c r="L331" s="320"/>
    </row>
    <row r="332" spans="1:12" s="319" customFormat="1">
      <c r="A332" s="317"/>
      <c r="B332" s="318"/>
      <c r="E332" s="318"/>
      <c r="G332" s="318"/>
      <c r="I332" s="318"/>
      <c r="L332" s="320"/>
    </row>
    <row r="333" spans="1:12" s="319" customFormat="1">
      <c r="A333" s="317"/>
      <c r="B333" s="318"/>
      <c r="E333" s="318"/>
      <c r="G333" s="318"/>
      <c r="I333" s="318"/>
      <c r="L333" s="320"/>
    </row>
    <row r="334" spans="1:12" s="319" customFormat="1">
      <c r="A334" s="317"/>
      <c r="B334" s="318"/>
      <c r="E334" s="318"/>
      <c r="G334" s="318"/>
      <c r="I334" s="318"/>
      <c r="L334" s="320"/>
    </row>
    <row r="335" spans="1:12" s="319" customFormat="1">
      <c r="A335" s="317"/>
      <c r="B335" s="318"/>
      <c r="E335" s="318"/>
      <c r="G335" s="318"/>
      <c r="I335" s="318"/>
      <c r="L335" s="320"/>
    </row>
    <row r="336" spans="1:12" s="319" customFormat="1">
      <c r="A336" s="317"/>
      <c r="B336" s="318"/>
      <c r="E336" s="318"/>
      <c r="G336" s="318"/>
      <c r="I336" s="318"/>
      <c r="L336" s="320"/>
    </row>
    <row r="337" spans="1:12" s="319" customFormat="1">
      <c r="A337" s="317"/>
      <c r="B337" s="318"/>
      <c r="E337" s="318"/>
      <c r="G337" s="318"/>
      <c r="I337" s="318"/>
      <c r="L337" s="320"/>
    </row>
    <row r="338" spans="1:12" s="319" customFormat="1">
      <c r="A338" s="317"/>
      <c r="B338" s="318"/>
      <c r="E338" s="318"/>
      <c r="G338" s="318"/>
      <c r="I338" s="318"/>
      <c r="L338" s="320"/>
    </row>
    <row r="339" spans="1:12" s="319" customFormat="1">
      <c r="A339" s="317"/>
      <c r="B339" s="318"/>
      <c r="E339" s="318"/>
      <c r="G339" s="318"/>
      <c r="I339" s="318"/>
      <c r="L339" s="320"/>
    </row>
    <row r="340" spans="1:12" s="319" customFormat="1">
      <c r="A340" s="317"/>
      <c r="B340" s="318"/>
      <c r="E340" s="318"/>
      <c r="G340" s="318"/>
      <c r="I340" s="318"/>
      <c r="L340" s="320"/>
    </row>
    <row r="341" spans="1:12" s="319" customFormat="1">
      <c r="A341" s="317"/>
      <c r="B341" s="318"/>
      <c r="E341" s="318"/>
      <c r="G341" s="318"/>
      <c r="I341" s="318"/>
      <c r="L341" s="320"/>
    </row>
    <row r="342" spans="1:12" s="319" customFormat="1">
      <c r="A342" s="317"/>
      <c r="B342" s="318"/>
      <c r="E342" s="318"/>
      <c r="G342" s="318"/>
      <c r="I342" s="318"/>
      <c r="L342" s="320"/>
    </row>
  </sheetData>
  <mergeCells count="3">
    <mergeCell ref="B6:C6"/>
    <mergeCell ref="C70:J70"/>
    <mergeCell ref="C77:I77"/>
  </mergeCells>
  <pageMargins left="0.511811024" right="0.511811024" top="0.78740157499999996" bottom="0.78740157499999996" header="0.31496062000000002" footer="0.31496062000000002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M429"/>
  <sheetViews>
    <sheetView view="pageBreakPreview" topLeftCell="F76" zoomScale="75" zoomScaleNormal="100" zoomScaleSheetLayoutView="75" zoomScalePageLayoutView="80" workbookViewId="0">
      <selection activeCell="I85" sqref="I85"/>
    </sheetView>
  </sheetViews>
  <sheetFormatPr defaultRowHeight="18.75"/>
  <cols>
    <col min="1" max="5" width="0" style="256" hidden="1" customWidth="1"/>
    <col min="6" max="6" width="13.42578125" style="265" customWidth="1"/>
    <col min="7" max="7" width="13.7109375" style="265" customWidth="1"/>
    <col min="8" max="8" width="85.42578125" style="265" customWidth="1"/>
    <col min="9" max="9" width="34.85546875" style="265" customWidth="1"/>
    <col min="10" max="10" width="31.85546875" style="265" customWidth="1"/>
    <col min="11" max="11" width="11.7109375" style="256" bestFit="1" customWidth="1"/>
    <col min="12" max="12" width="20" style="256" bestFit="1" customWidth="1"/>
    <col min="13" max="13" width="12.28515625" style="256" bestFit="1" customWidth="1"/>
    <col min="14" max="261" width="9.140625" style="256"/>
    <col min="262" max="263" width="8.7109375" style="256" customWidth="1"/>
    <col min="264" max="264" width="57.85546875" style="256" bestFit="1" customWidth="1"/>
    <col min="265" max="266" width="14.7109375" style="256" customWidth="1"/>
    <col min="267" max="267" width="11.7109375" style="256" bestFit="1" customWidth="1"/>
    <col min="268" max="268" width="12.7109375" style="256" bestFit="1" customWidth="1"/>
    <col min="269" max="269" width="12.28515625" style="256" bestFit="1" customWidth="1"/>
    <col min="270" max="517" width="9.140625" style="256"/>
    <col min="518" max="519" width="8.7109375" style="256" customWidth="1"/>
    <col min="520" max="520" width="57.85546875" style="256" bestFit="1" customWidth="1"/>
    <col min="521" max="522" width="14.7109375" style="256" customWidth="1"/>
    <col min="523" max="523" width="11.7109375" style="256" bestFit="1" customWidth="1"/>
    <col min="524" max="524" width="12.7109375" style="256" bestFit="1" customWidth="1"/>
    <col min="525" max="525" width="12.28515625" style="256" bestFit="1" customWidth="1"/>
    <col min="526" max="773" width="9.140625" style="256"/>
    <col min="774" max="775" width="8.7109375" style="256" customWidth="1"/>
    <col min="776" max="776" width="57.85546875" style="256" bestFit="1" customWidth="1"/>
    <col min="777" max="778" width="14.7109375" style="256" customWidth="1"/>
    <col min="779" max="779" width="11.7109375" style="256" bestFit="1" customWidth="1"/>
    <col min="780" max="780" width="12.7109375" style="256" bestFit="1" customWidth="1"/>
    <col min="781" max="781" width="12.28515625" style="256" bestFit="1" customWidth="1"/>
    <col min="782" max="1029" width="9.140625" style="256"/>
    <col min="1030" max="1031" width="8.7109375" style="256" customWidth="1"/>
    <col min="1032" max="1032" width="57.85546875" style="256" bestFit="1" customWidth="1"/>
    <col min="1033" max="1034" width="14.7109375" style="256" customWidth="1"/>
    <col min="1035" max="1035" width="11.7109375" style="256" bestFit="1" customWidth="1"/>
    <col min="1036" max="1036" width="12.7109375" style="256" bestFit="1" customWidth="1"/>
    <col min="1037" max="1037" width="12.28515625" style="256" bestFit="1" customWidth="1"/>
    <col min="1038" max="1285" width="9.140625" style="256"/>
    <col min="1286" max="1287" width="8.7109375" style="256" customWidth="1"/>
    <col min="1288" max="1288" width="57.85546875" style="256" bestFit="1" customWidth="1"/>
    <col min="1289" max="1290" width="14.7109375" style="256" customWidth="1"/>
    <col min="1291" max="1291" width="11.7109375" style="256" bestFit="1" customWidth="1"/>
    <col min="1292" max="1292" width="12.7109375" style="256" bestFit="1" customWidth="1"/>
    <col min="1293" max="1293" width="12.28515625" style="256" bestFit="1" customWidth="1"/>
    <col min="1294" max="1541" width="9.140625" style="256"/>
    <col min="1542" max="1543" width="8.7109375" style="256" customWidth="1"/>
    <col min="1544" max="1544" width="57.85546875" style="256" bestFit="1" customWidth="1"/>
    <col min="1545" max="1546" width="14.7109375" style="256" customWidth="1"/>
    <col min="1547" max="1547" width="11.7109375" style="256" bestFit="1" customWidth="1"/>
    <col min="1548" max="1548" width="12.7109375" style="256" bestFit="1" customWidth="1"/>
    <col min="1549" max="1549" width="12.28515625" style="256" bestFit="1" customWidth="1"/>
    <col min="1550" max="1797" width="9.140625" style="256"/>
    <col min="1798" max="1799" width="8.7109375" style="256" customWidth="1"/>
    <col min="1800" max="1800" width="57.85546875" style="256" bestFit="1" customWidth="1"/>
    <col min="1801" max="1802" width="14.7109375" style="256" customWidth="1"/>
    <col min="1803" max="1803" width="11.7109375" style="256" bestFit="1" customWidth="1"/>
    <col min="1804" max="1804" width="12.7109375" style="256" bestFit="1" customWidth="1"/>
    <col min="1805" max="1805" width="12.28515625" style="256" bestFit="1" customWidth="1"/>
    <col min="1806" max="2053" width="9.140625" style="256"/>
    <col min="2054" max="2055" width="8.7109375" style="256" customWidth="1"/>
    <col min="2056" max="2056" width="57.85546875" style="256" bestFit="1" customWidth="1"/>
    <col min="2057" max="2058" width="14.7109375" style="256" customWidth="1"/>
    <col min="2059" max="2059" width="11.7109375" style="256" bestFit="1" customWidth="1"/>
    <col min="2060" max="2060" width="12.7109375" style="256" bestFit="1" customWidth="1"/>
    <col min="2061" max="2061" width="12.28515625" style="256" bestFit="1" customWidth="1"/>
    <col min="2062" max="2309" width="9.140625" style="256"/>
    <col min="2310" max="2311" width="8.7109375" style="256" customWidth="1"/>
    <col min="2312" max="2312" width="57.85546875" style="256" bestFit="1" customWidth="1"/>
    <col min="2313" max="2314" width="14.7109375" style="256" customWidth="1"/>
    <col min="2315" max="2315" width="11.7109375" style="256" bestFit="1" customWidth="1"/>
    <col min="2316" max="2316" width="12.7109375" style="256" bestFit="1" customWidth="1"/>
    <col min="2317" max="2317" width="12.28515625" style="256" bestFit="1" customWidth="1"/>
    <col min="2318" max="2565" width="9.140625" style="256"/>
    <col min="2566" max="2567" width="8.7109375" style="256" customWidth="1"/>
    <col min="2568" max="2568" width="57.85546875" style="256" bestFit="1" customWidth="1"/>
    <col min="2569" max="2570" width="14.7109375" style="256" customWidth="1"/>
    <col min="2571" max="2571" width="11.7109375" style="256" bestFit="1" customWidth="1"/>
    <col min="2572" max="2572" width="12.7109375" style="256" bestFit="1" customWidth="1"/>
    <col min="2573" max="2573" width="12.28515625" style="256" bestFit="1" customWidth="1"/>
    <col min="2574" max="2821" width="9.140625" style="256"/>
    <col min="2822" max="2823" width="8.7109375" style="256" customWidth="1"/>
    <col min="2824" max="2824" width="57.85546875" style="256" bestFit="1" customWidth="1"/>
    <col min="2825" max="2826" width="14.7109375" style="256" customWidth="1"/>
    <col min="2827" max="2827" width="11.7109375" style="256" bestFit="1" customWidth="1"/>
    <col min="2828" max="2828" width="12.7109375" style="256" bestFit="1" customWidth="1"/>
    <col min="2829" max="2829" width="12.28515625" style="256" bestFit="1" customWidth="1"/>
    <col min="2830" max="3077" width="9.140625" style="256"/>
    <col min="3078" max="3079" width="8.7109375" style="256" customWidth="1"/>
    <col min="3080" max="3080" width="57.85546875" style="256" bestFit="1" customWidth="1"/>
    <col min="3081" max="3082" width="14.7109375" style="256" customWidth="1"/>
    <col min="3083" max="3083" width="11.7109375" style="256" bestFit="1" customWidth="1"/>
    <col min="3084" max="3084" width="12.7109375" style="256" bestFit="1" customWidth="1"/>
    <col min="3085" max="3085" width="12.28515625" style="256" bestFit="1" customWidth="1"/>
    <col min="3086" max="3333" width="9.140625" style="256"/>
    <col min="3334" max="3335" width="8.7109375" style="256" customWidth="1"/>
    <col min="3336" max="3336" width="57.85546875" style="256" bestFit="1" customWidth="1"/>
    <col min="3337" max="3338" width="14.7109375" style="256" customWidth="1"/>
    <col min="3339" max="3339" width="11.7109375" style="256" bestFit="1" customWidth="1"/>
    <col min="3340" max="3340" width="12.7109375" style="256" bestFit="1" customWidth="1"/>
    <col min="3341" max="3341" width="12.28515625" style="256" bestFit="1" customWidth="1"/>
    <col min="3342" max="3589" width="9.140625" style="256"/>
    <col min="3590" max="3591" width="8.7109375" style="256" customWidth="1"/>
    <col min="3592" max="3592" width="57.85546875" style="256" bestFit="1" customWidth="1"/>
    <col min="3593" max="3594" width="14.7109375" style="256" customWidth="1"/>
    <col min="3595" max="3595" width="11.7109375" style="256" bestFit="1" customWidth="1"/>
    <col min="3596" max="3596" width="12.7109375" style="256" bestFit="1" customWidth="1"/>
    <col min="3597" max="3597" width="12.28515625" style="256" bestFit="1" customWidth="1"/>
    <col min="3598" max="3845" width="9.140625" style="256"/>
    <col min="3846" max="3847" width="8.7109375" style="256" customWidth="1"/>
    <col min="3848" max="3848" width="57.85546875" style="256" bestFit="1" customWidth="1"/>
    <col min="3849" max="3850" width="14.7109375" style="256" customWidth="1"/>
    <col min="3851" max="3851" width="11.7109375" style="256" bestFit="1" customWidth="1"/>
    <col min="3852" max="3852" width="12.7109375" style="256" bestFit="1" customWidth="1"/>
    <col min="3853" max="3853" width="12.28515625" style="256" bestFit="1" customWidth="1"/>
    <col min="3854" max="4101" width="9.140625" style="256"/>
    <col min="4102" max="4103" width="8.7109375" style="256" customWidth="1"/>
    <col min="4104" max="4104" width="57.85546875" style="256" bestFit="1" customWidth="1"/>
    <col min="4105" max="4106" width="14.7109375" style="256" customWidth="1"/>
    <col min="4107" max="4107" width="11.7109375" style="256" bestFit="1" customWidth="1"/>
    <col min="4108" max="4108" width="12.7109375" style="256" bestFit="1" customWidth="1"/>
    <col min="4109" max="4109" width="12.28515625" style="256" bestFit="1" customWidth="1"/>
    <col min="4110" max="4357" width="9.140625" style="256"/>
    <col min="4358" max="4359" width="8.7109375" style="256" customWidth="1"/>
    <col min="4360" max="4360" width="57.85546875" style="256" bestFit="1" customWidth="1"/>
    <col min="4361" max="4362" width="14.7109375" style="256" customWidth="1"/>
    <col min="4363" max="4363" width="11.7109375" style="256" bestFit="1" customWidth="1"/>
    <col min="4364" max="4364" width="12.7109375" style="256" bestFit="1" customWidth="1"/>
    <col min="4365" max="4365" width="12.28515625" style="256" bestFit="1" customWidth="1"/>
    <col min="4366" max="4613" width="9.140625" style="256"/>
    <col min="4614" max="4615" width="8.7109375" style="256" customWidth="1"/>
    <col min="4616" max="4616" width="57.85546875" style="256" bestFit="1" customWidth="1"/>
    <col min="4617" max="4618" width="14.7109375" style="256" customWidth="1"/>
    <col min="4619" max="4619" width="11.7109375" style="256" bestFit="1" customWidth="1"/>
    <col min="4620" max="4620" width="12.7109375" style="256" bestFit="1" customWidth="1"/>
    <col min="4621" max="4621" width="12.28515625" style="256" bestFit="1" customWidth="1"/>
    <col min="4622" max="4869" width="9.140625" style="256"/>
    <col min="4870" max="4871" width="8.7109375" style="256" customWidth="1"/>
    <col min="4872" max="4872" width="57.85546875" style="256" bestFit="1" customWidth="1"/>
    <col min="4873" max="4874" width="14.7109375" style="256" customWidth="1"/>
    <col min="4875" max="4875" width="11.7109375" style="256" bestFit="1" customWidth="1"/>
    <col min="4876" max="4876" width="12.7109375" style="256" bestFit="1" customWidth="1"/>
    <col min="4877" max="4877" width="12.28515625" style="256" bestFit="1" customWidth="1"/>
    <col min="4878" max="5125" width="9.140625" style="256"/>
    <col min="5126" max="5127" width="8.7109375" style="256" customWidth="1"/>
    <col min="5128" max="5128" width="57.85546875" style="256" bestFit="1" customWidth="1"/>
    <col min="5129" max="5130" width="14.7109375" style="256" customWidth="1"/>
    <col min="5131" max="5131" width="11.7109375" style="256" bestFit="1" customWidth="1"/>
    <col min="5132" max="5132" width="12.7109375" style="256" bestFit="1" customWidth="1"/>
    <col min="5133" max="5133" width="12.28515625" style="256" bestFit="1" customWidth="1"/>
    <col min="5134" max="5381" width="9.140625" style="256"/>
    <col min="5382" max="5383" width="8.7109375" style="256" customWidth="1"/>
    <col min="5384" max="5384" width="57.85546875" style="256" bestFit="1" customWidth="1"/>
    <col min="5385" max="5386" width="14.7109375" style="256" customWidth="1"/>
    <col min="5387" max="5387" width="11.7109375" style="256" bestFit="1" customWidth="1"/>
    <col min="5388" max="5388" width="12.7109375" style="256" bestFit="1" customWidth="1"/>
    <col min="5389" max="5389" width="12.28515625" style="256" bestFit="1" customWidth="1"/>
    <col min="5390" max="5637" width="9.140625" style="256"/>
    <col min="5638" max="5639" width="8.7109375" style="256" customWidth="1"/>
    <col min="5640" max="5640" width="57.85546875" style="256" bestFit="1" customWidth="1"/>
    <col min="5641" max="5642" width="14.7109375" style="256" customWidth="1"/>
    <col min="5643" max="5643" width="11.7109375" style="256" bestFit="1" customWidth="1"/>
    <col min="5644" max="5644" width="12.7109375" style="256" bestFit="1" customWidth="1"/>
    <col min="5645" max="5645" width="12.28515625" style="256" bestFit="1" customWidth="1"/>
    <col min="5646" max="5893" width="9.140625" style="256"/>
    <col min="5894" max="5895" width="8.7109375" style="256" customWidth="1"/>
    <col min="5896" max="5896" width="57.85546875" style="256" bestFit="1" customWidth="1"/>
    <col min="5897" max="5898" width="14.7109375" style="256" customWidth="1"/>
    <col min="5899" max="5899" width="11.7109375" style="256" bestFit="1" customWidth="1"/>
    <col min="5900" max="5900" width="12.7109375" style="256" bestFit="1" customWidth="1"/>
    <col min="5901" max="5901" width="12.28515625" style="256" bestFit="1" customWidth="1"/>
    <col min="5902" max="6149" width="9.140625" style="256"/>
    <col min="6150" max="6151" width="8.7109375" style="256" customWidth="1"/>
    <col min="6152" max="6152" width="57.85546875" style="256" bestFit="1" customWidth="1"/>
    <col min="6153" max="6154" width="14.7109375" style="256" customWidth="1"/>
    <col min="6155" max="6155" width="11.7109375" style="256" bestFit="1" customWidth="1"/>
    <col min="6156" max="6156" width="12.7109375" style="256" bestFit="1" customWidth="1"/>
    <col min="6157" max="6157" width="12.28515625" style="256" bestFit="1" customWidth="1"/>
    <col min="6158" max="6405" width="9.140625" style="256"/>
    <col min="6406" max="6407" width="8.7109375" style="256" customWidth="1"/>
    <col min="6408" max="6408" width="57.85546875" style="256" bestFit="1" customWidth="1"/>
    <col min="6409" max="6410" width="14.7109375" style="256" customWidth="1"/>
    <col min="6411" max="6411" width="11.7109375" style="256" bestFit="1" customWidth="1"/>
    <col min="6412" max="6412" width="12.7109375" style="256" bestFit="1" customWidth="1"/>
    <col min="6413" max="6413" width="12.28515625" style="256" bestFit="1" customWidth="1"/>
    <col min="6414" max="6661" width="9.140625" style="256"/>
    <col min="6662" max="6663" width="8.7109375" style="256" customWidth="1"/>
    <col min="6664" max="6664" width="57.85546875" style="256" bestFit="1" customWidth="1"/>
    <col min="6665" max="6666" width="14.7109375" style="256" customWidth="1"/>
    <col min="6667" max="6667" width="11.7109375" style="256" bestFit="1" customWidth="1"/>
    <col min="6668" max="6668" width="12.7109375" style="256" bestFit="1" customWidth="1"/>
    <col min="6669" max="6669" width="12.28515625" style="256" bestFit="1" customWidth="1"/>
    <col min="6670" max="6917" width="9.140625" style="256"/>
    <col min="6918" max="6919" width="8.7109375" style="256" customWidth="1"/>
    <col min="6920" max="6920" width="57.85546875" style="256" bestFit="1" customWidth="1"/>
    <col min="6921" max="6922" width="14.7109375" style="256" customWidth="1"/>
    <col min="6923" max="6923" width="11.7109375" style="256" bestFit="1" customWidth="1"/>
    <col min="6924" max="6924" width="12.7109375" style="256" bestFit="1" customWidth="1"/>
    <col min="6925" max="6925" width="12.28515625" style="256" bestFit="1" customWidth="1"/>
    <col min="6926" max="7173" width="9.140625" style="256"/>
    <col min="7174" max="7175" width="8.7109375" style="256" customWidth="1"/>
    <col min="7176" max="7176" width="57.85546875" style="256" bestFit="1" customWidth="1"/>
    <col min="7177" max="7178" width="14.7109375" style="256" customWidth="1"/>
    <col min="7179" max="7179" width="11.7109375" style="256" bestFit="1" customWidth="1"/>
    <col min="7180" max="7180" width="12.7109375" style="256" bestFit="1" customWidth="1"/>
    <col min="7181" max="7181" width="12.28515625" style="256" bestFit="1" customWidth="1"/>
    <col min="7182" max="7429" width="9.140625" style="256"/>
    <col min="7430" max="7431" width="8.7109375" style="256" customWidth="1"/>
    <col min="7432" max="7432" width="57.85546875" style="256" bestFit="1" customWidth="1"/>
    <col min="7433" max="7434" width="14.7109375" style="256" customWidth="1"/>
    <col min="7435" max="7435" width="11.7109375" style="256" bestFit="1" customWidth="1"/>
    <col min="7436" max="7436" width="12.7109375" style="256" bestFit="1" customWidth="1"/>
    <col min="7437" max="7437" width="12.28515625" style="256" bestFit="1" customWidth="1"/>
    <col min="7438" max="7685" width="9.140625" style="256"/>
    <col min="7686" max="7687" width="8.7109375" style="256" customWidth="1"/>
    <col min="7688" max="7688" width="57.85546875" style="256" bestFit="1" customWidth="1"/>
    <col min="7689" max="7690" width="14.7109375" style="256" customWidth="1"/>
    <col min="7691" max="7691" width="11.7109375" style="256" bestFit="1" customWidth="1"/>
    <col min="7692" max="7692" width="12.7109375" style="256" bestFit="1" customWidth="1"/>
    <col min="7693" max="7693" width="12.28515625" style="256" bestFit="1" customWidth="1"/>
    <col min="7694" max="7941" width="9.140625" style="256"/>
    <col min="7942" max="7943" width="8.7109375" style="256" customWidth="1"/>
    <col min="7944" max="7944" width="57.85546875" style="256" bestFit="1" customWidth="1"/>
    <col min="7945" max="7946" width="14.7109375" style="256" customWidth="1"/>
    <col min="7947" max="7947" width="11.7109375" style="256" bestFit="1" customWidth="1"/>
    <col min="7948" max="7948" width="12.7109375" style="256" bestFit="1" customWidth="1"/>
    <col min="7949" max="7949" width="12.28515625" style="256" bestFit="1" customWidth="1"/>
    <col min="7950" max="8197" width="9.140625" style="256"/>
    <col min="8198" max="8199" width="8.7109375" style="256" customWidth="1"/>
    <col min="8200" max="8200" width="57.85546875" style="256" bestFit="1" customWidth="1"/>
    <col min="8201" max="8202" width="14.7109375" style="256" customWidth="1"/>
    <col min="8203" max="8203" width="11.7109375" style="256" bestFit="1" customWidth="1"/>
    <col min="8204" max="8204" width="12.7109375" style="256" bestFit="1" customWidth="1"/>
    <col min="8205" max="8205" width="12.28515625" style="256" bestFit="1" customWidth="1"/>
    <col min="8206" max="8453" width="9.140625" style="256"/>
    <col min="8454" max="8455" width="8.7109375" style="256" customWidth="1"/>
    <col min="8456" max="8456" width="57.85546875" style="256" bestFit="1" customWidth="1"/>
    <col min="8457" max="8458" width="14.7109375" style="256" customWidth="1"/>
    <col min="8459" max="8459" width="11.7109375" style="256" bestFit="1" customWidth="1"/>
    <col min="8460" max="8460" width="12.7109375" style="256" bestFit="1" customWidth="1"/>
    <col min="8461" max="8461" width="12.28515625" style="256" bestFit="1" customWidth="1"/>
    <col min="8462" max="8709" width="9.140625" style="256"/>
    <col min="8710" max="8711" width="8.7109375" style="256" customWidth="1"/>
    <col min="8712" max="8712" width="57.85546875" style="256" bestFit="1" customWidth="1"/>
    <col min="8713" max="8714" width="14.7109375" style="256" customWidth="1"/>
    <col min="8715" max="8715" width="11.7109375" style="256" bestFit="1" customWidth="1"/>
    <col min="8716" max="8716" width="12.7109375" style="256" bestFit="1" customWidth="1"/>
    <col min="8717" max="8717" width="12.28515625" style="256" bestFit="1" customWidth="1"/>
    <col min="8718" max="8965" width="9.140625" style="256"/>
    <col min="8966" max="8967" width="8.7109375" style="256" customWidth="1"/>
    <col min="8968" max="8968" width="57.85546875" style="256" bestFit="1" customWidth="1"/>
    <col min="8969" max="8970" width="14.7109375" style="256" customWidth="1"/>
    <col min="8971" max="8971" width="11.7109375" style="256" bestFit="1" customWidth="1"/>
    <col min="8972" max="8972" width="12.7109375" style="256" bestFit="1" customWidth="1"/>
    <col min="8973" max="8973" width="12.28515625" style="256" bestFit="1" customWidth="1"/>
    <col min="8974" max="9221" width="9.140625" style="256"/>
    <col min="9222" max="9223" width="8.7109375" style="256" customWidth="1"/>
    <col min="9224" max="9224" width="57.85546875" style="256" bestFit="1" customWidth="1"/>
    <col min="9225" max="9226" width="14.7109375" style="256" customWidth="1"/>
    <col min="9227" max="9227" width="11.7109375" style="256" bestFit="1" customWidth="1"/>
    <col min="9228" max="9228" width="12.7109375" style="256" bestFit="1" customWidth="1"/>
    <col min="9229" max="9229" width="12.28515625" style="256" bestFit="1" customWidth="1"/>
    <col min="9230" max="9477" width="9.140625" style="256"/>
    <col min="9478" max="9479" width="8.7109375" style="256" customWidth="1"/>
    <col min="9480" max="9480" width="57.85546875" style="256" bestFit="1" customWidth="1"/>
    <col min="9481" max="9482" width="14.7109375" style="256" customWidth="1"/>
    <col min="9483" max="9483" width="11.7109375" style="256" bestFit="1" customWidth="1"/>
    <col min="9484" max="9484" width="12.7109375" style="256" bestFit="1" customWidth="1"/>
    <col min="9485" max="9485" width="12.28515625" style="256" bestFit="1" customWidth="1"/>
    <col min="9486" max="9733" width="9.140625" style="256"/>
    <col min="9734" max="9735" width="8.7109375" style="256" customWidth="1"/>
    <col min="9736" max="9736" width="57.85546875" style="256" bestFit="1" customWidth="1"/>
    <col min="9737" max="9738" width="14.7109375" style="256" customWidth="1"/>
    <col min="9739" max="9739" width="11.7109375" style="256" bestFit="1" customWidth="1"/>
    <col min="9740" max="9740" width="12.7109375" style="256" bestFit="1" customWidth="1"/>
    <col min="9741" max="9741" width="12.28515625" style="256" bestFit="1" customWidth="1"/>
    <col min="9742" max="9989" width="9.140625" style="256"/>
    <col min="9990" max="9991" width="8.7109375" style="256" customWidth="1"/>
    <col min="9992" max="9992" width="57.85546875" style="256" bestFit="1" customWidth="1"/>
    <col min="9993" max="9994" width="14.7109375" style="256" customWidth="1"/>
    <col min="9995" max="9995" width="11.7109375" style="256" bestFit="1" customWidth="1"/>
    <col min="9996" max="9996" width="12.7109375" style="256" bestFit="1" customWidth="1"/>
    <col min="9997" max="9997" width="12.28515625" style="256" bestFit="1" customWidth="1"/>
    <col min="9998" max="10245" width="9.140625" style="256"/>
    <col min="10246" max="10247" width="8.7109375" style="256" customWidth="1"/>
    <col min="10248" max="10248" width="57.85546875" style="256" bestFit="1" customWidth="1"/>
    <col min="10249" max="10250" width="14.7109375" style="256" customWidth="1"/>
    <col min="10251" max="10251" width="11.7109375" style="256" bestFit="1" customWidth="1"/>
    <col min="10252" max="10252" width="12.7109375" style="256" bestFit="1" customWidth="1"/>
    <col min="10253" max="10253" width="12.28515625" style="256" bestFit="1" customWidth="1"/>
    <col min="10254" max="10501" width="9.140625" style="256"/>
    <col min="10502" max="10503" width="8.7109375" style="256" customWidth="1"/>
    <col min="10504" max="10504" width="57.85546875" style="256" bestFit="1" customWidth="1"/>
    <col min="10505" max="10506" width="14.7109375" style="256" customWidth="1"/>
    <col min="10507" max="10507" width="11.7109375" style="256" bestFit="1" customWidth="1"/>
    <col min="10508" max="10508" width="12.7109375" style="256" bestFit="1" customWidth="1"/>
    <col min="10509" max="10509" width="12.28515625" style="256" bestFit="1" customWidth="1"/>
    <col min="10510" max="10757" width="9.140625" style="256"/>
    <col min="10758" max="10759" width="8.7109375" style="256" customWidth="1"/>
    <col min="10760" max="10760" width="57.85546875" style="256" bestFit="1" customWidth="1"/>
    <col min="10761" max="10762" width="14.7109375" style="256" customWidth="1"/>
    <col min="10763" max="10763" width="11.7109375" style="256" bestFit="1" customWidth="1"/>
    <col min="10764" max="10764" width="12.7109375" style="256" bestFit="1" customWidth="1"/>
    <col min="10765" max="10765" width="12.28515625" style="256" bestFit="1" customWidth="1"/>
    <col min="10766" max="11013" width="9.140625" style="256"/>
    <col min="11014" max="11015" width="8.7109375" style="256" customWidth="1"/>
    <col min="11016" max="11016" width="57.85546875" style="256" bestFit="1" customWidth="1"/>
    <col min="11017" max="11018" width="14.7109375" style="256" customWidth="1"/>
    <col min="11019" max="11019" width="11.7109375" style="256" bestFit="1" customWidth="1"/>
    <col min="11020" max="11020" width="12.7109375" style="256" bestFit="1" customWidth="1"/>
    <col min="11021" max="11021" width="12.28515625" style="256" bestFit="1" customWidth="1"/>
    <col min="11022" max="11269" width="9.140625" style="256"/>
    <col min="11270" max="11271" width="8.7109375" style="256" customWidth="1"/>
    <col min="11272" max="11272" width="57.85546875" style="256" bestFit="1" customWidth="1"/>
    <col min="11273" max="11274" width="14.7109375" style="256" customWidth="1"/>
    <col min="11275" max="11275" width="11.7109375" style="256" bestFit="1" customWidth="1"/>
    <col min="11276" max="11276" width="12.7109375" style="256" bestFit="1" customWidth="1"/>
    <col min="11277" max="11277" width="12.28515625" style="256" bestFit="1" customWidth="1"/>
    <col min="11278" max="11525" width="9.140625" style="256"/>
    <col min="11526" max="11527" width="8.7109375" style="256" customWidth="1"/>
    <col min="11528" max="11528" width="57.85546875" style="256" bestFit="1" customWidth="1"/>
    <col min="11529" max="11530" width="14.7109375" style="256" customWidth="1"/>
    <col min="11531" max="11531" width="11.7109375" style="256" bestFit="1" customWidth="1"/>
    <col min="11532" max="11532" width="12.7109375" style="256" bestFit="1" customWidth="1"/>
    <col min="11533" max="11533" width="12.28515625" style="256" bestFit="1" customWidth="1"/>
    <col min="11534" max="11781" width="9.140625" style="256"/>
    <col min="11782" max="11783" width="8.7109375" style="256" customWidth="1"/>
    <col min="11784" max="11784" width="57.85546875" style="256" bestFit="1" customWidth="1"/>
    <col min="11785" max="11786" width="14.7109375" style="256" customWidth="1"/>
    <col min="11787" max="11787" width="11.7109375" style="256" bestFit="1" customWidth="1"/>
    <col min="11788" max="11788" width="12.7109375" style="256" bestFit="1" customWidth="1"/>
    <col min="11789" max="11789" width="12.28515625" style="256" bestFit="1" customWidth="1"/>
    <col min="11790" max="12037" width="9.140625" style="256"/>
    <col min="12038" max="12039" width="8.7109375" style="256" customWidth="1"/>
    <col min="12040" max="12040" width="57.85546875" style="256" bestFit="1" customWidth="1"/>
    <col min="12041" max="12042" width="14.7109375" style="256" customWidth="1"/>
    <col min="12043" max="12043" width="11.7109375" style="256" bestFit="1" customWidth="1"/>
    <col min="12044" max="12044" width="12.7109375" style="256" bestFit="1" customWidth="1"/>
    <col min="12045" max="12045" width="12.28515625" style="256" bestFit="1" customWidth="1"/>
    <col min="12046" max="12293" width="9.140625" style="256"/>
    <col min="12294" max="12295" width="8.7109375" style="256" customWidth="1"/>
    <col min="12296" max="12296" width="57.85546875" style="256" bestFit="1" customWidth="1"/>
    <col min="12297" max="12298" width="14.7109375" style="256" customWidth="1"/>
    <col min="12299" max="12299" width="11.7109375" style="256" bestFit="1" customWidth="1"/>
    <col min="12300" max="12300" width="12.7109375" style="256" bestFit="1" customWidth="1"/>
    <col min="12301" max="12301" width="12.28515625" style="256" bestFit="1" customWidth="1"/>
    <col min="12302" max="12549" width="9.140625" style="256"/>
    <col min="12550" max="12551" width="8.7109375" style="256" customWidth="1"/>
    <col min="12552" max="12552" width="57.85546875" style="256" bestFit="1" customWidth="1"/>
    <col min="12553" max="12554" width="14.7109375" style="256" customWidth="1"/>
    <col min="12555" max="12555" width="11.7109375" style="256" bestFit="1" customWidth="1"/>
    <col min="12556" max="12556" width="12.7109375" style="256" bestFit="1" customWidth="1"/>
    <col min="12557" max="12557" width="12.28515625" style="256" bestFit="1" customWidth="1"/>
    <col min="12558" max="12805" width="9.140625" style="256"/>
    <col min="12806" max="12807" width="8.7109375" style="256" customWidth="1"/>
    <col min="12808" max="12808" width="57.85546875" style="256" bestFit="1" customWidth="1"/>
    <col min="12809" max="12810" width="14.7109375" style="256" customWidth="1"/>
    <col min="12811" max="12811" width="11.7109375" style="256" bestFit="1" customWidth="1"/>
    <col min="12812" max="12812" width="12.7109375" style="256" bestFit="1" customWidth="1"/>
    <col min="12813" max="12813" width="12.28515625" style="256" bestFit="1" customWidth="1"/>
    <col min="12814" max="13061" width="9.140625" style="256"/>
    <col min="13062" max="13063" width="8.7109375" style="256" customWidth="1"/>
    <col min="13064" max="13064" width="57.85546875" style="256" bestFit="1" customWidth="1"/>
    <col min="13065" max="13066" width="14.7109375" style="256" customWidth="1"/>
    <col min="13067" max="13067" width="11.7109375" style="256" bestFit="1" customWidth="1"/>
    <col min="13068" max="13068" width="12.7109375" style="256" bestFit="1" customWidth="1"/>
    <col min="13069" max="13069" width="12.28515625" style="256" bestFit="1" customWidth="1"/>
    <col min="13070" max="13317" width="9.140625" style="256"/>
    <col min="13318" max="13319" width="8.7109375" style="256" customWidth="1"/>
    <col min="13320" max="13320" width="57.85546875" style="256" bestFit="1" customWidth="1"/>
    <col min="13321" max="13322" width="14.7109375" style="256" customWidth="1"/>
    <col min="13323" max="13323" width="11.7109375" style="256" bestFit="1" customWidth="1"/>
    <col min="13324" max="13324" width="12.7109375" style="256" bestFit="1" customWidth="1"/>
    <col min="13325" max="13325" width="12.28515625" style="256" bestFit="1" customWidth="1"/>
    <col min="13326" max="13573" width="9.140625" style="256"/>
    <col min="13574" max="13575" width="8.7109375" style="256" customWidth="1"/>
    <col min="13576" max="13576" width="57.85546875" style="256" bestFit="1" customWidth="1"/>
    <col min="13577" max="13578" width="14.7109375" style="256" customWidth="1"/>
    <col min="13579" max="13579" width="11.7109375" style="256" bestFit="1" customWidth="1"/>
    <col min="13580" max="13580" width="12.7109375" style="256" bestFit="1" customWidth="1"/>
    <col min="13581" max="13581" width="12.28515625" style="256" bestFit="1" customWidth="1"/>
    <col min="13582" max="13829" width="9.140625" style="256"/>
    <col min="13830" max="13831" width="8.7109375" style="256" customWidth="1"/>
    <col min="13832" max="13832" width="57.85546875" style="256" bestFit="1" customWidth="1"/>
    <col min="13833" max="13834" width="14.7109375" style="256" customWidth="1"/>
    <col min="13835" max="13835" width="11.7109375" style="256" bestFit="1" customWidth="1"/>
    <col min="13836" max="13836" width="12.7109375" style="256" bestFit="1" customWidth="1"/>
    <col min="13837" max="13837" width="12.28515625" style="256" bestFit="1" customWidth="1"/>
    <col min="13838" max="14085" width="9.140625" style="256"/>
    <col min="14086" max="14087" width="8.7109375" style="256" customWidth="1"/>
    <col min="14088" max="14088" width="57.85546875" style="256" bestFit="1" customWidth="1"/>
    <col min="14089" max="14090" width="14.7109375" style="256" customWidth="1"/>
    <col min="14091" max="14091" width="11.7109375" style="256" bestFit="1" customWidth="1"/>
    <col min="14092" max="14092" width="12.7109375" style="256" bestFit="1" customWidth="1"/>
    <col min="14093" max="14093" width="12.28515625" style="256" bestFit="1" customWidth="1"/>
    <col min="14094" max="14341" width="9.140625" style="256"/>
    <col min="14342" max="14343" width="8.7109375" style="256" customWidth="1"/>
    <col min="14344" max="14344" width="57.85546875" style="256" bestFit="1" customWidth="1"/>
    <col min="14345" max="14346" width="14.7109375" style="256" customWidth="1"/>
    <col min="14347" max="14347" width="11.7109375" style="256" bestFit="1" customWidth="1"/>
    <col min="14348" max="14348" width="12.7109375" style="256" bestFit="1" customWidth="1"/>
    <col min="14349" max="14349" width="12.28515625" style="256" bestFit="1" customWidth="1"/>
    <col min="14350" max="14597" width="9.140625" style="256"/>
    <col min="14598" max="14599" width="8.7109375" style="256" customWidth="1"/>
    <col min="14600" max="14600" width="57.85546875" style="256" bestFit="1" customWidth="1"/>
    <col min="14601" max="14602" width="14.7109375" style="256" customWidth="1"/>
    <col min="14603" max="14603" width="11.7109375" style="256" bestFit="1" customWidth="1"/>
    <col min="14604" max="14604" width="12.7109375" style="256" bestFit="1" customWidth="1"/>
    <col min="14605" max="14605" width="12.28515625" style="256" bestFit="1" customWidth="1"/>
    <col min="14606" max="14853" width="9.140625" style="256"/>
    <col min="14854" max="14855" width="8.7109375" style="256" customWidth="1"/>
    <col min="14856" max="14856" width="57.85546875" style="256" bestFit="1" customWidth="1"/>
    <col min="14857" max="14858" width="14.7109375" style="256" customWidth="1"/>
    <col min="14859" max="14859" width="11.7109375" style="256" bestFit="1" customWidth="1"/>
    <col min="14860" max="14860" width="12.7109375" style="256" bestFit="1" customWidth="1"/>
    <col min="14861" max="14861" width="12.28515625" style="256" bestFit="1" customWidth="1"/>
    <col min="14862" max="15109" width="9.140625" style="256"/>
    <col min="15110" max="15111" width="8.7109375" style="256" customWidth="1"/>
    <col min="15112" max="15112" width="57.85546875" style="256" bestFit="1" customWidth="1"/>
    <col min="15113" max="15114" width="14.7109375" style="256" customWidth="1"/>
    <col min="15115" max="15115" width="11.7109375" style="256" bestFit="1" customWidth="1"/>
    <col min="15116" max="15116" width="12.7109375" style="256" bestFit="1" customWidth="1"/>
    <col min="15117" max="15117" width="12.28515625" style="256" bestFit="1" customWidth="1"/>
    <col min="15118" max="15365" width="9.140625" style="256"/>
    <col min="15366" max="15367" width="8.7109375" style="256" customWidth="1"/>
    <col min="15368" max="15368" width="57.85546875" style="256" bestFit="1" customWidth="1"/>
    <col min="15369" max="15370" width="14.7109375" style="256" customWidth="1"/>
    <col min="15371" max="15371" width="11.7109375" style="256" bestFit="1" customWidth="1"/>
    <col min="15372" max="15372" width="12.7109375" style="256" bestFit="1" customWidth="1"/>
    <col min="15373" max="15373" width="12.28515625" style="256" bestFit="1" customWidth="1"/>
    <col min="15374" max="15621" width="9.140625" style="256"/>
    <col min="15622" max="15623" width="8.7109375" style="256" customWidth="1"/>
    <col min="15624" max="15624" width="57.85546875" style="256" bestFit="1" customWidth="1"/>
    <col min="15625" max="15626" width="14.7109375" style="256" customWidth="1"/>
    <col min="15627" max="15627" width="11.7109375" style="256" bestFit="1" customWidth="1"/>
    <col min="15628" max="15628" width="12.7109375" style="256" bestFit="1" customWidth="1"/>
    <col min="15629" max="15629" width="12.28515625" style="256" bestFit="1" customWidth="1"/>
    <col min="15630" max="15877" width="9.140625" style="256"/>
    <col min="15878" max="15879" width="8.7109375" style="256" customWidth="1"/>
    <col min="15880" max="15880" width="57.85546875" style="256" bestFit="1" customWidth="1"/>
    <col min="15881" max="15882" width="14.7109375" style="256" customWidth="1"/>
    <col min="15883" max="15883" width="11.7109375" style="256" bestFit="1" customWidth="1"/>
    <col min="15884" max="15884" width="12.7109375" style="256" bestFit="1" customWidth="1"/>
    <col min="15885" max="15885" width="12.28515625" style="256" bestFit="1" customWidth="1"/>
    <col min="15886" max="16133" width="9.140625" style="256"/>
    <col min="16134" max="16135" width="8.7109375" style="256" customWidth="1"/>
    <col min="16136" max="16136" width="57.85546875" style="256" bestFit="1" customWidth="1"/>
    <col min="16137" max="16138" width="14.7109375" style="256" customWidth="1"/>
    <col min="16139" max="16139" width="11.7109375" style="256" bestFit="1" customWidth="1"/>
    <col min="16140" max="16140" width="12.7109375" style="256" bestFit="1" customWidth="1"/>
    <col min="16141" max="16141" width="12.28515625" style="256" bestFit="1" customWidth="1"/>
    <col min="16142" max="16384" width="9.140625" style="256"/>
  </cols>
  <sheetData>
    <row r="1" spans="1:13" ht="20.25" thickTop="1" thickBot="1">
      <c r="F1" s="257" t="s">
        <v>58</v>
      </c>
      <c r="G1" s="258"/>
      <c r="H1" s="259" t="s">
        <v>1</v>
      </c>
      <c r="I1" s="260" t="s">
        <v>2</v>
      </c>
      <c r="J1" s="260" t="s">
        <v>3</v>
      </c>
      <c r="K1" s="261"/>
      <c r="L1" s="261"/>
      <c r="M1" s="262"/>
    </row>
    <row r="2" spans="1:13" ht="21" customHeight="1">
      <c r="A2" s="263"/>
      <c r="B2" s="265"/>
      <c r="C2" s="265"/>
      <c r="D2" s="265"/>
      <c r="E2" s="265"/>
      <c r="F2" s="263">
        <v>1</v>
      </c>
      <c r="G2" s="270" t="s">
        <v>4</v>
      </c>
      <c r="H2" s="268" t="s">
        <v>11</v>
      </c>
      <c r="I2" s="269">
        <v>1500000</v>
      </c>
      <c r="J2" s="264"/>
      <c r="K2" s="265"/>
      <c r="L2" s="265"/>
      <c r="M2" s="266"/>
    </row>
    <row r="3" spans="1:13" ht="21" customHeight="1">
      <c r="A3" s="263"/>
      <c r="B3" s="265"/>
      <c r="C3" s="265"/>
      <c r="D3" s="265"/>
      <c r="E3" s="265"/>
      <c r="F3" s="263">
        <v>1</v>
      </c>
      <c r="G3" s="270" t="s">
        <v>4</v>
      </c>
      <c r="H3" s="268" t="s">
        <v>12</v>
      </c>
      <c r="I3" s="269">
        <v>1500000</v>
      </c>
      <c r="J3" s="264"/>
      <c r="K3" s="265"/>
      <c r="L3" s="265"/>
      <c r="M3" s="266"/>
    </row>
    <row r="4" spans="1:13" ht="21" customHeight="1">
      <c r="A4" s="263"/>
      <c r="B4" s="265"/>
      <c r="C4" s="265"/>
      <c r="D4" s="265"/>
      <c r="E4" s="265"/>
      <c r="F4" s="263">
        <v>1</v>
      </c>
      <c r="G4" s="267" t="s">
        <v>5</v>
      </c>
      <c r="H4" s="268" t="s">
        <v>6</v>
      </c>
      <c r="I4" s="264"/>
      <c r="J4" s="269">
        <f>SUM(I2:I3)</f>
        <v>3000000</v>
      </c>
      <c r="K4" s="265"/>
      <c r="L4" s="271"/>
      <c r="M4" s="272"/>
    </row>
    <row r="5" spans="1:13" ht="21" customHeight="1">
      <c r="A5" s="263"/>
      <c r="B5" s="265"/>
      <c r="C5" s="265"/>
      <c r="D5" s="265"/>
      <c r="E5" s="265"/>
      <c r="F5" s="263"/>
      <c r="G5" s="267"/>
      <c r="H5" s="273" t="s">
        <v>13</v>
      </c>
      <c r="I5" s="264"/>
      <c r="J5" s="264"/>
      <c r="K5" s="265"/>
      <c r="L5" s="265"/>
      <c r="M5" s="266"/>
    </row>
    <row r="6" spans="1:13" ht="21" customHeight="1">
      <c r="A6" s="263"/>
      <c r="B6" s="265"/>
      <c r="C6" s="265"/>
      <c r="D6" s="265"/>
      <c r="E6" s="265"/>
      <c r="F6" s="263"/>
      <c r="G6" s="267"/>
      <c r="H6" s="273"/>
      <c r="I6" s="264"/>
      <c r="J6" s="264"/>
      <c r="K6" s="265"/>
      <c r="L6" s="265"/>
      <c r="M6" s="266"/>
    </row>
    <row r="7" spans="1:13" ht="21" customHeight="1">
      <c r="A7" s="263"/>
      <c r="B7" s="265"/>
      <c r="C7" s="265"/>
      <c r="D7" s="265"/>
      <c r="E7" s="265"/>
      <c r="F7" s="263">
        <v>2</v>
      </c>
      <c r="G7" s="267" t="s">
        <v>4</v>
      </c>
      <c r="H7" s="263" t="s">
        <v>103</v>
      </c>
      <c r="I7" s="264">
        <f>SUM(J8:J9)</f>
        <v>3000000</v>
      </c>
      <c r="J7" s="264"/>
      <c r="K7" s="265"/>
      <c r="L7" s="265"/>
      <c r="M7" s="266"/>
    </row>
    <row r="8" spans="1:13" ht="21" customHeight="1">
      <c r="A8" s="263"/>
      <c r="B8" s="265"/>
      <c r="C8" s="265"/>
      <c r="D8" s="265"/>
      <c r="E8" s="265"/>
      <c r="F8" s="263">
        <v>2</v>
      </c>
      <c r="G8" s="267" t="s">
        <v>5</v>
      </c>
      <c r="H8" s="263" t="str">
        <f>H2</f>
        <v>2510003 - Ivânio c/Subscrição</v>
      </c>
      <c r="I8" s="264"/>
      <c r="J8" s="264">
        <f>I2</f>
        <v>1500000</v>
      </c>
      <c r="K8" s="265"/>
      <c r="L8" s="265"/>
      <c r="M8" s="266"/>
    </row>
    <row r="9" spans="1:13" ht="21" customHeight="1">
      <c r="A9" s="263"/>
      <c r="B9" s="265"/>
      <c r="C9" s="265"/>
      <c r="D9" s="265"/>
      <c r="E9" s="265"/>
      <c r="F9" s="263">
        <v>2</v>
      </c>
      <c r="G9" s="267" t="s">
        <v>5</v>
      </c>
      <c r="H9" s="263" t="str">
        <f>H3</f>
        <v>2510004 -  Josileida c/Subscrição</v>
      </c>
      <c r="I9" s="264"/>
      <c r="J9" s="264">
        <f>I3</f>
        <v>1500000</v>
      </c>
      <c r="K9" s="265"/>
      <c r="L9" s="265"/>
      <c r="M9" s="266"/>
    </row>
    <row r="10" spans="1:13" ht="21" customHeight="1">
      <c r="A10" s="263"/>
      <c r="B10" s="265"/>
      <c r="C10" s="265"/>
      <c r="D10" s="265"/>
      <c r="E10" s="265"/>
      <c r="F10" s="263"/>
      <c r="G10" s="267"/>
      <c r="H10" s="273" t="s">
        <v>7</v>
      </c>
      <c r="I10" s="264"/>
      <c r="J10" s="264"/>
      <c r="K10" s="271"/>
      <c r="L10" s="271"/>
      <c r="M10" s="272"/>
    </row>
    <row r="11" spans="1:13" ht="21" customHeight="1">
      <c r="A11" s="263"/>
      <c r="B11" s="265"/>
      <c r="C11" s="265"/>
      <c r="D11" s="265"/>
      <c r="E11" s="265"/>
      <c r="F11" s="263"/>
      <c r="G11" s="267"/>
      <c r="H11" s="273"/>
      <c r="I11" s="264"/>
      <c r="J11" s="264"/>
      <c r="K11" s="271"/>
      <c r="L11" s="271"/>
      <c r="M11" s="272"/>
    </row>
    <row r="12" spans="1:13" ht="21" customHeight="1">
      <c r="A12" s="263"/>
      <c r="B12" s="265"/>
      <c r="C12" s="265"/>
      <c r="D12" s="265"/>
      <c r="E12" s="265"/>
      <c r="F12" s="263">
        <v>3</v>
      </c>
      <c r="G12" s="267"/>
      <c r="H12" s="274" t="s">
        <v>120</v>
      </c>
      <c r="I12" s="264">
        <v>10600</v>
      </c>
      <c r="J12" s="264"/>
      <c r="K12" s="271"/>
      <c r="L12" s="271"/>
      <c r="M12" s="272"/>
    </row>
    <row r="13" spans="1:13" ht="21" customHeight="1">
      <c r="A13" s="263"/>
      <c r="B13" s="265"/>
      <c r="C13" s="265"/>
      <c r="D13" s="265"/>
      <c r="E13" s="265"/>
      <c r="F13" s="263">
        <v>3</v>
      </c>
      <c r="G13" s="267"/>
      <c r="H13" s="273" t="str">
        <f>H15</f>
        <v>12001-Deposito a Ordem</v>
      </c>
      <c r="I13" s="264"/>
      <c r="J13" s="264">
        <v>10600</v>
      </c>
      <c r="K13" s="271"/>
      <c r="L13" s="271"/>
      <c r="M13" s="272"/>
    </row>
    <row r="14" spans="1:13" ht="21" customHeight="1">
      <c r="A14" s="263"/>
      <c r="B14" s="265"/>
      <c r="C14" s="265"/>
      <c r="D14" s="265"/>
      <c r="E14" s="265"/>
      <c r="F14" s="263"/>
      <c r="G14" s="267"/>
      <c r="H14" s="273" t="s">
        <v>28</v>
      </c>
      <c r="I14" s="264"/>
      <c r="J14" s="264"/>
      <c r="K14" s="271"/>
      <c r="L14" s="271"/>
      <c r="M14" s="272"/>
    </row>
    <row r="15" spans="1:13" ht="21" customHeight="1">
      <c r="A15" s="263"/>
      <c r="B15" s="265"/>
      <c r="C15" s="265"/>
      <c r="D15" s="265"/>
      <c r="E15" s="265"/>
      <c r="F15" s="263">
        <v>4</v>
      </c>
      <c r="G15" s="267" t="s">
        <v>4</v>
      </c>
      <c r="H15" s="263" t="s">
        <v>18</v>
      </c>
      <c r="I15" s="264">
        <f>J16</f>
        <v>7000000</v>
      </c>
      <c r="J15" s="264"/>
      <c r="K15" s="265"/>
      <c r="L15" s="265"/>
      <c r="M15" s="266"/>
    </row>
    <row r="16" spans="1:13" ht="21" customHeight="1">
      <c r="A16" s="263"/>
      <c r="B16" s="265"/>
      <c r="C16" s="265"/>
      <c r="D16" s="265"/>
      <c r="E16" s="265"/>
      <c r="F16" s="263">
        <v>4</v>
      </c>
      <c r="G16" s="267" t="s">
        <v>4</v>
      </c>
      <c r="H16" s="268" t="s">
        <v>17</v>
      </c>
      <c r="I16" s="264"/>
      <c r="J16" s="264">
        <v>7000000</v>
      </c>
      <c r="K16" s="265"/>
      <c r="L16" s="265"/>
      <c r="M16" s="266"/>
    </row>
    <row r="17" spans="1:13" ht="21" customHeight="1">
      <c r="A17" s="263"/>
      <c r="B17" s="265"/>
      <c r="C17" s="265"/>
      <c r="D17" s="265"/>
      <c r="E17" s="265"/>
      <c r="F17" s="263"/>
      <c r="G17" s="267"/>
      <c r="H17" s="273" t="s">
        <v>20</v>
      </c>
      <c r="I17" s="264"/>
      <c r="J17" s="264"/>
      <c r="K17" s="265"/>
      <c r="L17" s="265"/>
      <c r="M17" s="266"/>
    </row>
    <row r="18" spans="1:13" ht="21" customHeight="1">
      <c r="A18" s="263"/>
      <c r="B18" s="265"/>
      <c r="C18" s="265"/>
      <c r="D18" s="265"/>
      <c r="E18" s="265"/>
      <c r="F18" s="263"/>
      <c r="G18" s="267"/>
      <c r="H18" s="273"/>
      <c r="I18" s="264"/>
      <c r="J18" s="264"/>
      <c r="K18" s="265"/>
      <c r="L18" s="265"/>
      <c r="M18" s="266"/>
    </row>
    <row r="19" spans="1:13" ht="21" customHeight="1">
      <c r="A19" s="263"/>
      <c r="B19" s="265"/>
      <c r="C19" s="265"/>
      <c r="D19" s="265"/>
      <c r="E19" s="265"/>
      <c r="F19" s="263">
        <v>5</v>
      </c>
      <c r="G19" s="267" t="s">
        <v>4</v>
      </c>
      <c r="H19" s="263" t="s">
        <v>8</v>
      </c>
      <c r="I19" s="275">
        <f>SUM('Amortização Emprestimo taxa 8,7'!K8:K10)</f>
        <v>7510.5278769645829</v>
      </c>
      <c r="J19" s="264"/>
      <c r="K19" s="271"/>
      <c r="L19" s="265"/>
      <c r="M19" s="272"/>
    </row>
    <row r="20" spans="1:13" ht="21" customHeight="1">
      <c r="A20" s="263"/>
      <c r="B20" s="265"/>
      <c r="C20" s="265"/>
      <c r="D20" s="265"/>
      <c r="E20" s="265"/>
      <c r="F20" s="263">
        <v>5</v>
      </c>
      <c r="G20" s="267" t="s">
        <v>5</v>
      </c>
      <c r="H20" s="263" t="s">
        <v>19</v>
      </c>
      <c r="I20" s="264"/>
      <c r="J20" s="264">
        <f>I19</f>
        <v>7510.5278769645829</v>
      </c>
      <c r="K20" s="265"/>
      <c r="L20" s="265"/>
      <c r="M20" s="266"/>
    </row>
    <row r="21" spans="1:13" ht="21" customHeight="1">
      <c r="A21" s="263"/>
      <c r="B21" s="265"/>
      <c r="C21" s="265"/>
      <c r="D21" s="265"/>
      <c r="E21" s="265"/>
      <c r="F21" s="263"/>
      <c r="G21" s="267"/>
      <c r="H21" s="273" t="s">
        <v>209</v>
      </c>
      <c r="I21" s="264"/>
      <c r="J21" s="264"/>
      <c r="K21" s="265"/>
      <c r="L21" s="265"/>
      <c r="M21" s="266"/>
    </row>
    <row r="22" spans="1:13" ht="21" customHeight="1">
      <c r="A22" s="263"/>
      <c r="B22" s="265"/>
      <c r="C22" s="265"/>
      <c r="D22" s="265"/>
      <c r="E22" s="265"/>
      <c r="F22" s="263"/>
      <c r="G22" s="267"/>
      <c r="H22" s="273"/>
      <c r="I22" s="264"/>
      <c r="J22" s="264"/>
      <c r="K22" s="265"/>
      <c r="L22" s="265"/>
      <c r="M22" s="266"/>
    </row>
    <row r="23" spans="1:13" ht="21" customHeight="1">
      <c r="A23" s="263"/>
      <c r="B23" s="265"/>
      <c r="C23" s="265"/>
      <c r="D23" s="265"/>
      <c r="E23" s="265"/>
      <c r="F23" s="263">
        <v>6</v>
      </c>
      <c r="G23" s="267" t="s">
        <v>4</v>
      </c>
      <c r="H23" s="263" t="s">
        <v>23</v>
      </c>
      <c r="I23" s="264">
        <f>SUM([2]Depreciação!$B$13:$E$13,[2]Depreciação!$B$20:$E$20,[2]Depreciação!$B$27:$E$27,[2]Depreciação!$B$42:$E$42,[2]Depreciação!$B$46:$E$46,[2]Depreciação!$B$52:$E$52,[2]Depreciação!$B$63:$E$63)</f>
        <v>4545281.7722399998</v>
      </c>
      <c r="J23" s="267"/>
      <c r="K23" s="271"/>
      <c r="L23" s="265"/>
      <c r="M23" s="272"/>
    </row>
    <row r="24" spans="1:13" ht="21" customHeight="1">
      <c r="A24" s="263"/>
      <c r="B24" s="265"/>
      <c r="C24" s="265"/>
      <c r="D24" s="265"/>
      <c r="E24" s="265"/>
      <c r="F24" s="263">
        <v>6</v>
      </c>
      <c r="G24" s="267" t="s">
        <v>5</v>
      </c>
      <c r="H24" s="263" t="str">
        <f>H15</f>
        <v>12001-Deposito a Ordem</v>
      </c>
      <c r="I24" s="264"/>
      <c r="J24" s="264">
        <f>I23</f>
        <v>4545281.7722399998</v>
      </c>
      <c r="K24" s="265"/>
      <c r="L24" s="271"/>
      <c r="M24" s="272"/>
    </row>
    <row r="25" spans="1:13" ht="21" customHeight="1">
      <c r="A25" s="263"/>
      <c r="B25" s="265"/>
      <c r="C25" s="265"/>
      <c r="D25" s="265"/>
      <c r="E25" s="265"/>
      <c r="F25" s="263"/>
      <c r="G25" s="267"/>
      <c r="H25" s="273" t="s">
        <v>21</v>
      </c>
      <c r="I25" s="264"/>
      <c r="J25" s="264"/>
      <c r="K25" s="271"/>
      <c r="L25" s="271"/>
      <c r="M25" s="272"/>
    </row>
    <row r="26" spans="1:13" ht="21" customHeight="1">
      <c r="A26" s="263"/>
      <c r="B26" s="265"/>
      <c r="C26" s="265"/>
      <c r="D26" s="265"/>
      <c r="E26" s="265"/>
      <c r="F26" s="263"/>
      <c r="G26" s="267"/>
      <c r="H26" s="273"/>
      <c r="I26" s="264"/>
      <c r="J26" s="264"/>
      <c r="K26" s="271"/>
      <c r="L26" s="271"/>
      <c r="M26" s="272"/>
    </row>
    <row r="27" spans="1:13" ht="21" customHeight="1">
      <c r="A27" s="263"/>
      <c r="B27" s="265"/>
      <c r="C27" s="265"/>
      <c r="D27" s="265"/>
      <c r="E27" s="265"/>
      <c r="F27" s="263">
        <v>7</v>
      </c>
      <c r="G27" s="267" t="s">
        <v>4</v>
      </c>
      <c r="H27" s="263" t="s">
        <v>25</v>
      </c>
      <c r="I27" s="264">
        <f>[2]Depreciação!$E$76</f>
        <v>1500000</v>
      </c>
      <c r="J27" s="264"/>
      <c r="K27" s="271"/>
      <c r="L27" s="271"/>
      <c r="M27" s="272"/>
    </row>
    <row r="28" spans="1:13" ht="21" customHeight="1">
      <c r="A28" s="263"/>
      <c r="B28" s="265"/>
      <c r="C28" s="265"/>
      <c r="D28" s="265"/>
      <c r="E28" s="265"/>
      <c r="F28" s="263">
        <v>7</v>
      </c>
      <c r="G28" s="267" t="s">
        <v>5</v>
      </c>
      <c r="H28" s="263" t="s">
        <v>19</v>
      </c>
      <c r="I28" s="264"/>
      <c r="J28" s="264">
        <f>I27</f>
        <v>1500000</v>
      </c>
      <c r="K28" s="271"/>
      <c r="L28" s="271"/>
      <c r="M28" s="272"/>
    </row>
    <row r="29" spans="1:13" ht="21" customHeight="1">
      <c r="A29" s="263"/>
      <c r="B29" s="265"/>
      <c r="C29" s="265"/>
      <c r="D29" s="265"/>
      <c r="E29" s="265"/>
      <c r="F29" s="263"/>
      <c r="G29" s="267"/>
      <c r="H29" s="273" t="s">
        <v>24</v>
      </c>
      <c r="I29" s="264"/>
      <c r="J29" s="264"/>
      <c r="K29" s="271"/>
      <c r="L29" s="271"/>
      <c r="M29" s="272"/>
    </row>
    <row r="30" spans="1:13" ht="21" customHeight="1">
      <c r="A30" s="263"/>
      <c r="B30" s="265"/>
      <c r="C30" s="265"/>
      <c r="D30" s="265"/>
      <c r="E30" s="265"/>
      <c r="F30" s="263"/>
      <c r="G30" s="267"/>
      <c r="H30" s="273"/>
      <c r="I30" s="264"/>
      <c r="J30" s="264"/>
      <c r="K30" s="271"/>
      <c r="L30" s="271"/>
      <c r="M30" s="272"/>
    </row>
    <row r="31" spans="1:13" ht="21" customHeight="1">
      <c r="A31" s="263"/>
      <c r="B31" s="265"/>
      <c r="C31" s="265"/>
      <c r="D31" s="265"/>
      <c r="E31" s="265"/>
      <c r="F31" s="263">
        <v>8</v>
      </c>
      <c r="G31" s="267" t="s">
        <v>4</v>
      </c>
      <c r="H31" s="263" t="s">
        <v>26</v>
      </c>
      <c r="I31" s="264">
        <f>SUM([2]Depreciação!$E$65:$E$73)</f>
        <v>193650</v>
      </c>
      <c r="J31" s="264"/>
      <c r="K31" s="271"/>
      <c r="L31" s="271"/>
      <c r="M31" s="272"/>
    </row>
    <row r="32" spans="1:13" ht="21" customHeight="1">
      <c r="A32" s="263"/>
      <c r="B32" s="265"/>
      <c r="C32" s="265"/>
      <c r="D32" s="265"/>
      <c r="E32" s="265"/>
      <c r="F32" s="263">
        <v>8</v>
      </c>
      <c r="G32" s="267" t="s">
        <v>5</v>
      </c>
      <c r="H32" s="263" t="s">
        <v>19</v>
      </c>
      <c r="I32" s="267"/>
      <c r="J32" s="264">
        <f>I31</f>
        <v>193650</v>
      </c>
      <c r="K32" s="271"/>
      <c r="L32" s="271"/>
      <c r="M32" s="272"/>
    </row>
    <row r="33" spans="1:13" ht="21" customHeight="1">
      <c r="A33" s="263"/>
      <c r="B33" s="265"/>
      <c r="C33" s="265"/>
      <c r="D33" s="265"/>
      <c r="E33" s="265"/>
      <c r="F33" s="263"/>
      <c r="G33" s="267"/>
      <c r="H33" s="273" t="s">
        <v>27</v>
      </c>
      <c r="I33" s="264"/>
      <c r="J33" s="264"/>
      <c r="K33" s="271"/>
      <c r="L33" s="271"/>
      <c r="M33" s="272"/>
    </row>
    <row r="34" spans="1:13" ht="21" customHeight="1">
      <c r="A34" s="263"/>
      <c r="B34" s="265"/>
      <c r="C34" s="265"/>
      <c r="D34" s="265"/>
      <c r="E34" s="265"/>
      <c r="F34" s="263"/>
      <c r="G34" s="267"/>
      <c r="H34" s="273"/>
      <c r="I34" s="264"/>
      <c r="J34" s="264"/>
      <c r="K34" s="271"/>
      <c r="L34" s="271"/>
      <c r="M34" s="272"/>
    </row>
    <row r="35" spans="1:13" ht="21" customHeight="1">
      <c r="A35" s="263"/>
      <c r="B35" s="265"/>
      <c r="C35" s="265"/>
      <c r="D35" s="265"/>
      <c r="E35" s="265"/>
      <c r="F35" s="263">
        <v>9</v>
      </c>
      <c r="G35" s="267" t="s">
        <v>4</v>
      </c>
      <c r="H35" s="263" t="s">
        <v>59</v>
      </c>
      <c r="I35" s="264">
        <f>J36</f>
        <v>50000</v>
      </c>
      <c r="J35" s="264"/>
      <c r="K35" s="271"/>
      <c r="L35" s="271"/>
      <c r="M35" s="272"/>
    </row>
    <row r="36" spans="1:13" ht="21" customHeight="1">
      <c r="A36" s="263"/>
      <c r="B36" s="265"/>
      <c r="C36" s="265"/>
      <c r="D36" s="265"/>
      <c r="E36" s="265"/>
      <c r="F36" s="263">
        <v>9</v>
      </c>
      <c r="G36" s="267" t="s">
        <v>5</v>
      </c>
      <c r="H36" s="268" t="str">
        <f>H24</f>
        <v>12001-Deposito a Ordem</v>
      </c>
      <c r="I36" s="264"/>
      <c r="J36" s="264">
        <v>50000</v>
      </c>
      <c r="K36" s="271"/>
      <c r="L36" s="271"/>
      <c r="M36" s="272"/>
    </row>
    <row r="37" spans="1:13" ht="21" customHeight="1">
      <c r="A37" s="263"/>
      <c r="B37" s="265"/>
      <c r="C37" s="265"/>
      <c r="D37" s="265"/>
      <c r="E37" s="265"/>
      <c r="F37" s="263"/>
      <c r="G37" s="267"/>
      <c r="H37" s="273" t="s">
        <v>60</v>
      </c>
      <c r="I37" s="264"/>
      <c r="J37" s="264"/>
      <c r="K37" s="271"/>
      <c r="L37" s="271"/>
      <c r="M37" s="272"/>
    </row>
    <row r="38" spans="1:13" ht="21" customHeight="1">
      <c r="A38" s="263"/>
      <c r="B38" s="265"/>
      <c r="C38" s="265"/>
      <c r="D38" s="265"/>
      <c r="E38" s="265"/>
      <c r="F38" s="263"/>
      <c r="G38" s="267"/>
      <c r="H38" s="273"/>
      <c r="I38" s="264"/>
      <c r="J38" s="264"/>
      <c r="K38" s="271"/>
      <c r="L38" s="271"/>
      <c r="M38" s="272"/>
    </row>
    <row r="39" spans="1:13" ht="21" customHeight="1">
      <c r="A39" s="263"/>
      <c r="B39" s="265"/>
      <c r="C39" s="265"/>
      <c r="D39" s="265"/>
      <c r="E39" s="265"/>
      <c r="F39" s="263">
        <v>10</v>
      </c>
      <c r="G39" s="267" t="s">
        <v>4</v>
      </c>
      <c r="H39" s="268" t="s">
        <v>131</v>
      </c>
      <c r="I39" s="264">
        <f>J40</f>
        <v>180000</v>
      </c>
      <c r="J39" s="264"/>
      <c r="K39" s="271"/>
      <c r="L39" s="271"/>
      <c r="M39" s="272"/>
    </row>
    <row r="40" spans="1:13" ht="21" customHeight="1">
      <c r="A40" s="263"/>
      <c r="B40" s="265"/>
      <c r="C40" s="265"/>
      <c r="D40" s="265"/>
      <c r="E40" s="265"/>
      <c r="F40" s="263">
        <v>10</v>
      </c>
      <c r="G40" s="267" t="s">
        <v>5</v>
      </c>
      <c r="H40" s="268" t="str">
        <f>H36</f>
        <v>12001-Deposito a Ordem</v>
      </c>
      <c r="I40" s="264"/>
      <c r="J40" s="264">
        <f>15000*12</f>
        <v>180000</v>
      </c>
      <c r="K40" s="271"/>
      <c r="L40" s="271"/>
      <c r="M40" s="272"/>
    </row>
    <row r="41" spans="1:13" ht="21" customHeight="1">
      <c r="A41" s="263"/>
      <c r="B41" s="265"/>
      <c r="C41" s="265"/>
      <c r="D41" s="265"/>
      <c r="E41" s="265"/>
      <c r="F41" s="263"/>
      <c r="G41" s="267"/>
      <c r="H41" s="273" t="s">
        <v>97</v>
      </c>
      <c r="I41" s="264"/>
      <c r="J41" s="264"/>
      <c r="K41" s="271"/>
      <c r="L41" s="271"/>
      <c r="M41" s="272"/>
    </row>
    <row r="42" spans="1:13" ht="21" customHeight="1">
      <c r="A42" s="263"/>
      <c r="B42" s="265"/>
      <c r="C42" s="265"/>
      <c r="D42" s="265"/>
      <c r="E42" s="265"/>
      <c r="F42" s="263"/>
      <c r="G42" s="267"/>
      <c r="H42" s="273"/>
      <c r="I42" s="264"/>
      <c r="J42" s="264"/>
      <c r="K42" s="271"/>
      <c r="L42" s="271"/>
      <c r="M42" s="272"/>
    </row>
    <row r="43" spans="1:13" ht="21" customHeight="1">
      <c r="A43" s="263"/>
      <c r="B43" s="265"/>
      <c r="C43" s="265"/>
      <c r="D43" s="265"/>
      <c r="E43" s="265"/>
      <c r="F43" s="263">
        <v>11</v>
      </c>
      <c r="G43" s="267" t="s">
        <v>4</v>
      </c>
      <c r="H43" s="268" t="s">
        <v>98</v>
      </c>
      <c r="I43" s="264">
        <f>J45/1.15</f>
        <v>4347.826086956522</v>
      </c>
      <c r="J43" s="264"/>
      <c r="K43" s="271"/>
      <c r="L43" s="271"/>
      <c r="M43" s="272"/>
    </row>
    <row r="44" spans="1:13" ht="21" customHeight="1">
      <c r="A44" s="263"/>
      <c r="B44" s="265"/>
      <c r="C44" s="265"/>
      <c r="D44" s="265"/>
      <c r="E44" s="265"/>
      <c r="F44" s="263"/>
      <c r="G44" s="267" t="s">
        <v>4</v>
      </c>
      <c r="H44" s="268" t="s">
        <v>111</v>
      </c>
      <c r="I44" s="264">
        <f>I43*0.15</f>
        <v>652.17391304347825</v>
      </c>
      <c r="J44" s="264"/>
      <c r="K44" s="271"/>
      <c r="L44" s="271"/>
      <c r="M44" s="272"/>
    </row>
    <row r="45" spans="1:13" ht="21" customHeight="1">
      <c r="A45" s="263"/>
      <c r="B45" s="265"/>
      <c r="C45" s="265"/>
      <c r="D45" s="265"/>
      <c r="E45" s="265"/>
      <c r="F45" s="263">
        <v>11</v>
      </c>
      <c r="G45" s="267" t="s">
        <v>5</v>
      </c>
      <c r="H45" s="268" t="str">
        <f>H35</f>
        <v>1100001-Caixa</v>
      </c>
      <c r="I45" s="264"/>
      <c r="J45" s="264">
        <v>5000</v>
      </c>
      <c r="K45" s="271"/>
      <c r="L45" s="271"/>
      <c r="M45" s="272"/>
    </row>
    <row r="46" spans="1:13" ht="21" customHeight="1">
      <c r="A46" s="263"/>
      <c r="B46" s="265"/>
      <c r="C46" s="265"/>
      <c r="D46" s="265"/>
      <c r="E46" s="265"/>
      <c r="F46" s="263"/>
      <c r="G46" s="267"/>
      <c r="H46" s="273" t="s">
        <v>99</v>
      </c>
      <c r="I46" s="264"/>
      <c r="J46" s="264"/>
      <c r="K46" s="271"/>
      <c r="L46" s="271"/>
      <c r="M46" s="272"/>
    </row>
    <row r="47" spans="1:13" ht="21" customHeight="1">
      <c r="A47" s="263"/>
      <c r="B47" s="265"/>
      <c r="C47" s="265"/>
      <c r="D47" s="265"/>
      <c r="E47" s="265"/>
      <c r="F47" s="263"/>
      <c r="G47" s="267"/>
      <c r="H47" s="273"/>
      <c r="I47" s="264"/>
      <c r="J47" s="264"/>
      <c r="K47" s="271"/>
      <c r="L47" s="271"/>
      <c r="M47" s="272"/>
    </row>
    <row r="48" spans="1:13" ht="21" customHeight="1">
      <c r="A48" s="263"/>
      <c r="B48" s="265"/>
      <c r="C48" s="265"/>
      <c r="D48" s="265"/>
      <c r="E48" s="265"/>
      <c r="F48" s="263">
        <v>12</v>
      </c>
      <c r="G48" s="267" t="s">
        <v>4</v>
      </c>
      <c r="H48" s="268" t="s">
        <v>207</v>
      </c>
      <c r="I48" s="264">
        <f>[3]FSE!$C$12</f>
        <v>50000</v>
      </c>
      <c r="J48" s="264"/>
      <c r="K48" s="271"/>
      <c r="L48" s="271"/>
      <c r="M48" s="272"/>
    </row>
    <row r="49" spans="1:13" ht="21" customHeight="1">
      <c r="A49" s="263"/>
      <c r="B49" s="265"/>
      <c r="C49" s="265"/>
      <c r="D49" s="265"/>
      <c r="E49" s="265"/>
      <c r="F49" s="263">
        <v>12</v>
      </c>
      <c r="G49" s="267" t="s">
        <v>5</v>
      </c>
      <c r="H49" s="268" t="str">
        <f>H40</f>
        <v>12001-Deposito a Ordem</v>
      </c>
      <c r="I49" s="264"/>
      <c r="J49" s="264">
        <f>I48</f>
        <v>50000</v>
      </c>
      <c r="K49" s="271"/>
      <c r="L49" s="271"/>
      <c r="M49" s="272"/>
    </row>
    <row r="50" spans="1:13" ht="21" customHeight="1">
      <c r="A50" s="263"/>
      <c r="B50" s="265"/>
      <c r="C50" s="265"/>
      <c r="D50" s="265"/>
      <c r="E50" s="265"/>
      <c r="F50" s="263"/>
      <c r="G50" s="267"/>
      <c r="H50" s="273" t="s">
        <v>101</v>
      </c>
      <c r="I50" s="264"/>
      <c r="J50" s="264"/>
      <c r="K50" s="271"/>
      <c r="L50" s="271"/>
      <c r="M50" s="272"/>
    </row>
    <row r="51" spans="1:13" ht="21" customHeight="1">
      <c r="A51" s="263"/>
      <c r="B51" s="265"/>
      <c r="C51" s="265"/>
      <c r="D51" s="265"/>
      <c r="E51" s="265"/>
      <c r="F51" s="263"/>
      <c r="G51" s="267"/>
      <c r="H51" s="273"/>
      <c r="I51" s="264"/>
      <c r="J51" s="264"/>
      <c r="K51" s="271"/>
      <c r="L51" s="271"/>
      <c r="M51" s="272"/>
    </row>
    <row r="52" spans="1:13" ht="21" customHeight="1">
      <c r="A52" s="263"/>
      <c r="B52" s="265"/>
      <c r="C52" s="265"/>
      <c r="D52" s="265"/>
      <c r="E52" s="265"/>
      <c r="F52" s="263">
        <v>13</v>
      </c>
      <c r="G52" s="267" t="s">
        <v>4</v>
      </c>
      <c r="H52" s="268" t="s">
        <v>102</v>
      </c>
      <c r="I52" s="264">
        <f>J54/1.15</f>
        <v>4347.826086956522</v>
      </c>
      <c r="J52" s="264"/>
      <c r="K52" s="271"/>
      <c r="L52" s="271"/>
      <c r="M52" s="272"/>
    </row>
    <row r="53" spans="1:13" ht="21" customHeight="1">
      <c r="A53" s="263"/>
      <c r="B53" s="265"/>
      <c r="C53" s="265"/>
      <c r="D53" s="265"/>
      <c r="E53" s="265"/>
      <c r="F53" s="263"/>
      <c r="G53" s="267" t="s">
        <v>4</v>
      </c>
      <c r="H53" s="268" t="str">
        <f>H44</f>
        <v>2442301- Iva Dedutivel</v>
      </c>
      <c r="I53" s="264">
        <f>I52*0.15</f>
        <v>652.17391304347825</v>
      </c>
      <c r="J53" s="264"/>
      <c r="K53" s="271"/>
      <c r="L53" s="271"/>
      <c r="M53" s="272"/>
    </row>
    <row r="54" spans="1:13" ht="21" customHeight="1">
      <c r="A54" s="263"/>
      <c r="B54" s="265"/>
      <c r="C54" s="265"/>
      <c r="D54" s="265"/>
      <c r="E54" s="265"/>
      <c r="F54" s="263">
        <v>13</v>
      </c>
      <c r="G54" s="267" t="s">
        <v>5</v>
      </c>
      <c r="H54" s="268" t="str">
        <f>H49</f>
        <v>12001-Deposito a Ordem</v>
      </c>
      <c r="I54" s="264"/>
      <c r="J54" s="264">
        <v>5000</v>
      </c>
      <c r="K54" s="271"/>
      <c r="L54" s="271"/>
      <c r="M54" s="272"/>
    </row>
    <row r="55" spans="1:13" ht="21" customHeight="1">
      <c r="A55" s="263"/>
      <c r="B55" s="265"/>
      <c r="C55" s="265"/>
      <c r="D55" s="265"/>
      <c r="E55" s="265"/>
      <c r="F55" s="263"/>
      <c r="G55" s="267"/>
      <c r="H55" s="273" t="s">
        <v>104</v>
      </c>
      <c r="I55" s="264"/>
      <c r="J55" s="264"/>
      <c r="K55" s="271"/>
      <c r="L55" s="271"/>
      <c r="M55" s="272"/>
    </row>
    <row r="56" spans="1:13" ht="21" customHeight="1">
      <c r="A56" s="263"/>
      <c r="B56" s="265"/>
      <c r="C56" s="265"/>
      <c r="D56" s="265"/>
      <c r="E56" s="265"/>
      <c r="F56" s="263"/>
      <c r="G56" s="267"/>
      <c r="H56" s="273"/>
      <c r="I56" s="264"/>
      <c r="J56" s="264"/>
      <c r="K56" s="271"/>
      <c r="L56" s="271"/>
      <c r="M56" s="272"/>
    </row>
    <row r="57" spans="1:13" ht="21" customHeight="1">
      <c r="A57" s="263"/>
      <c r="B57" s="265"/>
      <c r="C57" s="265"/>
      <c r="D57" s="265"/>
      <c r="E57" s="265"/>
      <c r="F57" s="263">
        <v>14</v>
      </c>
      <c r="G57" s="267" t="s">
        <v>4</v>
      </c>
      <c r="H57" s="268" t="s">
        <v>105</v>
      </c>
      <c r="I57" s="264">
        <f>J59/1.15</f>
        <v>17391.304347826088</v>
      </c>
      <c r="J57" s="264"/>
      <c r="K57" s="271"/>
      <c r="L57" s="271"/>
      <c r="M57" s="272"/>
    </row>
    <row r="58" spans="1:13" ht="21" customHeight="1">
      <c r="A58" s="263"/>
      <c r="B58" s="265"/>
      <c r="C58" s="265"/>
      <c r="D58" s="265"/>
      <c r="E58" s="265"/>
      <c r="F58" s="263">
        <v>14</v>
      </c>
      <c r="G58" s="267" t="s">
        <v>4</v>
      </c>
      <c r="H58" s="268" t="str">
        <f>H53</f>
        <v>2442301- Iva Dedutivel</v>
      </c>
      <c r="I58" s="264">
        <f>I57*0.15</f>
        <v>2608.695652173913</v>
      </c>
      <c r="J58" s="264"/>
      <c r="K58" s="271"/>
      <c r="L58" s="271"/>
      <c r="M58" s="272"/>
    </row>
    <row r="59" spans="1:13" ht="21" customHeight="1">
      <c r="A59" s="263"/>
      <c r="B59" s="265"/>
      <c r="C59" s="265"/>
      <c r="D59" s="265"/>
      <c r="E59" s="265"/>
      <c r="F59" s="263">
        <v>14</v>
      </c>
      <c r="G59" s="267" t="s">
        <v>5</v>
      </c>
      <c r="H59" s="268" t="str">
        <f>H45</f>
        <v>1100001-Caixa</v>
      </c>
      <c r="I59" s="264"/>
      <c r="J59" s="264">
        <f>[2]FSE!$C$8</f>
        <v>20000</v>
      </c>
      <c r="K59" s="265"/>
      <c r="L59" s="271"/>
      <c r="M59" s="272"/>
    </row>
    <row r="60" spans="1:13" ht="21" customHeight="1">
      <c r="A60" s="263"/>
      <c r="B60" s="265"/>
      <c r="C60" s="265"/>
      <c r="D60" s="265"/>
      <c r="E60" s="265"/>
      <c r="F60" s="263"/>
      <c r="G60" s="267"/>
      <c r="H60" s="273" t="s">
        <v>106</v>
      </c>
      <c r="I60" s="264"/>
      <c r="J60" s="264"/>
      <c r="K60" s="271"/>
      <c r="L60" s="271"/>
      <c r="M60" s="272"/>
    </row>
    <row r="61" spans="1:13" ht="21" customHeight="1">
      <c r="A61" s="263"/>
      <c r="B61" s="265"/>
      <c r="C61" s="265"/>
      <c r="D61" s="265"/>
      <c r="E61" s="265"/>
      <c r="F61" s="263"/>
      <c r="G61" s="267"/>
      <c r="H61" s="273"/>
      <c r="I61" s="264"/>
      <c r="J61" s="264"/>
      <c r="K61" s="271"/>
      <c r="L61" s="271"/>
      <c r="M61" s="272"/>
    </row>
    <row r="62" spans="1:13" ht="21" customHeight="1">
      <c r="A62" s="263"/>
      <c r="B62" s="265"/>
      <c r="C62" s="265"/>
      <c r="D62" s="265"/>
      <c r="E62" s="265"/>
      <c r="F62" s="263">
        <v>15</v>
      </c>
      <c r="G62" s="267" t="s">
        <v>4</v>
      </c>
      <c r="H62" s="263" t="s">
        <v>107</v>
      </c>
      <c r="I62" s="264">
        <f>[3]FSE!$C$18</f>
        <v>8250</v>
      </c>
      <c r="J62" s="264"/>
      <c r="K62" s="271"/>
      <c r="L62" s="271"/>
      <c r="M62" s="272"/>
    </row>
    <row r="63" spans="1:13" ht="21" customHeight="1">
      <c r="A63" s="263"/>
      <c r="B63" s="265"/>
      <c r="C63" s="265"/>
      <c r="D63" s="265"/>
      <c r="E63" s="265"/>
      <c r="F63" s="263">
        <v>15</v>
      </c>
      <c r="G63" s="267" t="s">
        <v>5</v>
      </c>
      <c r="H63" s="263" t="str">
        <f>H54</f>
        <v>12001-Deposito a Ordem</v>
      </c>
      <c r="I63" s="264"/>
      <c r="J63" s="264">
        <f>I62</f>
        <v>8250</v>
      </c>
      <c r="K63" s="271"/>
      <c r="L63" s="271"/>
      <c r="M63" s="272"/>
    </row>
    <row r="64" spans="1:13" ht="21" customHeight="1">
      <c r="A64" s="263"/>
      <c r="B64" s="265"/>
      <c r="C64" s="265"/>
      <c r="D64" s="265"/>
      <c r="E64" s="265"/>
      <c r="F64" s="263"/>
      <c r="G64" s="267"/>
      <c r="H64" s="273" t="s">
        <v>108</v>
      </c>
      <c r="I64" s="264"/>
      <c r="J64" s="264"/>
      <c r="K64" s="271"/>
      <c r="L64" s="271"/>
      <c r="M64" s="272"/>
    </row>
    <row r="65" spans="1:13" ht="21" customHeight="1">
      <c r="A65" s="263"/>
      <c r="B65" s="265"/>
      <c r="C65" s="265"/>
      <c r="D65" s="265"/>
      <c r="E65" s="265"/>
      <c r="F65" s="263"/>
      <c r="G65" s="267"/>
      <c r="H65" s="273"/>
      <c r="I65" s="264"/>
      <c r="J65" s="264"/>
      <c r="K65" s="271"/>
      <c r="L65" s="271"/>
      <c r="M65" s="272"/>
    </row>
    <row r="66" spans="1:13" ht="21" customHeight="1">
      <c r="A66" s="263"/>
      <c r="B66" s="265"/>
      <c r="C66" s="265"/>
      <c r="D66" s="265"/>
      <c r="E66" s="265"/>
      <c r="F66" s="263">
        <v>16</v>
      </c>
      <c r="G66" s="267" t="s">
        <v>4</v>
      </c>
      <c r="H66" s="268" t="s">
        <v>113</v>
      </c>
      <c r="I66" s="264">
        <v>4600</v>
      </c>
      <c r="J66" s="264"/>
      <c r="K66" s="271"/>
      <c r="L66" s="271"/>
      <c r="M66" s="272"/>
    </row>
    <row r="67" spans="1:13" ht="21" customHeight="1">
      <c r="A67" s="263"/>
      <c r="B67" s="265"/>
      <c r="C67" s="265"/>
      <c r="D67" s="265"/>
      <c r="E67" s="265"/>
      <c r="F67" s="263">
        <v>16</v>
      </c>
      <c r="G67" s="267" t="s">
        <v>114</v>
      </c>
      <c r="H67" s="268" t="str">
        <f>H63</f>
        <v>12001-Deposito a Ordem</v>
      </c>
      <c r="I67" s="264"/>
      <c r="J67" s="264">
        <f>I66</f>
        <v>4600</v>
      </c>
      <c r="K67" s="271"/>
      <c r="L67" s="271"/>
      <c r="M67" s="272"/>
    </row>
    <row r="68" spans="1:13" ht="21" customHeight="1">
      <c r="A68" s="263"/>
      <c r="B68" s="265"/>
      <c r="C68" s="265"/>
      <c r="D68" s="265"/>
      <c r="E68" s="265"/>
      <c r="F68" s="263"/>
      <c r="G68" s="267"/>
      <c r="H68" s="273" t="s">
        <v>115</v>
      </c>
      <c r="I68" s="264"/>
      <c r="J68" s="264"/>
      <c r="K68" s="271"/>
      <c r="L68" s="271"/>
      <c r="M68" s="272"/>
    </row>
    <row r="69" spans="1:13" ht="21" customHeight="1">
      <c r="A69" s="263"/>
      <c r="B69" s="265"/>
      <c r="C69" s="265"/>
      <c r="D69" s="265"/>
      <c r="E69" s="265"/>
      <c r="F69" s="263"/>
      <c r="G69" s="267"/>
      <c r="H69" s="273"/>
      <c r="I69" s="264"/>
      <c r="J69" s="264"/>
      <c r="K69" s="271"/>
      <c r="L69" s="271"/>
      <c r="M69" s="272"/>
    </row>
    <row r="70" spans="1:13" ht="21" customHeight="1">
      <c r="A70" s="263"/>
      <c r="B70" s="265"/>
      <c r="C70" s="265"/>
      <c r="D70" s="265"/>
      <c r="E70" s="265"/>
      <c r="F70" s="263">
        <v>17</v>
      </c>
      <c r="G70" s="267" t="s">
        <v>4</v>
      </c>
      <c r="H70" s="268" t="s">
        <v>116</v>
      </c>
      <c r="I70" s="264">
        <v>250</v>
      </c>
      <c r="J70" s="264"/>
      <c r="K70" s="271"/>
      <c r="L70" s="271"/>
      <c r="M70" s="272"/>
    </row>
    <row r="71" spans="1:13">
      <c r="A71" s="263"/>
      <c r="B71" s="265"/>
      <c r="C71" s="265"/>
      <c r="D71" s="265"/>
      <c r="E71" s="265"/>
      <c r="F71" s="263">
        <v>17</v>
      </c>
      <c r="G71" s="267" t="s">
        <v>4</v>
      </c>
      <c r="H71" s="268" t="s">
        <v>117</v>
      </c>
      <c r="I71" s="264">
        <v>250</v>
      </c>
      <c r="J71" s="264">
        <f>SUM(I70:I71)</f>
        <v>500</v>
      </c>
      <c r="K71" s="271"/>
      <c r="L71" s="271"/>
      <c r="M71" s="272"/>
    </row>
    <row r="72" spans="1:13" ht="21" customHeight="1">
      <c r="A72" s="263"/>
      <c r="B72" s="265"/>
      <c r="C72" s="265"/>
      <c r="D72" s="265"/>
      <c r="E72" s="265"/>
      <c r="F72" s="263">
        <v>17</v>
      </c>
      <c r="G72" s="267" t="s">
        <v>5</v>
      </c>
      <c r="H72" s="268" t="str">
        <f>H67</f>
        <v>12001-Deposito a Ordem</v>
      </c>
      <c r="I72" s="264"/>
      <c r="J72" s="264"/>
      <c r="K72" s="271"/>
      <c r="L72" s="271"/>
      <c r="M72" s="272"/>
    </row>
    <row r="73" spans="1:13" ht="21" customHeight="1">
      <c r="A73" s="263"/>
      <c r="B73" s="265"/>
      <c r="C73" s="265"/>
      <c r="D73" s="265"/>
      <c r="E73" s="265"/>
      <c r="F73" s="263"/>
      <c r="G73" s="267"/>
      <c r="H73" s="273" t="s">
        <v>118</v>
      </c>
      <c r="I73" s="264"/>
      <c r="J73" s="264"/>
      <c r="K73" s="271"/>
      <c r="L73" s="271"/>
      <c r="M73" s="272"/>
    </row>
    <row r="74" spans="1:13" ht="21" customHeight="1">
      <c r="A74" s="263"/>
      <c r="B74" s="265"/>
      <c r="C74" s="265"/>
      <c r="D74" s="265"/>
      <c r="E74" s="265"/>
      <c r="F74" s="263"/>
      <c r="G74" s="267"/>
      <c r="H74" s="273"/>
      <c r="I74" s="264"/>
      <c r="J74" s="264"/>
      <c r="K74" s="271"/>
      <c r="L74" s="271"/>
      <c r="M74" s="272"/>
    </row>
    <row r="75" spans="1:13" ht="21" customHeight="1">
      <c r="A75" s="263"/>
      <c r="B75" s="265"/>
      <c r="C75" s="265"/>
      <c r="D75" s="265"/>
      <c r="E75" s="265"/>
      <c r="F75" s="263">
        <v>18</v>
      </c>
      <c r="G75" s="267" t="s">
        <v>4</v>
      </c>
      <c r="H75" s="268" t="s">
        <v>119</v>
      </c>
      <c r="I75" s="276">
        <f>J77/1.15</f>
        <v>6942104.3478260878</v>
      </c>
      <c r="J75" s="264"/>
      <c r="K75" s="271"/>
      <c r="L75" s="271"/>
      <c r="M75" s="272"/>
    </row>
    <row r="76" spans="1:13" ht="21" customHeight="1">
      <c r="A76" s="263"/>
      <c r="B76" s="265"/>
      <c r="C76" s="265"/>
      <c r="D76" s="265"/>
      <c r="E76" s="265"/>
      <c r="F76" s="263">
        <v>18</v>
      </c>
      <c r="G76" s="267" t="s">
        <v>4</v>
      </c>
      <c r="H76" s="263" t="str">
        <f>H58</f>
        <v>2442301- Iva Dedutivel</v>
      </c>
      <c r="I76" s="276">
        <f>I75*0.15</f>
        <v>1041315.6521739131</v>
      </c>
      <c r="J76" s="267"/>
      <c r="K76" s="271"/>
      <c r="L76" s="271"/>
      <c r="M76" s="272"/>
    </row>
    <row r="77" spans="1:13" ht="21" customHeight="1">
      <c r="A77" s="263"/>
      <c r="B77" s="265"/>
      <c r="C77" s="265"/>
      <c r="D77" s="265"/>
      <c r="E77" s="265"/>
      <c r="F77" s="263">
        <v>18</v>
      </c>
      <c r="G77" s="267" t="s">
        <v>5</v>
      </c>
      <c r="H77" s="277" t="str">
        <f>H63</f>
        <v>12001-Deposito a Ordem</v>
      </c>
      <c r="I77" s="276"/>
      <c r="J77" s="264">
        <f>'[5]Orçamento de compra'!$D$33</f>
        <v>7983420</v>
      </c>
      <c r="K77" s="271"/>
      <c r="L77" s="271"/>
      <c r="M77" s="272"/>
    </row>
    <row r="78" spans="1:13" ht="21" customHeight="1">
      <c r="A78" s="263"/>
      <c r="B78" s="265"/>
      <c r="C78" s="265"/>
      <c r="D78" s="265"/>
      <c r="E78" s="265"/>
      <c r="F78" s="263"/>
      <c r="G78" s="267"/>
      <c r="H78" s="277" t="s">
        <v>112</v>
      </c>
      <c r="I78" s="276"/>
      <c r="J78" s="276"/>
      <c r="K78" s="271"/>
      <c r="L78" s="271"/>
      <c r="M78" s="272"/>
    </row>
    <row r="79" spans="1:13" ht="21" customHeight="1">
      <c r="A79" s="263"/>
      <c r="B79" s="265"/>
      <c r="C79" s="265"/>
      <c r="D79" s="265"/>
      <c r="E79" s="265"/>
      <c r="F79" s="263"/>
      <c r="G79" s="267"/>
      <c r="H79" s="277"/>
      <c r="I79" s="276"/>
      <c r="J79" s="276"/>
      <c r="K79" s="271"/>
      <c r="L79" s="271"/>
      <c r="M79" s="272"/>
    </row>
    <row r="80" spans="1:13" ht="21" customHeight="1">
      <c r="A80" s="263"/>
      <c r="B80" s="265"/>
      <c r="C80" s="265"/>
      <c r="D80" s="265"/>
      <c r="E80" s="265"/>
      <c r="F80" s="263"/>
      <c r="G80" s="267"/>
      <c r="H80" s="277"/>
      <c r="I80" s="276"/>
      <c r="J80" s="276"/>
      <c r="K80" s="271"/>
      <c r="L80" s="271"/>
      <c r="M80" s="272"/>
    </row>
    <row r="81" spans="1:13" ht="21" customHeight="1">
      <c r="A81" s="263"/>
      <c r="B81" s="265"/>
      <c r="C81" s="265"/>
      <c r="D81" s="265"/>
      <c r="E81" s="265"/>
      <c r="F81" s="263"/>
      <c r="G81" s="267"/>
      <c r="H81" s="277"/>
      <c r="I81" s="276"/>
      <c r="J81" s="276"/>
      <c r="K81" s="271"/>
      <c r="L81" s="271"/>
      <c r="M81" s="272"/>
    </row>
    <row r="82" spans="1:13" ht="21" customHeight="1">
      <c r="A82" s="263"/>
      <c r="B82" s="265"/>
      <c r="C82" s="265"/>
      <c r="D82" s="265"/>
      <c r="E82" s="265"/>
      <c r="F82" s="263"/>
      <c r="G82" s="267"/>
      <c r="H82" s="277"/>
      <c r="I82" s="276"/>
      <c r="J82" s="276"/>
      <c r="K82" s="271"/>
      <c r="L82" s="271"/>
      <c r="M82" s="272"/>
    </row>
    <row r="83" spans="1:13" ht="21" customHeight="1">
      <c r="A83" s="263"/>
      <c r="B83" s="265"/>
      <c r="C83" s="265"/>
      <c r="D83" s="265"/>
      <c r="E83" s="265"/>
      <c r="F83" s="263"/>
      <c r="G83" s="267"/>
      <c r="H83" s="277"/>
      <c r="I83" s="276"/>
      <c r="J83" s="276"/>
      <c r="K83" s="271"/>
      <c r="L83" s="271"/>
      <c r="M83" s="272"/>
    </row>
    <row r="84" spans="1:13" ht="21" customHeight="1">
      <c r="A84" s="263"/>
      <c r="B84" s="265"/>
      <c r="C84" s="265"/>
      <c r="D84" s="265"/>
      <c r="E84" s="265"/>
      <c r="F84" s="263"/>
      <c r="G84" s="267"/>
      <c r="H84" s="278" t="s">
        <v>210</v>
      </c>
      <c r="I84" s="276"/>
      <c r="J84" s="276"/>
      <c r="K84" s="271"/>
      <c r="L84" s="271"/>
      <c r="M84" s="272"/>
    </row>
    <row r="85" spans="1:13" ht="21" customHeight="1">
      <c r="A85" s="263"/>
      <c r="B85" s="265"/>
      <c r="C85" s="265"/>
      <c r="D85" s="265"/>
      <c r="E85" s="265"/>
      <c r="F85" s="263">
        <v>19</v>
      </c>
      <c r="G85" s="267" t="s">
        <v>4</v>
      </c>
      <c r="H85" s="263" t="str">
        <f>H59</f>
        <v>1100001-Caixa</v>
      </c>
      <c r="I85" s="276">
        <f>'[5]Programa e Orçamento de venda '!$F$34</f>
        <v>14623224</v>
      </c>
      <c r="J85" s="276"/>
      <c r="K85" s="271"/>
      <c r="L85" s="271"/>
      <c r="M85" s="272"/>
    </row>
    <row r="86" spans="1:13" ht="21" customHeight="1">
      <c r="A86" s="263"/>
      <c r="B86" s="265"/>
      <c r="C86" s="265"/>
      <c r="D86" s="265"/>
      <c r="E86" s="265"/>
      <c r="F86" s="263">
        <v>19</v>
      </c>
      <c r="G86" s="267" t="s">
        <v>5</v>
      </c>
      <c r="H86" s="277" t="s">
        <v>122</v>
      </c>
      <c r="I86" s="276"/>
      <c r="J86" s="276">
        <f>J87*0.15</f>
        <v>1907377.043478261</v>
      </c>
      <c r="K86" s="271"/>
      <c r="L86" s="271"/>
      <c r="M86" s="272"/>
    </row>
    <row r="87" spans="1:13" ht="21" customHeight="1">
      <c r="A87" s="263"/>
      <c r="B87" s="265"/>
      <c r="C87" s="265"/>
      <c r="D87" s="265"/>
      <c r="E87" s="265"/>
      <c r="F87" s="263">
        <v>19</v>
      </c>
      <c r="G87" s="267" t="s">
        <v>5</v>
      </c>
      <c r="H87" s="277" t="s">
        <v>121</v>
      </c>
      <c r="I87" s="276"/>
      <c r="J87" s="276">
        <f>I85/1.15</f>
        <v>12715846.95652174</v>
      </c>
      <c r="K87" s="271"/>
      <c r="L87" s="271"/>
      <c r="M87" s="272"/>
    </row>
    <row r="88" spans="1:13" ht="21" customHeight="1">
      <c r="A88" s="263"/>
      <c r="B88" s="265"/>
      <c r="C88" s="265"/>
      <c r="D88" s="265"/>
      <c r="E88" s="265"/>
      <c r="F88" s="263"/>
      <c r="G88" s="267"/>
      <c r="H88" s="277" t="s">
        <v>341</v>
      </c>
      <c r="I88" s="276"/>
      <c r="J88" s="276"/>
      <c r="K88" s="271"/>
      <c r="L88" s="271"/>
      <c r="M88" s="272"/>
    </row>
    <row r="89" spans="1:13" ht="21" customHeight="1">
      <c r="A89" s="263"/>
      <c r="B89" s="265"/>
      <c r="C89" s="265"/>
      <c r="D89" s="265"/>
      <c r="E89" s="265"/>
      <c r="F89" s="263"/>
      <c r="G89" s="267"/>
      <c r="H89" s="277"/>
      <c r="I89" s="276"/>
      <c r="J89" s="276"/>
      <c r="K89" s="271"/>
      <c r="L89" s="271"/>
      <c r="M89" s="272"/>
    </row>
    <row r="90" spans="1:13" ht="21" customHeight="1">
      <c r="A90" s="263"/>
      <c r="B90" s="265"/>
      <c r="C90" s="265"/>
      <c r="D90" s="265"/>
      <c r="E90" s="265"/>
      <c r="F90" s="263">
        <v>20</v>
      </c>
      <c r="G90" s="267"/>
      <c r="H90" s="277" t="str">
        <f>H77</f>
        <v>12001-Deposito a Ordem</v>
      </c>
      <c r="I90" s="276">
        <f>J91</f>
        <v>14623224</v>
      </c>
      <c r="J90" s="276"/>
      <c r="K90" s="271"/>
      <c r="L90" s="271"/>
      <c r="M90" s="272"/>
    </row>
    <row r="91" spans="1:13" ht="21" customHeight="1">
      <c r="A91" s="263"/>
      <c r="B91" s="265"/>
      <c r="C91" s="265"/>
      <c r="D91" s="265"/>
      <c r="E91" s="265"/>
      <c r="F91" s="263">
        <v>20</v>
      </c>
      <c r="G91" s="267"/>
      <c r="H91" s="277" t="str">
        <f>H85</f>
        <v>1100001-Caixa</v>
      </c>
      <c r="I91" s="276"/>
      <c r="J91" s="276">
        <f>I85</f>
        <v>14623224</v>
      </c>
      <c r="K91" s="271"/>
      <c r="L91" s="271"/>
      <c r="M91" s="272"/>
    </row>
    <row r="92" spans="1:13" ht="21" customHeight="1">
      <c r="A92" s="263"/>
      <c r="B92" s="265"/>
      <c r="C92" s="265"/>
      <c r="D92" s="265"/>
      <c r="E92" s="265"/>
      <c r="F92" s="263">
        <v>20</v>
      </c>
      <c r="G92" s="267"/>
      <c r="H92" s="279" t="s">
        <v>124</v>
      </c>
      <c r="I92" s="276"/>
      <c r="J92" s="276"/>
      <c r="K92" s="271"/>
      <c r="L92" s="271"/>
      <c r="M92" s="272"/>
    </row>
    <row r="93" spans="1:13" ht="21" customHeight="1">
      <c r="A93" s="263"/>
      <c r="B93" s="265"/>
      <c r="C93" s="265"/>
      <c r="D93" s="265"/>
      <c r="E93" s="265"/>
      <c r="F93" s="263"/>
      <c r="G93" s="267"/>
      <c r="H93" s="279"/>
      <c r="I93" s="276"/>
      <c r="J93" s="276"/>
      <c r="K93" s="271"/>
      <c r="L93" s="271"/>
      <c r="M93" s="272"/>
    </row>
    <row r="94" spans="1:13" ht="21" customHeight="1">
      <c r="A94" s="263"/>
      <c r="B94" s="265"/>
      <c r="C94" s="265"/>
      <c r="D94" s="265"/>
      <c r="E94" s="265"/>
      <c r="F94" s="263">
        <v>21</v>
      </c>
      <c r="G94" s="267" t="s">
        <v>4</v>
      </c>
      <c r="H94" s="277" t="str">
        <f>H70</f>
        <v>6211001- Agua</v>
      </c>
      <c r="I94" s="276">
        <f>[3]FSE!$H$10</f>
        <v>45000</v>
      </c>
      <c r="J94" s="276"/>
      <c r="K94" s="271"/>
      <c r="L94" s="271"/>
      <c r="M94" s="272"/>
    </row>
    <row r="95" spans="1:13" ht="21" customHeight="1">
      <c r="A95" s="263"/>
      <c r="B95" s="265"/>
      <c r="C95" s="265"/>
      <c r="D95" s="265"/>
      <c r="E95" s="265"/>
      <c r="F95" s="263">
        <v>21</v>
      </c>
      <c r="G95" s="267" t="s">
        <v>4</v>
      </c>
      <c r="H95" s="277" t="str">
        <f>H71</f>
        <v>6212001- Electricidade</v>
      </c>
      <c r="I95" s="276">
        <f>[3]FSE!$H$7</f>
        <v>90000</v>
      </c>
      <c r="J95" s="276"/>
      <c r="K95" s="271"/>
      <c r="L95" s="271"/>
      <c r="M95" s="272"/>
    </row>
    <row r="96" spans="1:13" ht="21" customHeight="1">
      <c r="A96" s="263"/>
      <c r="B96" s="265"/>
      <c r="C96" s="265"/>
      <c r="D96" s="265"/>
      <c r="E96" s="265"/>
      <c r="F96" s="263">
        <v>21</v>
      </c>
      <c r="G96" s="267" t="s">
        <v>4</v>
      </c>
      <c r="H96" s="277" t="str">
        <f>H66</f>
        <v>6224001-Comuniçao</v>
      </c>
      <c r="I96" s="276">
        <f>[3]FSE!$H$9</f>
        <v>15000</v>
      </c>
      <c r="J96" s="276"/>
      <c r="K96" s="271"/>
      <c r="L96" s="271"/>
      <c r="M96" s="272"/>
    </row>
    <row r="97" spans="1:13" ht="21" customHeight="1">
      <c r="A97" s="263"/>
      <c r="B97" s="265"/>
      <c r="C97" s="265"/>
      <c r="D97" s="265"/>
      <c r="E97" s="265"/>
      <c r="F97" s="263">
        <v>21</v>
      </c>
      <c r="G97" s="267" t="s">
        <v>4</v>
      </c>
      <c r="H97" s="277" t="s">
        <v>126</v>
      </c>
      <c r="I97" s="276">
        <f>[3]FSE!$H$15</f>
        <v>45000</v>
      </c>
      <c r="J97" s="276"/>
      <c r="K97" s="271"/>
      <c r="L97" s="271"/>
      <c r="M97" s="272"/>
    </row>
    <row r="98" spans="1:13" ht="21" customHeight="1">
      <c r="A98" s="263"/>
      <c r="B98" s="265"/>
      <c r="C98" s="265"/>
      <c r="D98" s="265"/>
      <c r="E98" s="265"/>
      <c r="F98" s="263">
        <v>21</v>
      </c>
      <c r="G98" s="267" t="s">
        <v>4</v>
      </c>
      <c r="H98" s="277" t="s">
        <v>127</v>
      </c>
      <c r="I98" s="276">
        <v>100000</v>
      </c>
      <c r="J98" s="276"/>
      <c r="K98" s="271"/>
      <c r="L98" s="271"/>
      <c r="M98" s="272"/>
    </row>
    <row r="99" spans="1:13" ht="21" customHeight="1">
      <c r="A99" s="263"/>
      <c r="B99" s="265"/>
      <c r="C99" s="265"/>
      <c r="D99" s="265"/>
      <c r="E99" s="265"/>
      <c r="F99" s="263">
        <v>21</v>
      </c>
      <c r="G99" s="267" t="s">
        <v>4</v>
      </c>
      <c r="H99" s="277" t="s">
        <v>128</v>
      </c>
      <c r="I99" s="276">
        <f>[3]FSE!$H$16</f>
        <v>54000</v>
      </c>
      <c r="J99" s="276"/>
      <c r="K99" s="271"/>
      <c r="L99" s="271"/>
      <c r="M99" s="272"/>
    </row>
    <row r="100" spans="1:13" ht="21" customHeight="1">
      <c r="A100" s="263"/>
      <c r="B100" s="265"/>
      <c r="C100" s="265"/>
      <c r="D100" s="265"/>
      <c r="E100" s="265"/>
      <c r="F100" s="263">
        <v>21</v>
      </c>
      <c r="G100" s="267" t="s">
        <v>4</v>
      </c>
      <c r="H100" s="277" t="s">
        <v>129</v>
      </c>
      <c r="I100" s="276">
        <f>[3]FSE!$H$17</f>
        <v>35175</v>
      </c>
      <c r="J100" s="276"/>
      <c r="K100" s="271"/>
      <c r="L100" s="271"/>
      <c r="M100" s="272"/>
    </row>
    <row r="101" spans="1:13" ht="21" customHeight="1">
      <c r="A101" s="263"/>
      <c r="B101" s="265"/>
      <c r="C101" s="265"/>
      <c r="D101" s="265"/>
      <c r="E101" s="265"/>
      <c r="F101" s="263">
        <v>21</v>
      </c>
      <c r="G101" s="267" t="s">
        <v>4</v>
      </c>
      <c r="H101" s="277" t="s">
        <v>208</v>
      </c>
      <c r="I101" s="276">
        <f>[3]FSE!$H$18</f>
        <v>24750</v>
      </c>
      <c r="J101" s="276"/>
      <c r="K101" s="271"/>
      <c r="L101" s="271"/>
      <c r="M101" s="272"/>
    </row>
    <row r="102" spans="1:13" ht="21" customHeight="1">
      <c r="A102" s="263"/>
      <c r="B102" s="265"/>
      <c r="C102" s="265"/>
      <c r="D102" s="265"/>
      <c r="E102" s="265"/>
      <c r="F102" s="263">
        <v>21</v>
      </c>
      <c r="G102" s="267" t="s">
        <v>5</v>
      </c>
      <c r="H102" s="277" t="str">
        <f>H90</f>
        <v>12001-Deposito a Ordem</v>
      </c>
      <c r="I102" s="276"/>
      <c r="J102" s="276">
        <f>SUM(I94:I101)</f>
        <v>408925</v>
      </c>
      <c r="K102" s="271"/>
      <c r="L102" s="271"/>
      <c r="M102" s="272"/>
    </row>
    <row r="103" spans="1:13">
      <c r="A103" s="263"/>
      <c r="B103" s="265"/>
      <c r="C103" s="265"/>
      <c r="D103" s="265"/>
      <c r="E103" s="265"/>
      <c r="F103" s="263"/>
      <c r="G103" s="267"/>
      <c r="H103" s="279" t="s">
        <v>125</v>
      </c>
      <c r="I103" s="267"/>
      <c r="J103" s="267"/>
      <c r="K103" s="265"/>
      <c r="L103" s="265"/>
      <c r="M103" s="266"/>
    </row>
    <row r="104" spans="1:13">
      <c r="A104" s="263"/>
      <c r="B104" s="265"/>
      <c r="C104" s="265"/>
      <c r="D104" s="265"/>
      <c r="E104" s="265"/>
      <c r="F104" s="263"/>
      <c r="G104" s="267"/>
      <c r="H104" s="279"/>
      <c r="I104" s="267"/>
      <c r="J104" s="267"/>
      <c r="K104" s="265"/>
      <c r="L104" s="265"/>
      <c r="M104" s="266"/>
    </row>
    <row r="105" spans="1:13">
      <c r="A105" s="263"/>
      <c r="B105" s="265"/>
      <c r="C105" s="265"/>
      <c r="D105" s="265"/>
      <c r="E105" s="265"/>
      <c r="F105" s="263">
        <v>22</v>
      </c>
      <c r="G105" s="267" t="s">
        <v>4</v>
      </c>
      <c r="H105" s="277" t="s">
        <v>132</v>
      </c>
      <c r="I105" s="276">
        <f>[3]FSE!$H$13</f>
        <v>45000</v>
      </c>
      <c r="J105" s="267"/>
      <c r="K105" s="265"/>
      <c r="L105" s="265"/>
      <c r="M105" s="266"/>
    </row>
    <row r="106" spans="1:13">
      <c r="A106" s="263"/>
      <c r="B106" s="265"/>
      <c r="C106" s="265"/>
      <c r="D106" s="265"/>
      <c r="E106" s="265"/>
      <c r="F106" s="263">
        <v>22</v>
      </c>
      <c r="G106" s="267" t="s">
        <v>5</v>
      </c>
      <c r="H106" s="263" t="str">
        <f>H39</f>
        <v>2622001-Credores por Acrescimo de Gasto</v>
      </c>
      <c r="I106" s="267"/>
      <c r="J106" s="264">
        <f>I105</f>
        <v>45000</v>
      </c>
      <c r="K106" s="265"/>
      <c r="L106" s="265"/>
      <c r="M106" s="266"/>
    </row>
    <row r="107" spans="1:13">
      <c r="A107" s="263"/>
      <c r="B107" s="265"/>
      <c r="C107" s="265"/>
      <c r="D107" s="265"/>
      <c r="E107" s="265"/>
      <c r="F107" s="263"/>
      <c r="G107" s="267"/>
      <c r="H107" s="280" t="s">
        <v>194</v>
      </c>
      <c r="I107" s="267"/>
      <c r="J107" s="267"/>
      <c r="K107" s="265"/>
      <c r="L107" s="265"/>
      <c r="M107" s="266"/>
    </row>
    <row r="108" spans="1:13">
      <c r="A108" s="263"/>
      <c r="B108" s="265"/>
      <c r="C108" s="265"/>
      <c r="D108" s="265"/>
      <c r="E108" s="265"/>
      <c r="F108" s="263"/>
      <c r="G108" s="267"/>
      <c r="H108" s="279"/>
      <c r="I108" s="267"/>
      <c r="J108" s="267"/>
      <c r="K108" s="265"/>
      <c r="L108" s="265"/>
      <c r="M108" s="266"/>
    </row>
    <row r="109" spans="1:13">
      <c r="A109" s="263"/>
      <c r="B109" s="265"/>
      <c r="C109" s="265"/>
      <c r="D109" s="265"/>
      <c r="E109" s="265"/>
      <c r="F109" s="263">
        <v>23</v>
      </c>
      <c r="G109" s="267" t="s">
        <v>4</v>
      </c>
      <c r="H109" s="277" t="s">
        <v>136</v>
      </c>
      <c r="I109" s="276">
        <f>SUM(J110:J112)</f>
        <v>2178600</v>
      </c>
      <c r="J109" s="267"/>
      <c r="K109" s="265"/>
      <c r="L109" s="265"/>
      <c r="M109" s="266"/>
    </row>
    <row r="110" spans="1:13">
      <c r="A110" s="263"/>
      <c r="B110" s="265"/>
      <c r="C110" s="265"/>
      <c r="D110" s="265"/>
      <c r="E110" s="265"/>
      <c r="F110" s="263">
        <v>23</v>
      </c>
      <c r="G110" s="267" t="s">
        <v>5</v>
      </c>
      <c r="H110" s="277" t="s">
        <v>135</v>
      </c>
      <c r="I110" s="267"/>
      <c r="J110" s="276">
        <f>'[5]Custo com pesoal  a '!$D$23*3</f>
        <v>1995000</v>
      </c>
      <c r="K110" s="265"/>
      <c r="L110" s="265"/>
      <c r="M110" s="266"/>
    </row>
    <row r="111" spans="1:13">
      <c r="A111" s="263"/>
      <c r="B111" s="265"/>
      <c r="C111" s="265"/>
      <c r="D111" s="265"/>
      <c r="E111" s="265"/>
      <c r="F111" s="263">
        <v>23</v>
      </c>
      <c r="G111" s="267" t="s">
        <v>5</v>
      </c>
      <c r="H111" s="277" t="s">
        <v>141</v>
      </c>
      <c r="I111" s="267"/>
      <c r="J111" s="276">
        <f>'[5]Custo com pesoal  a '!$G$23*3</f>
        <v>24000</v>
      </c>
      <c r="K111" s="265"/>
      <c r="L111" s="265"/>
      <c r="M111" s="266"/>
    </row>
    <row r="112" spans="1:13">
      <c r="A112" s="263"/>
      <c r="B112" s="265"/>
      <c r="C112" s="265"/>
      <c r="D112" s="265"/>
      <c r="E112" s="265"/>
      <c r="F112" s="263"/>
      <c r="G112" s="267" t="s">
        <v>5</v>
      </c>
      <c r="H112" s="277" t="s">
        <v>138</v>
      </c>
      <c r="I112" s="267"/>
      <c r="J112" s="276">
        <f>'[5]Custo com pesoal  a '!$E$23*3</f>
        <v>159600</v>
      </c>
      <c r="K112" s="265"/>
      <c r="L112" s="265"/>
      <c r="M112" s="266"/>
    </row>
    <row r="113" spans="1:13">
      <c r="A113" s="263"/>
      <c r="B113" s="265"/>
      <c r="C113" s="265"/>
      <c r="D113" s="265"/>
      <c r="E113" s="265"/>
      <c r="F113" s="263"/>
      <c r="G113" s="267"/>
      <c r="H113" s="279" t="s">
        <v>139</v>
      </c>
      <c r="I113" s="267"/>
      <c r="J113" s="267"/>
      <c r="K113" s="265"/>
      <c r="L113" s="265"/>
      <c r="M113" s="266"/>
    </row>
    <row r="114" spans="1:13">
      <c r="A114" s="263"/>
      <c r="B114" s="265"/>
      <c r="C114" s="265"/>
      <c r="D114" s="265"/>
      <c r="E114" s="265"/>
      <c r="F114" s="263"/>
      <c r="G114" s="267"/>
      <c r="H114" s="279"/>
      <c r="I114" s="267"/>
      <c r="J114" s="267"/>
      <c r="K114" s="265"/>
      <c r="L114" s="265"/>
      <c r="M114" s="266"/>
    </row>
    <row r="115" spans="1:13">
      <c r="A115" s="263"/>
      <c r="B115" s="265"/>
      <c r="C115" s="265"/>
      <c r="D115" s="265"/>
      <c r="E115" s="265"/>
      <c r="F115" s="263">
        <v>24</v>
      </c>
      <c r="G115" s="267" t="s">
        <v>4</v>
      </c>
      <c r="H115" s="277" t="s">
        <v>140</v>
      </c>
      <c r="I115" s="276">
        <f>'[5]Custo com pesoal  a '!$F$23*3</f>
        <v>299250</v>
      </c>
      <c r="J115" s="267"/>
      <c r="K115" s="265"/>
      <c r="L115" s="265"/>
      <c r="M115" s="266"/>
    </row>
    <row r="116" spans="1:13">
      <c r="A116" s="263"/>
      <c r="B116" s="265"/>
      <c r="C116" s="265"/>
      <c r="D116" s="265"/>
      <c r="E116" s="265"/>
      <c r="F116" s="263">
        <v>24</v>
      </c>
      <c r="G116" s="267" t="s">
        <v>5</v>
      </c>
      <c r="H116" s="277" t="str">
        <f>H112</f>
        <v>248001-Segurança Social</v>
      </c>
      <c r="I116" s="267"/>
      <c r="J116" s="276">
        <f>I115</f>
        <v>299250</v>
      </c>
      <c r="K116" s="265"/>
      <c r="L116" s="265"/>
      <c r="M116" s="266"/>
    </row>
    <row r="117" spans="1:13">
      <c r="A117" s="263"/>
      <c r="B117" s="265"/>
      <c r="C117" s="265"/>
      <c r="D117" s="265"/>
      <c r="E117" s="265"/>
      <c r="F117" s="263"/>
      <c r="G117" s="267"/>
      <c r="H117" s="279" t="s">
        <v>142</v>
      </c>
      <c r="I117" s="267"/>
      <c r="J117" s="267"/>
      <c r="K117" s="265"/>
      <c r="L117" s="265"/>
      <c r="M117" s="266"/>
    </row>
    <row r="118" spans="1:13">
      <c r="A118" s="263"/>
      <c r="B118" s="265"/>
      <c r="C118" s="265"/>
      <c r="D118" s="265"/>
      <c r="E118" s="265"/>
      <c r="F118" s="263"/>
      <c r="G118" s="267"/>
      <c r="H118" s="279"/>
      <c r="I118" s="267"/>
      <c r="J118" s="267"/>
      <c r="K118" s="265"/>
      <c r="L118" s="265"/>
      <c r="M118" s="266"/>
    </row>
    <row r="119" spans="1:13">
      <c r="A119" s="263"/>
      <c r="B119" s="265"/>
      <c r="C119" s="265"/>
      <c r="D119" s="265"/>
      <c r="E119" s="265"/>
      <c r="F119" s="263">
        <v>25</v>
      </c>
      <c r="G119" s="267" t="s">
        <v>4</v>
      </c>
      <c r="H119" s="277" t="s">
        <v>137</v>
      </c>
      <c r="I119" s="276">
        <f>SUM(J120:J122)</f>
        <v>961050</v>
      </c>
      <c r="J119" s="267"/>
      <c r="K119" s="265"/>
      <c r="L119" s="265"/>
      <c r="M119" s="266"/>
    </row>
    <row r="120" spans="1:13">
      <c r="A120" s="263"/>
      <c r="B120" s="265"/>
      <c r="C120" s="265"/>
      <c r="D120" s="265"/>
      <c r="E120" s="265"/>
      <c r="F120" s="263">
        <v>25</v>
      </c>
      <c r="G120" s="267" t="s">
        <v>5</v>
      </c>
      <c r="H120" s="277" t="s">
        <v>134</v>
      </c>
      <c r="I120" s="267"/>
      <c r="J120" s="276">
        <f>'[5]Custo com pesoal  a '!$D$9*3</f>
        <v>825000</v>
      </c>
      <c r="K120" s="265"/>
      <c r="L120" s="265"/>
      <c r="M120" s="266"/>
    </row>
    <row r="121" spans="1:13">
      <c r="A121" s="263"/>
      <c r="B121" s="265"/>
      <c r="C121" s="265"/>
      <c r="D121" s="265"/>
      <c r="E121" s="265"/>
      <c r="F121" s="263">
        <v>25</v>
      </c>
      <c r="G121" s="267" t="s">
        <v>5</v>
      </c>
      <c r="H121" s="277" t="str">
        <f>H111</f>
        <v>2412001-  Retenção do IUR-Trabalhador dependente</v>
      </c>
      <c r="I121" s="267"/>
      <c r="J121" s="276">
        <f>'[5]Custo com pesoal  a '!$G$9*3</f>
        <v>70050</v>
      </c>
      <c r="K121" s="265"/>
      <c r="L121" s="265"/>
      <c r="M121" s="266"/>
    </row>
    <row r="122" spans="1:13">
      <c r="A122" s="263"/>
      <c r="B122" s="265"/>
      <c r="C122" s="265"/>
      <c r="D122" s="265"/>
      <c r="E122" s="265"/>
      <c r="F122" s="263">
        <v>25</v>
      </c>
      <c r="G122" s="267" t="s">
        <v>5</v>
      </c>
      <c r="H122" s="277" t="s">
        <v>138</v>
      </c>
      <c r="I122" s="267"/>
      <c r="J122" s="276">
        <f>'[5]Custo com pesoal  a '!$E$9*3</f>
        <v>66000</v>
      </c>
      <c r="K122" s="265"/>
      <c r="L122" s="265"/>
      <c r="M122" s="266"/>
    </row>
    <row r="123" spans="1:13">
      <c r="A123" s="263"/>
      <c r="B123" s="265"/>
      <c r="C123" s="265"/>
      <c r="D123" s="265"/>
      <c r="E123" s="265"/>
      <c r="F123" s="263"/>
      <c r="G123" s="267"/>
      <c r="H123" s="279" t="s">
        <v>143</v>
      </c>
      <c r="I123" s="267"/>
      <c r="J123" s="267"/>
      <c r="K123" s="265"/>
      <c r="L123" s="265"/>
      <c r="M123" s="266"/>
    </row>
    <row r="124" spans="1:13">
      <c r="A124" s="263"/>
      <c r="B124" s="265"/>
      <c r="C124" s="265"/>
      <c r="D124" s="265"/>
      <c r="E124" s="265"/>
      <c r="F124" s="263"/>
      <c r="G124" s="267"/>
      <c r="H124" s="279"/>
      <c r="I124" s="267"/>
      <c r="J124" s="267"/>
      <c r="K124" s="265"/>
      <c r="L124" s="265"/>
      <c r="M124" s="266"/>
    </row>
    <row r="125" spans="1:13">
      <c r="A125" s="263"/>
      <c r="B125" s="265"/>
      <c r="C125" s="265"/>
      <c r="D125" s="265"/>
      <c r="E125" s="265"/>
      <c r="F125" s="263">
        <v>26</v>
      </c>
      <c r="G125" s="267"/>
      <c r="H125" s="263" t="str">
        <f>H115</f>
        <v>635001-Encargos sobre remunerações</v>
      </c>
      <c r="I125" s="276">
        <f>'[5]Custo com pesoal  a '!$F$9*3</f>
        <v>123750</v>
      </c>
      <c r="J125" s="267"/>
      <c r="K125" s="265"/>
      <c r="L125" s="265"/>
      <c r="M125" s="266"/>
    </row>
    <row r="126" spans="1:13">
      <c r="A126" s="263"/>
      <c r="B126" s="265"/>
      <c r="C126" s="265"/>
      <c r="D126" s="265"/>
      <c r="E126" s="265"/>
      <c r="F126" s="263">
        <v>26</v>
      </c>
      <c r="G126" s="267"/>
      <c r="H126" s="263" t="str">
        <f>H116</f>
        <v>248001-Segurança Social</v>
      </c>
      <c r="I126" s="267"/>
      <c r="J126" s="264">
        <f>I125</f>
        <v>123750</v>
      </c>
      <c r="K126" s="265"/>
      <c r="L126" s="265"/>
      <c r="M126" s="266"/>
    </row>
    <row r="127" spans="1:13">
      <c r="A127" s="263"/>
      <c r="B127" s="265"/>
      <c r="C127" s="265"/>
      <c r="D127" s="265"/>
      <c r="E127" s="265"/>
      <c r="F127" s="263"/>
      <c r="G127" s="267"/>
      <c r="H127" s="279" t="s">
        <v>144</v>
      </c>
      <c r="I127" s="267"/>
      <c r="J127" s="267"/>
      <c r="K127" s="265"/>
      <c r="L127" s="265"/>
      <c r="M127" s="266"/>
    </row>
    <row r="128" spans="1:13">
      <c r="A128" s="263"/>
      <c r="B128" s="265"/>
      <c r="C128" s="265"/>
      <c r="D128" s="265"/>
      <c r="E128" s="265"/>
      <c r="F128" s="263"/>
      <c r="G128" s="267"/>
      <c r="H128" s="279"/>
      <c r="I128" s="267"/>
      <c r="J128" s="267"/>
      <c r="K128" s="265"/>
      <c r="L128" s="265"/>
      <c r="M128" s="266"/>
    </row>
    <row r="129" spans="1:13">
      <c r="A129" s="263"/>
      <c r="B129" s="265"/>
      <c r="C129" s="265"/>
      <c r="D129" s="265"/>
      <c r="E129" s="265"/>
      <c r="F129" s="263">
        <v>27</v>
      </c>
      <c r="G129" s="267" t="s">
        <v>4</v>
      </c>
      <c r="H129" s="277" t="str">
        <f>H110</f>
        <v>271201- Remunerações a Pagar Ao Pesoal</v>
      </c>
      <c r="I129" s="264">
        <f>J110</f>
        <v>1995000</v>
      </c>
      <c r="J129" s="267"/>
      <c r="K129" s="265"/>
      <c r="L129" s="265"/>
      <c r="M129" s="266"/>
    </row>
    <row r="130" spans="1:13">
      <c r="A130" s="263"/>
      <c r="B130" s="265"/>
      <c r="C130" s="265"/>
      <c r="D130" s="265"/>
      <c r="E130" s="265"/>
      <c r="F130" s="263">
        <v>27</v>
      </c>
      <c r="G130" s="267" t="s">
        <v>4</v>
      </c>
      <c r="H130" s="277" t="str">
        <f>H111</f>
        <v>2412001-  Retenção do IUR-Trabalhador dependente</v>
      </c>
      <c r="I130" s="264">
        <f>J111</f>
        <v>24000</v>
      </c>
      <c r="J130" s="267"/>
      <c r="K130" s="265"/>
      <c r="L130" s="265"/>
      <c r="M130" s="266"/>
    </row>
    <row r="131" spans="1:13">
      <c r="A131" s="263"/>
      <c r="B131" s="265"/>
      <c r="C131" s="265"/>
      <c r="D131" s="265"/>
      <c r="E131" s="265"/>
      <c r="F131" s="263">
        <v>27</v>
      </c>
      <c r="G131" s="267" t="s">
        <v>4</v>
      </c>
      <c r="H131" s="277" t="str">
        <f>H112</f>
        <v>248001-Segurança Social</v>
      </c>
      <c r="I131" s="264">
        <f>J112</f>
        <v>159600</v>
      </c>
      <c r="J131" s="267"/>
      <c r="K131" s="265"/>
      <c r="L131" s="265"/>
      <c r="M131" s="266"/>
    </row>
    <row r="132" spans="1:13">
      <c r="A132" s="263"/>
      <c r="B132" s="265"/>
      <c r="C132" s="265"/>
      <c r="D132" s="265"/>
      <c r="E132" s="265"/>
      <c r="F132" s="263">
        <v>27</v>
      </c>
      <c r="G132" s="267" t="s">
        <v>5</v>
      </c>
      <c r="H132" s="277" t="str">
        <f>H102</f>
        <v>12001-Deposito a Ordem</v>
      </c>
      <c r="I132" s="276"/>
      <c r="J132" s="264">
        <f>SUM(I129:I131)</f>
        <v>2178600</v>
      </c>
      <c r="K132" s="265"/>
      <c r="L132" s="265"/>
      <c r="M132" s="266"/>
    </row>
    <row r="133" spans="1:13">
      <c r="A133" s="263"/>
      <c r="B133" s="265"/>
      <c r="C133" s="265"/>
      <c r="D133" s="265"/>
      <c r="E133" s="265"/>
      <c r="F133" s="263"/>
      <c r="G133" s="267"/>
      <c r="H133" s="279" t="s">
        <v>145</v>
      </c>
      <c r="I133" s="276"/>
      <c r="J133" s="267"/>
      <c r="K133" s="265"/>
      <c r="L133" s="265"/>
      <c r="M133" s="266"/>
    </row>
    <row r="134" spans="1:13">
      <c r="A134" s="263"/>
      <c r="B134" s="265"/>
      <c r="C134" s="265"/>
      <c r="D134" s="265"/>
      <c r="E134" s="265"/>
      <c r="F134" s="263"/>
      <c r="G134" s="267"/>
      <c r="H134" s="279"/>
      <c r="I134" s="276"/>
      <c r="J134" s="267"/>
      <c r="K134" s="265"/>
      <c r="L134" s="265"/>
      <c r="M134" s="266"/>
    </row>
    <row r="135" spans="1:13">
      <c r="A135" s="263"/>
      <c r="B135" s="265"/>
      <c r="C135" s="265"/>
      <c r="D135" s="265"/>
      <c r="E135" s="265"/>
      <c r="F135" s="263">
        <v>28</v>
      </c>
      <c r="G135" s="267"/>
      <c r="H135" s="277" t="str">
        <f>H116</f>
        <v>248001-Segurança Social</v>
      </c>
      <c r="I135" s="276">
        <f>J116</f>
        <v>299250</v>
      </c>
      <c r="J135" s="267"/>
      <c r="K135" s="265"/>
      <c r="L135" s="265"/>
      <c r="M135" s="266"/>
    </row>
    <row r="136" spans="1:13">
      <c r="A136" s="263"/>
      <c r="B136" s="265"/>
      <c r="C136" s="265"/>
      <c r="D136" s="265"/>
      <c r="E136" s="265"/>
      <c r="F136" s="263">
        <v>28</v>
      </c>
      <c r="G136" s="267"/>
      <c r="H136" s="277" t="str">
        <f>H132</f>
        <v>12001-Deposito a Ordem</v>
      </c>
      <c r="I136" s="276"/>
      <c r="J136" s="264">
        <f>I135</f>
        <v>299250</v>
      </c>
      <c r="K136" s="265"/>
      <c r="L136" s="265"/>
      <c r="M136" s="266"/>
    </row>
    <row r="137" spans="1:13">
      <c r="A137" s="263"/>
      <c r="B137" s="265"/>
      <c r="C137" s="265"/>
      <c r="D137" s="265"/>
      <c r="E137" s="265"/>
      <c r="F137" s="263"/>
      <c r="G137" s="267"/>
      <c r="H137" s="279" t="s">
        <v>196</v>
      </c>
      <c r="I137" s="276"/>
      <c r="J137" s="264"/>
      <c r="K137" s="265"/>
      <c r="L137" s="265"/>
      <c r="M137" s="266"/>
    </row>
    <row r="138" spans="1:13">
      <c r="A138" s="263"/>
      <c r="B138" s="265"/>
      <c r="C138" s="265"/>
      <c r="D138" s="265"/>
      <c r="E138" s="265"/>
      <c r="F138" s="263"/>
      <c r="G138" s="267"/>
      <c r="H138" s="263"/>
      <c r="I138" s="267"/>
      <c r="J138" s="267"/>
      <c r="K138" s="265"/>
      <c r="L138" s="265"/>
      <c r="M138" s="266"/>
    </row>
    <row r="139" spans="1:13">
      <c r="A139" s="263"/>
      <c r="B139" s="265"/>
      <c r="C139" s="265"/>
      <c r="D139" s="265"/>
      <c r="E139" s="265"/>
      <c r="F139" s="263">
        <v>29</v>
      </c>
      <c r="G139" s="267" t="s">
        <v>4</v>
      </c>
      <c r="H139" s="263" t="str">
        <f>H120</f>
        <v>271101- Remunerações a Pagar Orgão Sociais</v>
      </c>
      <c r="I139" s="264">
        <f>J120</f>
        <v>825000</v>
      </c>
      <c r="J139" s="264"/>
      <c r="K139" s="265"/>
      <c r="L139" s="265"/>
      <c r="M139" s="266"/>
    </row>
    <row r="140" spans="1:13">
      <c r="A140" s="263"/>
      <c r="B140" s="265"/>
      <c r="C140" s="265"/>
      <c r="D140" s="265"/>
      <c r="E140" s="265"/>
      <c r="F140" s="263">
        <v>29</v>
      </c>
      <c r="G140" s="267" t="s">
        <v>4</v>
      </c>
      <c r="H140" s="263" t="str">
        <f>H121</f>
        <v>2412001-  Retenção do IUR-Trabalhador dependente</v>
      </c>
      <c r="I140" s="264">
        <f>J121</f>
        <v>70050</v>
      </c>
      <c r="J140" s="264"/>
      <c r="K140" s="265"/>
      <c r="L140" s="265"/>
      <c r="M140" s="266"/>
    </row>
    <row r="141" spans="1:13">
      <c r="A141" s="263"/>
      <c r="B141" s="265"/>
      <c r="C141" s="265"/>
      <c r="D141" s="265"/>
      <c r="E141" s="265"/>
      <c r="F141" s="263">
        <v>29</v>
      </c>
      <c r="G141" s="267" t="s">
        <v>4</v>
      </c>
      <c r="H141" s="263" t="str">
        <f>H122</f>
        <v>248001-Segurança Social</v>
      </c>
      <c r="I141" s="264">
        <f>J122</f>
        <v>66000</v>
      </c>
      <c r="J141" s="264"/>
      <c r="K141" s="265"/>
      <c r="L141" s="265"/>
      <c r="M141" s="266"/>
    </row>
    <row r="142" spans="1:13">
      <c r="A142" s="263"/>
      <c r="B142" s="265"/>
      <c r="C142" s="265"/>
      <c r="D142" s="265"/>
      <c r="E142" s="265"/>
      <c r="F142" s="263">
        <v>29</v>
      </c>
      <c r="G142" s="267" t="s">
        <v>5</v>
      </c>
      <c r="H142" s="263" t="str">
        <f>H132</f>
        <v>12001-Deposito a Ordem</v>
      </c>
      <c r="I142" s="267"/>
      <c r="J142" s="264">
        <f>SUM(I139:I141)</f>
        <v>961050</v>
      </c>
      <c r="K142" s="265"/>
      <c r="L142" s="265"/>
      <c r="M142" s="266"/>
    </row>
    <row r="143" spans="1:13">
      <c r="A143" s="263"/>
      <c r="B143" s="265"/>
      <c r="C143" s="265"/>
      <c r="D143" s="265"/>
      <c r="E143" s="265"/>
      <c r="F143" s="263"/>
      <c r="G143" s="267"/>
      <c r="H143" s="279" t="s">
        <v>145</v>
      </c>
      <c r="I143" s="267"/>
      <c r="J143" s="267"/>
      <c r="K143" s="265"/>
      <c r="L143" s="265"/>
      <c r="M143" s="266"/>
    </row>
    <row r="144" spans="1:13">
      <c r="A144" s="263"/>
      <c r="B144" s="265"/>
      <c r="C144" s="265"/>
      <c r="D144" s="265"/>
      <c r="E144" s="265"/>
      <c r="F144" s="263"/>
      <c r="G144" s="267"/>
      <c r="H144" s="279"/>
      <c r="I144" s="267"/>
      <c r="J144" s="267"/>
      <c r="K144" s="265"/>
      <c r="L144" s="265"/>
      <c r="M144" s="266"/>
    </row>
    <row r="145" spans="1:13">
      <c r="A145" s="263"/>
      <c r="B145" s="265"/>
      <c r="C145" s="265"/>
      <c r="D145" s="265"/>
      <c r="E145" s="265"/>
      <c r="F145" s="263">
        <v>30</v>
      </c>
      <c r="G145" s="267"/>
      <c r="H145" s="263" t="str">
        <f>H126</f>
        <v>248001-Segurança Social</v>
      </c>
      <c r="I145" s="264">
        <f>J126</f>
        <v>123750</v>
      </c>
      <c r="J145" s="267"/>
      <c r="K145" s="265"/>
      <c r="L145" s="265"/>
      <c r="M145" s="266"/>
    </row>
    <row r="146" spans="1:13">
      <c r="A146" s="263"/>
      <c r="B146" s="265"/>
      <c r="C146" s="265"/>
      <c r="D146" s="265"/>
      <c r="E146" s="265"/>
      <c r="F146" s="263">
        <v>30</v>
      </c>
      <c r="G146" s="267"/>
      <c r="H146" s="263" t="str">
        <f>H136</f>
        <v>12001-Deposito a Ordem</v>
      </c>
      <c r="I146" s="267"/>
      <c r="J146" s="264">
        <f>I145</f>
        <v>123750</v>
      </c>
      <c r="K146" s="265"/>
      <c r="L146" s="265"/>
      <c r="M146" s="266"/>
    </row>
    <row r="147" spans="1:13">
      <c r="A147" s="263"/>
      <c r="B147" s="265"/>
      <c r="C147" s="265"/>
      <c r="D147" s="265"/>
      <c r="E147" s="265"/>
      <c r="F147" s="263"/>
      <c r="G147" s="267"/>
      <c r="H147" s="279" t="s">
        <v>196</v>
      </c>
      <c r="I147" s="267"/>
      <c r="J147" s="267"/>
      <c r="K147" s="265"/>
      <c r="L147" s="265"/>
      <c r="M147" s="266"/>
    </row>
    <row r="148" spans="1:13">
      <c r="A148" s="263"/>
      <c r="B148" s="265"/>
      <c r="C148" s="265"/>
      <c r="D148" s="265"/>
      <c r="E148" s="265"/>
      <c r="F148" s="263"/>
      <c r="G148" s="267"/>
      <c r="H148" s="279"/>
      <c r="I148" s="267"/>
      <c r="J148" s="267"/>
      <c r="K148" s="265"/>
      <c r="L148" s="265"/>
      <c r="M148" s="266"/>
    </row>
    <row r="149" spans="1:13">
      <c r="A149" s="263"/>
      <c r="B149" s="265"/>
      <c r="C149" s="265"/>
      <c r="D149" s="265"/>
      <c r="E149" s="265"/>
      <c r="F149" s="263"/>
      <c r="G149" s="267"/>
      <c r="H149" s="279"/>
      <c r="I149" s="267"/>
      <c r="J149" s="267"/>
      <c r="K149" s="265"/>
      <c r="L149" s="265"/>
      <c r="M149" s="266"/>
    </row>
    <row r="150" spans="1:13">
      <c r="A150" s="263"/>
      <c r="B150" s="265"/>
      <c r="C150" s="265"/>
      <c r="D150" s="265"/>
      <c r="E150" s="265"/>
      <c r="F150" s="263"/>
      <c r="G150" s="267"/>
      <c r="H150" s="279"/>
      <c r="I150" s="267"/>
      <c r="J150" s="267"/>
      <c r="K150" s="265"/>
      <c r="L150" s="265"/>
      <c r="M150" s="266"/>
    </row>
    <row r="151" spans="1:13">
      <c r="A151" s="263"/>
      <c r="B151" s="265"/>
      <c r="C151" s="265"/>
      <c r="D151" s="265"/>
      <c r="E151" s="265"/>
      <c r="F151" s="263"/>
      <c r="G151" s="267"/>
      <c r="H151" s="279"/>
      <c r="I151" s="267"/>
      <c r="J151" s="267"/>
      <c r="K151" s="265"/>
      <c r="L151" s="265"/>
      <c r="M151" s="266"/>
    </row>
    <row r="152" spans="1:13">
      <c r="A152" s="263"/>
      <c r="B152" s="265"/>
      <c r="C152" s="265"/>
      <c r="D152" s="265"/>
      <c r="E152" s="265"/>
      <c r="F152" s="263"/>
      <c r="G152" s="267"/>
      <c r="H152" s="279"/>
      <c r="I152" s="267"/>
      <c r="J152" s="267"/>
      <c r="K152" s="265"/>
      <c r="L152" s="265"/>
      <c r="M152" s="266"/>
    </row>
    <row r="153" spans="1:13">
      <c r="A153" s="263"/>
      <c r="B153" s="265"/>
      <c r="C153" s="265"/>
      <c r="D153" s="265"/>
      <c r="E153" s="265"/>
      <c r="F153" s="263"/>
      <c r="G153" s="267"/>
      <c r="H153" s="279"/>
      <c r="I153" s="267"/>
      <c r="J153" s="267"/>
      <c r="K153" s="265"/>
      <c r="L153" s="265"/>
      <c r="M153" s="266"/>
    </row>
    <row r="154" spans="1:13">
      <c r="A154" s="263"/>
      <c r="B154" s="265"/>
      <c r="C154" s="265"/>
      <c r="D154" s="265"/>
      <c r="E154" s="265"/>
      <c r="F154" s="263"/>
      <c r="G154" s="267"/>
      <c r="H154" s="278" t="s">
        <v>181</v>
      </c>
      <c r="I154" s="267"/>
      <c r="J154" s="267"/>
      <c r="K154" s="265"/>
      <c r="L154" s="265"/>
      <c r="M154" s="266"/>
    </row>
    <row r="155" spans="1:13">
      <c r="A155" s="263"/>
      <c r="B155" s="265"/>
      <c r="C155" s="265"/>
      <c r="D155" s="265"/>
      <c r="E155" s="265"/>
      <c r="F155" s="263"/>
      <c r="G155" s="267"/>
      <c r="H155" s="279"/>
      <c r="I155" s="267"/>
      <c r="J155" s="267"/>
      <c r="K155" s="265"/>
      <c r="L155" s="265"/>
      <c r="M155" s="266"/>
    </row>
    <row r="156" spans="1:13">
      <c r="A156" s="263"/>
      <c r="B156" s="265"/>
      <c r="C156" s="265"/>
      <c r="D156" s="265"/>
      <c r="E156" s="265"/>
      <c r="F156" s="263"/>
      <c r="G156" s="267"/>
      <c r="H156" s="281"/>
      <c r="I156" s="267"/>
      <c r="J156" s="267"/>
      <c r="K156" s="265"/>
      <c r="L156" s="265"/>
      <c r="M156" s="266"/>
    </row>
    <row r="157" spans="1:13">
      <c r="A157" s="263"/>
      <c r="B157" s="265"/>
      <c r="C157" s="265"/>
      <c r="D157" s="265"/>
      <c r="E157" s="265"/>
      <c r="F157" s="263" t="s">
        <v>183</v>
      </c>
      <c r="G157" s="267" t="s">
        <v>4</v>
      </c>
      <c r="H157" s="277" t="str">
        <f>H16</f>
        <v>231101-Emprestimo Bancario</v>
      </c>
      <c r="I157" s="264">
        <f>SUM('Amortização Emprestimo taxa 8,7'!I8:I10)</f>
        <v>432874.23314346786</v>
      </c>
      <c r="J157" s="267"/>
      <c r="K157" s="265"/>
      <c r="L157" s="265"/>
      <c r="M157" s="266"/>
    </row>
    <row r="158" spans="1:13">
      <c r="A158" s="263"/>
      <c r="B158" s="265"/>
      <c r="C158" s="265"/>
      <c r="D158" s="265"/>
      <c r="E158" s="265"/>
      <c r="F158" s="263" t="s">
        <v>183</v>
      </c>
      <c r="G158" s="267" t="s">
        <v>4</v>
      </c>
      <c r="H158" s="263" t="s">
        <v>186</v>
      </c>
      <c r="I158" s="264">
        <f>SUM('Amortização Emprestimo taxa 8,7'!E8:E10)</f>
        <v>150210.55753929165</v>
      </c>
      <c r="J158" s="267"/>
      <c r="K158" s="265"/>
      <c r="L158" s="265"/>
      <c r="M158" s="266"/>
    </row>
    <row r="159" spans="1:13">
      <c r="A159" s="263"/>
      <c r="B159" s="265"/>
      <c r="C159" s="265"/>
      <c r="D159" s="265"/>
      <c r="E159" s="265"/>
      <c r="F159" s="263">
        <v>30.1</v>
      </c>
      <c r="G159" s="267" t="s">
        <v>4</v>
      </c>
      <c r="H159" s="263" t="str">
        <f>H19</f>
        <v>6640004 - Despesas com Seviços Bancarios</v>
      </c>
      <c r="I159" s="264">
        <f>SUM('Amortização Emprestimo taxa 8,7'!K11:K13)</f>
        <v>7200.8971174805247</v>
      </c>
      <c r="J159" s="267"/>
      <c r="K159" s="265"/>
      <c r="L159" s="265"/>
      <c r="M159" s="266"/>
    </row>
    <row r="160" spans="1:13">
      <c r="A160" s="263"/>
      <c r="B160" s="265"/>
      <c r="C160" s="265"/>
      <c r="D160" s="265"/>
      <c r="E160" s="265"/>
      <c r="F160" s="263" t="s">
        <v>183</v>
      </c>
      <c r="G160" s="267" t="s">
        <v>5</v>
      </c>
      <c r="H160" s="277" t="str">
        <f>H15</f>
        <v>12001-Deposito a Ordem</v>
      </c>
      <c r="I160" s="267"/>
      <c r="J160" s="264">
        <f>SUM(I157:I159)</f>
        <v>590285.68780024</v>
      </c>
      <c r="K160" s="265"/>
      <c r="L160" s="265"/>
      <c r="M160" s="266"/>
    </row>
    <row r="161" spans="1:13" ht="40.5" customHeight="1">
      <c r="A161" s="263"/>
      <c r="B161" s="265"/>
      <c r="C161" s="265"/>
      <c r="D161" s="265"/>
      <c r="E161" s="265"/>
      <c r="F161" s="263"/>
      <c r="G161" s="267"/>
      <c r="H161" s="292" t="s">
        <v>342</v>
      </c>
      <c r="I161" s="267"/>
      <c r="J161" s="267"/>
      <c r="K161" s="265"/>
      <c r="L161" s="265"/>
      <c r="M161" s="266"/>
    </row>
    <row r="162" spans="1:13">
      <c r="A162" s="263"/>
      <c r="B162" s="265"/>
      <c r="C162" s="265"/>
      <c r="D162" s="265"/>
      <c r="E162" s="265"/>
      <c r="F162" s="263"/>
      <c r="G162" s="267"/>
      <c r="H162" s="263"/>
      <c r="I162" s="267"/>
      <c r="J162" s="267"/>
      <c r="K162" s="265"/>
      <c r="L162" s="265"/>
      <c r="M162" s="266"/>
    </row>
    <row r="163" spans="1:13">
      <c r="A163" s="263"/>
      <c r="B163" s="265"/>
      <c r="C163" s="265"/>
      <c r="D163" s="265"/>
      <c r="E163" s="265"/>
      <c r="F163" s="263" t="s">
        <v>184</v>
      </c>
      <c r="G163" s="267" t="s">
        <v>4</v>
      </c>
      <c r="H163" s="277" t="str">
        <f>H75</f>
        <v>3611001-Compra de Materias pri. e Subsidiária</v>
      </c>
      <c r="I163" s="264">
        <f>J165/1.15</f>
        <v>6323770.4347826093</v>
      </c>
      <c r="J163" s="267"/>
      <c r="K163" s="265"/>
      <c r="L163" s="265"/>
      <c r="M163" s="266"/>
    </row>
    <row r="164" spans="1:13">
      <c r="A164" s="263"/>
      <c r="B164" s="265"/>
      <c r="C164" s="265"/>
      <c r="D164" s="265"/>
      <c r="E164" s="265"/>
      <c r="F164" s="263" t="s">
        <v>184</v>
      </c>
      <c r="G164" s="267" t="s">
        <v>4</v>
      </c>
      <c r="H164" s="277" t="str">
        <f>H76</f>
        <v>2442301- Iva Dedutivel</v>
      </c>
      <c r="I164" s="264">
        <f>I163*0.15</f>
        <v>948565.56521739135</v>
      </c>
      <c r="J164" s="267"/>
      <c r="K164" s="265"/>
      <c r="L164" s="265"/>
      <c r="M164" s="266"/>
    </row>
    <row r="165" spans="1:13">
      <c r="A165" s="263"/>
      <c r="B165" s="265"/>
      <c r="C165" s="265"/>
      <c r="D165" s="265"/>
      <c r="E165" s="265"/>
      <c r="F165" s="263" t="s">
        <v>184</v>
      </c>
      <c r="G165" s="267" t="s">
        <v>5</v>
      </c>
      <c r="H165" s="277" t="str">
        <f>H77</f>
        <v>12001-Deposito a Ordem</v>
      </c>
      <c r="I165" s="267"/>
      <c r="J165" s="264">
        <f>'[5]Orçamento de compra'!$E$33</f>
        <v>7272336</v>
      </c>
      <c r="K165" s="265"/>
      <c r="L165" s="271"/>
      <c r="M165" s="266"/>
    </row>
    <row r="166" spans="1:13">
      <c r="A166" s="263"/>
      <c r="B166" s="265"/>
      <c r="C166" s="265"/>
      <c r="D166" s="265"/>
      <c r="E166" s="265"/>
      <c r="F166" s="263"/>
      <c r="G166" s="267"/>
      <c r="H166" s="279" t="str">
        <f>H78</f>
        <v>H Pela Compra das Materias primas e Subsidiária</v>
      </c>
      <c r="I166" s="267"/>
      <c r="J166" s="267"/>
      <c r="K166" s="265"/>
      <c r="L166" s="265"/>
      <c r="M166" s="266"/>
    </row>
    <row r="167" spans="1:13">
      <c r="A167" s="263"/>
      <c r="B167" s="265"/>
      <c r="C167" s="265"/>
      <c r="D167" s="265"/>
      <c r="E167" s="265"/>
      <c r="F167" s="263"/>
      <c r="G167" s="267"/>
      <c r="H167" s="279"/>
      <c r="I167" s="267"/>
      <c r="J167" s="267"/>
      <c r="K167" s="265"/>
      <c r="L167" s="265"/>
      <c r="M167" s="266"/>
    </row>
    <row r="168" spans="1:13">
      <c r="A168" s="263"/>
      <c r="B168" s="265"/>
      <c r="C168" s="265"/>
      <c r="D168" s="265"/>
      <c r="E168" s="265"/>
      <c r="F168" s="263">
        <v>31</v>
      </c>
      <c r="G168" s="267" t="s">
        <v>4</v>
      </c>
      <c r="H168" s="263" t="str">
        <f>H85</f>
        <v>1100001-Caixa</v>
      </c>
      <c r="I168" s="264">
        <f>'[5]Programa e Orçamento de venda '!$G$34</f>
        <v>14623224</v>
      </c>
      <c r="J168" s="267"/>
      <c r="K168" s="265"/>
      <c r="L168" s="265"/>
      <c r="M168" s="266"/>
    </row>
    <row r="169" spans="1:13">
      <c r="A169" s="263"/>
      <c r="B169" s="265"/>
      <c r="C169" s="265"/>
      <c r="D169" s="265"/>
      <c r="E169" s="265"/>
      <c r="F169" s="263">
        <v>31</v>
      </c>
      <c r="G169" s="267" t="s">
        <v>4</v>
      </c>
      <c r="H169" s="263" t="str">
        <f>H86</f>
        <v>2443001-Iva Liquidado</v>
      </c>
      <c r="I169" s="264"/>
      <c r="J169" s="264">
        <f>I168*0.15</f>
        <v>2193483.6</v>
      </c>
      <c r="K169" s="265"/>
      <c r="L169" s="265"/>
      <c r="M169" s="266"/>
    </row>
    <row r="170" spans="1:13">
      <c r="A170" s="263"/>
      <c r="B170" s="265"/>
      <c r="C170" s="265"/>
      <c r="D170" s="265"/>
      <c r="E170" s="265"/>
      <c r="F170" s="263">
        <v>31</v>
      </c>
      <c r="G170" s="267" t="s">
        <v>5</v>
      </c>
      <c r="H170" s="263" t="str">
        <f>H87</f>
        <v>712001-Vendas de Produtos</v>
      </c>
      <c r="I170" s="267"/>
      <c r="J170" s="264">
        <f>I168-J169</f>
        <v>12429740.4</v>
      </c>
      <c r="K170" s="265"/>
      <c r="L170" s="265"/>
      <c r="M170" s="266"/>
    </row>
    <row r="171" spans="1:13">
      <c r="A171" s="263"/>
      <c r="B171" s="265"/>
      <c r="C171" s="265"/>
      <c r="D171" s="265"/>
      <c r="E171" s="265"/>
      <c r="F171" s="263"/>
      <c r="G171" s="267"/>
      <c r="H171" s="279" t="str">
        <f>H88</f>
        <v>H pela venda dos produtos C/Iva a taxa de 15%</v>
      </c>
      <c r="I171" s="267"/>
      <c r="J171" s="267"/>
      <c r="K171" s="265"/>
      <c r="L171" s="265"/>
      <c r="M171" s="266"/>
    </row>
    <row r="172" spans="1:13">
      <c r="A172" s="263"/>
      <c r="B172" s="265"/>
      <c r="C172" s="265"/>
      <c r="D172" s="265"/>
      <c r="E172" s="265"/>
      <c r="F172" s="263"/>
      <c r="G172" s="267"/>
      <c r="H172" s="263"/>
      <c r="I172" s="267"/>
      <c r="J172" s="267"/>
      <c r="K172" s="265"/>
      <c r="L172" s="265"/>
      <c r="M172" s="266"/>
    </row>
    <row r="173" spans="1:13">
      <c r="A173" s="263"/>
      <c r="B173" s="265"/>
      <c r="C173" s="265"/>
      <c r="D173" s="265"/>
      <c r="E173" s="265"/>
      <c r="F173" s="263">
        <v>32</v>
      </c>
      <c r="G173" s="267" t="s">
        <v>4</v>
      </c>
      <c r="H173" s="263" t="str">
        <f>H90</f>
        <v>12001-Deposito a Ordem</v>
      </c>
      <c r="I173" s="264">
        <f>J174</f>
        <v>14623224</v>
      </c>
      <c r="J173" s="267"/>
      <c r="K173" s="265"/>
      <c r="L173" s="265"/>
      <c r="M173" s="266"/>
    </row>
    <row r="174" spans="1:13">
      <c r="A174" s="263"/>
      <c r="B174" s="265"/>
      <c r="C174" s="265"/>
      <c r="D174" s="265"/>
      <c r="E174" s="265"/>
      <c r="F174" s="263">
        <v>32</v>
      </c>
      <c r="G174" s="267" t="s">
        <v>5</v>
      </c>
      <c r="H174" s="263" t="str">
        <f>H91</f>
        <v>1100001-Caixa</v>
      </c>
      <c r="I174" s="267"/>
      <c r="J174" s="264">
        <f>I168</f>
        <v>14623224</v>
      </c>
      <c r="K174" s="265"/>
      <c r="L174" s="265"/>
      <c r="M174" s="266"/>
    </row>
    <row r="175" spans="1:13">
      <c r="A175" s="263"/>
      <c r="B175" s="265"/>
      <c r="C175" s="265"/>
      <c r="D175" s="265"/>
      <c r="E175" s="265"/>
      <c r="F175" s="263"/>
      <c r="G175" s="267"/>
      <c r="H175" s="279" t="str">
        <f>H92</f>
        <v>H Pela transferencia do Saldo de Caixa para o D.O</v>
      </c>
      <c r="I175" s="267"/>
      <c r="J175" s="267"/>
      <c r="K175" s="265"/>
      <c r="L175" s="265"/>
      <c r="M175" s="266"/>
    </row>
    <row r="176" spans="1:13">
      <c r="A176" s="263"/>
      <c r="B176" s="265"/>
      <c r="C176" s="265"/>
      <c r="D176" s="265"/>
      <c r="E176" s="265"/>
      <c r="F176" s="263"/>
      <c r="G176" s="267"/>
      <c r="H176" s="279"/>
      <c r="I176" s="267"/>
      <c r="J176" s="267"/>
      <c r="K176" s="265"/>
      <c r="L176" s="265"/>
      <c r="M176" s="266"/>
    </row>
    <row r="177" spans="1:13">
      <c r="A177" s="263"/>
      <c r="B177" s="265"/>
      <c r="C177" s="265"/>
      <c r="D177" s="265"/>
      <c r="E177" s="265"/>
      <c r="F177" s="263">
        <v>33</v>
      </c>
      <c r="G177" s="267" t="s">
        <v>4</v>
      </c>
      <c r="H177" s="277" t="s">
        <v>116</v>
      </c>
      <c r="I177" s="264">
        <f>[6]FSE!$H$10</f>
        <v>30000</v>
      </c>
      <c r="J177" s="267"/>
      <c r="K177" s="265"/>
      <c r="L177" s="265"/>
      <c r="M177" s="266"/>
    </row>
    <row r="178" spans="1:13">
      <c r="A178" s="263"/>
      <c r="B178" s="265"/>
      <c r="C178" s="265"/>
      <c r="D178" s="265"/>
      <c r="E178" s="265"/>
      <c r="F178" s="263">
        <v>33</v>
      </c>
      <c r="G178" s="267" t="s">
        <v>4</v>
      </c>
      <c r="H178" s="277" t="s">
        <v>117</v>
      </c>
      <c r="I178" s="264">
        <f>[6]FSE!$H$7</f>
        <v>75000</v>
      </c>
      <c r="J178" s="267"/>
      <c r="K178" s="265"/>
      <c r="L178" s="265"/>
      <c r="M178" s="266"/>
    </row>
    <row r="179" spans="1:13">
      <c r="A179" s="263"/>
      <c r="B179" s="265"/>
      <c r="C179" s="265"/>
      <c r="D179" s="265"/>
      <c r="E179" s="265"/>
      <c r="F179" s="263">
        <v>33</v>
      </c>
      <c r="G179" s="267" t="s">
        <v>4</v>
      </c>
      <c r="H179" s="279" t="s">
        <v>113</v>
      </c>
      <c r="I179" s="264">
        <f>[6]FSE!$H$9</f>
        <v>9000</v>
      </c>
      <c r="J179" s="267"/>
      <c r="K179" s="265"/>
      <c r="L179" s="265"/>
      <c r="M179" s="266"/>
    </row>
    <row r="180" spans="1:13">
      <c r="A180" s="263"/>
      <c r="B180" s="265"/>
      <c r="C180" s="265"/>
      <c r="D180" s="265"/>
      <c r="E180" s="265"/>
      <c r="F180" s="263">
        <v>33</v>
      </c>
      <c r="G180" s="267" t="s">
        <v>4</v>
      </c>
      <c r="H180" s="277" t="s">
        <v>126</v>
      </c>
      <c r="I180" s="264">
        <f>[6]FSE!$H$15</f>
        <v>45000</v>
      </c>
      <c r="J180" s="267"/>
      <c r="K180" s="265"/>
      <c r="L180" s="265"/>
      <c r="M180" s="266"/>
    </row>
    <row r="181" spans="1:13">
      <c r="A181" s="263"/>
      <c r="B181" s="265"/>
      <c r="C181" s="265"/>
      <c r="D181" s="265"/>
      <c r="E181" s="265"/>
      <c r="F181" s="263">
        <v>33</v>
      </c>
      <c r="G181" s="267" t="s">
        <v>4</v>
      </c>
      <c r="H181" s="277" t="s">
        <v>127</v>
      </c>
      <c r="I181" s="264">
        <f>[6]FSE!$H$12</f>
        <v>150000</v>
      </c>
      <c r="J181" s="267"/>
      <c r="K181" s="265"/>
      <c r="L181" s="265"/>
      <c r="M181" s="266"/>
    </row>
    <row r="182" spans="1:13">
      <c r="A182" s="263"/>
      <c r="B182" s="265"/>
      <c r="C182" s="265"/>
      <c r="D182" s="265"/>
      <c r="E182" s="265"/>
      <c r="F182" s="263">
        <v>33</v>
      </c>
      <c r="G182" s="267" t="s">
        <v>4</v>
      </c>
      <c r="H182" s="277" t="s">
        <v>128</v>
      </c>
      <c r="I182" s="264">
        <f>[6]FSE!$H$16</f>
        <v>54000</v>
      </c>
      <c r="J182" s="267"/>
      <c r="K182" s="265"/>
      <c r="L182" s="265"/>
      <c r="M182" s="266"/>
    </row>
    <row r="183" spans="1:13">
      <c r="A183" s="263"/>
      <c r="B183" s="265"/>
      <c r="C183" s="265"/>
      <c r="D183" s="265"/>
      <c r="E183" s="265"/>
      <c r="F183" s="263">
        <v>33</v>
      </c>
      <c r="G183" s="267" t="s">
        <v>4</v>
      </c>
      <c r="H183" s="277" t="s">
        <v>129</v>
      </c>
      <c r="I183" s="264">
        <f>[6]FSE!$H$17</f>
        <v>35175</v>
      </c>
      <c r="J183" s="267"/>
      <c r="K183" s="265"/>
      <c r="L183" s="265"/>
      <c r="M183" s="266"/>
    </row>
    <row r="184" spans="1:13">
      <c r="A184" s="263"/>
      <c r="B184" s="265"/>
      <c r="C184" s="265"/>
      <c r="D184" s="265"/>
      <c r="E184" s="265"/>
      <c r="F184" s="263">
        <v>33</v>
      </c>
      <c r="G184" s="267" t="s">
        <v>4</v>
      </c>
      <c r="H184" s="277" t="s">
        <v>130</v>
      </c>
      <c r="I184" s="264">
        <f>[6]FSE!$H$18</f>
        <v>22125</v>
      </c>
      <c r="J184" s="267"/>
      <c r="K184" s="265"/>
      <c r="L184" s="265"/>
      <c r="M184" s="266"/>
    </row>
    <row r="185" spans="1:13">
      <c r="A185" s="263"/>
      <c r="B185" s="265"/>
      <c r="C185" s="265"/>
      <c r="D185" s="265"/>
      <c r="E185" s="265"/>
      <c r="F185" s="263">
        <v>33</v>
      </c>
      <c r="G185" s="267" t="s">
        <v>5</v>
      </c>
      <c r="H185" s="277" t="s">
        <v>18</v>
      </c>
      <c r="I185" s="267"/>
      <c r="J185" s="264">
        <f>SUM(I177:I184)</f>
        <v>420300</v>
      </c>
      <c r="K185" s="265"/>
      <c r="L185" s="265"/>
      <c r="M185" s="266"/>
    </row>
    <row r="186" spans="1:13">
      <c r="A186" s="263"/>
      <c r="B186" s="265"/>
      <c r="C186" s="265"/>
      <c r="D186" s="265"/>
      <c r="E186" s="265"/>
      <c r="F186" s="263"/>
      <c r="G186" s="267"/>
      <c r="H186" s="279" t="s">
        <v>125</v>
      </c>
      <c r="I186" s="267"/>
      <c r="J186" s="267"/>
      <c r="K186" s="265"/>
      <c r="L186" s="265"/>
      <c r="M186" s="266"/>
    </row>
    <row r="187" spans="1:13">
      <c r="A187" s="263"/>
      <c r="B187" s="265"/>
      <c r="C187" s="265"/>
      <c r="D187" s="265"/>
      <c r="E187" s="265"/>
      <c r="F187" s="263"/>
      <c r="G187" s="267"/>
      <c r="H187" s="279"/>
      <c r="I187" s="267"/>
      <c r="J187" s="267"/>
      <c r="K187" s="265"/>
      <c r="L187" s="265"/>
      <c r="M187" s="266"/>
    </row>
    <row r="188" spans="1:13">
      <c r="A188" s="263"/>
      <c r="B188" s="265"/>
      <c r="C188" s="265"/>
      <c r="D188" s="265"/>
      <c r="E188" s="265"/>
      <c r="F188" s="263">
        <v>34</v>
      </c>
      <c r="G188" s="267" t="s">
        <v>4</v>
      </c>
      <c r="H188" s="277" t="s">
        <v>132</v>
      </c>
      <c r="I188" s="264">
        <f>[6]FSE!$H$13</f>
        <v>45000</v>
      </c>
      <c r="J188" s="267"/>
      <c r="K188" s="265"/>
      <c r="L188" s="265"/>
      <c r="M188" s="266"/>
    </row>
    <row r="189" spans="1:13">
      <c r="A189" s="263"/>
      <c r="B189" s="265"/>
      <c r="C189" s="265"/>
      <c r="D189" s="265"/>
      <c r="E189" s="265"/>
      <c r="F189" s="263">
        <v>34</v>
      </c>
      <c r="G189" s="267" t="s">
        <v>5</v>
      </c>
      <c r="H189" s="263" t="s">
        <v>131</v>
      </c>
      <c r="I189" s="264"/>
      <c r="J189" s="264">
        <f>I188</f>
        <v>45000</v>
      </c>
      <c r="K189" s="265"/>
      <c r="L189" s="265"/>
      <c r="M189" s="266"/>
    </row>
    <row r="190" spans="1:13">
      <c r="A190" s="263"/>
      <c r="B190" s="265"/>
      <c r="C190" s="265"/>
      <c r="D190" s="265"/>
      <c r="E190" s="265"/>
      <c r="F190" s="263"/>
      <c r="G190" s="267"/>
      <c r="H190" s="279" t="s">
        <v>133</v>
      </c>
      <c r="I190" s="267"/>
      <c r="J190" s="267"/>
      <c r="K190" s="265"/>
      <c r="L190" s="265"/>
      <c r="M190" s="266"/>
    </row>
    <row r="191" spans="1:13">
      <c r="A191" s="263"/>
      <c r="B191" s="265"/>
      <c r="C191" s="265"/>
      <c r="D191" s="265"/>
      <c r="E191" s="265"/>
      <c r="F191" s="263"/>
      <c r="G191" s="267"/>
      <c r="H191" s="279"/>
      <c r="I191" s="267"/>
      <c r="J191" s="267"/>
      <c r="K191" s="265"/>
      <c r="L191" s="265"/>
      <c r="M191" s="266"/>
    </row>
    <row r="192" spans="1:13">
      <c r="A192" s="263"/>
      <c r="B192" s="265"/>
      <c r="C192" s="265"/>
      <c r="D192" s="265"/>
      <c r="E192" s="265"/>
      <c r="F192" s="263">
        <v>35</v>
      </c>
      <c r="G192" s="267" t="s">
        <v>4</v>
      </c>
      <c r="H192" s="277" t="s">
        <v>136</v>
      </c>
      <c r="I192" s="264">
        <f>SUM(J193:J195)</f>
        <v>2178600</v>
      </c>
      <c r="J192" s="267"/>
      <c r="K192" s="265"/>
      <c r="L192" s="265"/>
      <c r="M192" s="266"/>
    </row>
    <row r="193" spans="1:13">
      <c r="A193" s="263"/>
      <c r="B193" s="265"/>
      <c r="C193" s="265"/>
      <c r="D193" s="265"/>
      <c r="E193" s="265"/>
      <c r="F193" s="263">
        <v>35</v>
      </c>
      <c r="G193" s="267" t="s">
        <v>5</v>
      </c>
      <c r="H193" s="277" t="s">
        <v>135</v>
      </c>
      <c r="I193" s="267"/>
      <c r="J193" s="264">
        <f>J110</f>
        <v>1995000</v>
      </c>
      <c r="K193" s="265"/>
      <c r="L193" s="265"/>
      <c r="M193" s="266"/>
    </row>
    <row r="194" spans="1:13">
      <c r="A194" s="263"/>
      <c r="B194" s="265"/>
      <c r="C194" s="265"/>
      <c r="D194" s="265"/>
      <c r="E194" s="265"/>
      <c r="F194" s="263">
        <v>35</v>
      </c>
      <c r="G194" s="267" t="s">
        <v>5</v>
      </c>
      <c r="H194" s="277" t="s">
        <v>141</v>
      </c>
      <c r="I194" s="267"/>
      <c r="J194" s="264">
        <f>J111</f>
        <v>24000</v>
      </c>
      <c r="K194" s="265"/>
      <c r="L194" s="265"/>
      <c r="M194" s="266"/>
    </row>
    <row r="195" spans="1:13">
      <c r="A195" s="263"/>
      <c r="B195" s="265"/>
      <c r="C195" s="265"/>
      <c r="D195" s="265"/>
      <c r="E195" s="265"/>
      <c r="F195" s="263">
        <v>35</v>
      </c>
      <c r="G195" s="267" t="s">
        <v>5</v>
      </c>
      <c r="H195" s="277" t="s">
        <v>138</v>
      </c>
      <c r="I195" s="267"/>
      <c r="J195" s="264">
        <f>J112</f>
        <v>159600</v>
      </c>
      <c r="K195" s="265"/>
      <c r="L195" s="265"/>
      <c r="M195" s="266"/>
    </row>
    <row r="196" spans="1:13">
      <c r="A196" s="263"/>
      <c r="B196" s="265"/>
      <c r="C196" s="265"/>
      <c r="D196" s="265"/>
      <c r="E196" s="265"/>
      <c r="F196" s="263"/>
      <c r="G196" s="267"/>
      <c r="H196" s="279" t="s">
        <v>139</v>
      </c>
      <c r="I196" s="267"/>
      <c r="J196" s="264"/>
      <c r="K196" s="265"/>
      <c r="L196" s="265"/>
      <c r="M196" s="266"/>
    </row>
    <row r="197" spans="1:13">
      <c r="A197" s="263"/>
      <c r="B197" s="265"/>
      <c r="C197" s="265"/>
      <c r="D197" s="265"/>
      <c r="E197" s="265"/>
      <c r="F197" s="263"/>
      <c r="G197" s="267"/>
      <c r="H197" s="279"/>
      <c r="I197" s="267"/>
      <c r="J197" s="264"/>
      <c r="K197" s="265"/>
      <c r="L197" s="265"/>
      <c r="M197" s="266"/>
    </row>
    <row r="198" spans="1:13">
      <c r="A198" s="263"/>
      <c r="B198" s="265"/>
      <c r="C198" s="265"/>
      <c r="D198" s="265"/>
      <c r="E198" s="265"/>
      <c r="F198" s="263">
        <v>36</v>
      </c>
      <c r="G198" s="267" t="s">
        <v>4</v>
      </c>
      <c r="H198" s="277" t="s">
        <v>140</v>
      </c>
      <c r="I198" s="264">
        <f>I115</f>
        <v>299250</v>
      </c>
      <c r="J198" s="264"/>
      <c r="K198" s="265"/>
      <c r="L198" s="265"/>
      <c r="M198" s="266"/>
    </row>
    <row r="199" spans="1:13">
      <c r="A199" s="263"/>
      <c r="B199" s="265"/>
      <c r="C199" s="265"/>
      <c r="D199" s="265"/>
      <c r="E199" s="265"/>
      <c r="F199" s="263">
        <v>36</v>
      </c>
      <c r="G199" s="267" t="s">
        <v>5</v>
      </c>
      <c r="H199" s="277" t="s">
        <v>138</v>
      </c>
      <c r="I199" s="267"/>
      <c r="J199" s="264">
        <f>I198</f>
        <v>299250</v>
      </c>
      <c r="K199" s="265"/>
      <c r="L199" s="265"/>
      <c r="M199" s="266"/>
    </row>
    <row r="200" spans="1:13">
      <c r="A200" s="263"/>
      <c r="B200" s="265"/>
      <c r="C200" s="265"/>
      <c r="D200" s="265"/>
      <c r="E200" s="265"/>
      <c r="F200" s="263"/>
      <c r="G200" s="267"/>
      <c r="H200" s="279" t="s">
        <v>142</v>
      </c>
      <c r="I200" s="267"/>
      <c r="J200" s="267"/>
      <c r="K200" s="265"/>
      <c r="L200" s="265"/>
      <c r="M200" s="266"/>
    </row>
    <row r="201" spans="1:13">
      <c r="A201" s="263"/>
      <c r="B201" s="265"/>
      <c r="C201" s="265"/>
      <c r="D201" s="265"/>
      <c r="E201" s="265"/>
      <c r="F201" s="263"/>
      <c r="G201" s="267"/>
      <c r="H201" s="279"/>
      <c r="I201" s="267"/>
      <c r="J201" s="267"/>
      <c r="K201" s="265"/>
      <c r="L201" s="265"/>
      <c r="M201" s="266"/>
    </row>
    <row r="202" spans="1:13">
      <c r="A202" s="263"/>
      <c r="B202" s="265"/>
      <c r="C202" s="265"/>
      <c r="D202" s="265"/>
      <c r="E202" s="265"/>
      <c r="F202" s="263">
        <v>37</v>
      </c>
      <c r="G202" s="267" t="s">
        <v>4</v>
      </c>
      <c r="H202" s="277" t="s">
        <v>137</v>
      </c>
      <c r="I202" s="264">
        <f>SUM(J203:J205)</f>
        <v>961050</v>
      </c>
      <c r="J202" s="267"/>
      <c r="K202" s="265"/>
      <c r="L202" s="265"/>
      <c r="M202" s="266"/>
    </row>
    <row r="203" spans="1:13">
      <c r="A203" s="263"/>
      <c r="B203" s="265"/>
      <c r="C203" s="265"/>
      <c r="D203" s="265"/>
      <c r="E203" s="265"/>
      <c r="F203" s="263">
        <v>37</v>
      </c>
      <c r="G203" s="267" t="s">
        <v>5</v>
      </c>
      <c r="H203" s="277" t="s">
        <v>134</v>
      </c>
      <c r="I203" s="267"/>
      <c r="J203" s="264">
        <f>J120</f>
        <v>825000</v>
      </c>
      <c r="K203" s="265"/>
      <c r="L203" s="265"/>
      <c r="M203" s="266"/>
    </row>
    <row r="204" spans="1:13">
      <c r="A204" s="263"/>
      <c r="B204" s="265"/>
      <c r="C204" s="265"/>
      <c r="D204" s="265"/>
      <c r="E204" s="265"/>
      <c r="F204" s="263">
        <v>37</v>
      </c>
      <c r="G204" s="267" t="s">
        <v>5</v>
      </c>
      <c r="H204" s="277" t="s">
        <v>141</v>
      </c>
      <c r="I204" s="267"/>
      <c r="J204" s="264">
        <f>J121</f>
        <v>70050</v>
      </c>
      <c r="K204" s="265"/>
      <c r="L204" s="265"/>
      <c r="M204" s="266"/>
    </row>
    <row r="205" spans="1:13">
      <c r="A205" s="263"/>
      <c r="B205" s="265"/>
      <c r="C205" s="265"/>
      <c r="D205" s="265"/>
      <c r="E205" s="265"/>
      <c r="F205" s="263">
        <v>37</v>
      </c>
      <c r="G205" s="267" t="s">
        <v>5</v>
      </c>
      <c r="H205" s="277" t="s">
        <v>138</v>
      </c>
      <c r="I205" s="267"/>
      <c r="J205" s="264">
        <f>J122</f>
        <v>66000</v>
      </c>
      <c r="K205" s="265"/>
      <c r="L205" s="265"/>
      <c r="M205" s="266"/>
    </row>
    <row r="206" spans="1:13">
      <c r="A206" s="263"/>
      <c r="B206" s="265"/>
      <c r="C206" s="265"/>
      <c r="D206" s="265"/>
      <c r="E206" s="265"/>
      <c r="F206" s="263"/>
      <c r="G206" s="267"/>
      <c r="H206" s="279" t="s">
        <v>143</v>
      </c>
      <c r="I206" s="267"/>
      <c r="J206" s="267"/>
      <c r="K206" s="265"/>
      <c r="L206" s="265"/>
      <c r="M206" s="266"/>
    </row>
    <row r="207" spans="1:13">
      <c r="A207" s="263"/>
      <c r="B207" s="265"/>
      <c r="C207" s="265"/>
      <c r="D207" s="265"/>
      <c r="E207" s="265"/>
      <c r="F207" s="263"/>
      <c r="G207" s="267"/>
      <c r="H207" s="279"/>
      <c r="I207" s="267"/>
      <c r="J207" s="267"/>
      <c r="K207" s="265"/>
      <c r="L207" s="265"/>
      <c r="M207" s="266"/>
    </row>
    <row r="208" spans="1:13">
      <c r="A208" s="263"/>
      <c r="B208" s="265"/>
      <c r="C208" s="265"/>
      <c r="D208" s="265"/>
      <c r="E208" s="265"/>
      <c r="F208" s="263">
        <v>38</v>
      </c>
      <c r="G208" s="267" t="s">
        <v>4</v>
      </c>
      <c r="H208" s="263" t="s">
        <v>140</v>
      </c>
      <c r="I208" s="264">
        <f>J209</f>
        <v>123750</v>
      </c>
      <c r="J208" s="267"/>
      <c r="K208" s="265"/>
      <c r="L208" s="265"/>
      <c r="M208" s="266"/>
    </row>
    <row r="209" spans="1:13">
      <c r="A209" s="263"/>
      <c r="B209" s="265"/>
      <c r="C209" s="265"/>
      <c r="D209" s="265"/>
      <c r="E209" s="265"/>
      <c r="F209" s="263">
        <v>38</v>
      </c>
      <c r="G209" s="267" t="s">
        <v>5</v>
      </c>
      <c r="H209" s="263" t="s">
        <v>138</v>
      </c>
      <c r="I209" s="267"/>
      <c r="J209" s="264">
        <f>J126</f>
        <v>123750</v>
      </c>
      <c r="K209" s="265"/>
      <c r="L209" s="265"/>
      <c r="M209" s="266"/>
    </row>
    <row r="210" spans="1:13">
      <c r="A210" s="263"/>
      <c r="B210" s="265"/>
      <c r="C210" s="265"/>
      <c r="D210" s="265"/>
      <c r="E210" s="265"/>
      <c r="F210" s="263"/>
      <c r="G210" s="267"/>
      <c r="H210" s="279" t="s">
        <v>144</v>
      </c>
      <c r="I210" s="267"/>
      <c r="J210" s="267"/>
      <c r="K210" s="265"/>
      <c r="L210" s="265"/>
      <c r="M210" s="266"/>
    </row>
    <row r="211" spans="1:13">
      <c r="A211" s="263"/>
      <c r="B211" s="265"/>
      <c r="C211" s="265"/>
      <c r="D211" s="265"/>
      <c r="E211" s="265"/>
      <c r="F211" s="263"/>
      <c r="G211" s="267"/>
      <c r="H211" s="279"/>
      <c r="I211" s="267"/>
      <c r="J211" s="267"/>
      <c r="K211" s="265"/>
      <c r="L211" s="265"/>
      <c r="M211" s="266"/>
    </row>
    <row r="212" spans="1:13">
      <c r="A212" s="263"/>
      <c r="B212" s="265"/>
      <c r="C212" s="265"/>
      <c r="D212" s="265"/>
      <c r="E212" s="265"/>
      <c r="F212" s="263">
        <v>39</v>
      </c>
      <c r="G212" s="267" t="s">
        <v>4</v>
      </c>
      <c r="H212" s="277" t="s">
        <v>135</v>
      </c>
      <c r="I212" s="264">
        <f>J193</f>
        <v>1995000</v>
      </c>
      <c r="J212" s="267"/>
      <c r="K212" s="265"/>
      <c r="L212" s="265"/>
      <c r="M212" s="266"/>
    </row>
    <row r="213" spans="1:13">
      <c r="A213" s="263"/>
      <c r="B213" s="265"/>
      <c r="C213" s="265"/>
      <c r="D213" s="265"/>
      <c r="E213" s="265"/>
      <c r="F213" s="263">
        <v>39</v>
      </c>
      <c r="G213" s="267" t="s">
        <v>4</v>
      </c>
      <c r="H213" s="277" t="s">
        <v>141</v>
      </c>
      <c r="I213" s="264">
        <f>J194</f>
        <v>24000</v>
      </c>
      <c r="J213" s="267"/>
      <c r="K213" s="265"/>
      <c r="L213" s="265"/>
      <c r="M213" s="266"/>
    </row>
    <row r="214" spans="1:13">
      <c r="A214" s="263"/>
      <c r="B214" s="265"/>
      <c r="C214" s="265"/>
      <c r="D214" s="265"/>
      <c r="E214" s="265"/>
      <c r="F214" s="263">
        <v>39</v>
      </c>
      <c r="G214" s="267" t="s">
        <v>4</v>
      </c>
      <c r="H214" s="277" t="s">
        <v>138</v>
      </c>
      <c r="I214" s="264">
        <f>J195</f>
        <v>159600</v>
      </c>
      <c r="J214" s="267"/>
      <c r="K214" s="265"/>
      <c r="L214" s="265"/>
      <c r="M214" s="266"/>
    </row>
    <row r="215" spans="1:13">
      <c r="A215" s="263"/>
      <c r="B215" s="265"/>
      <c r="C215" s="265"/>
      <c r="D215" s="265"/>
      <c r="E215" s="265"/>
      <c r="F215" s="263">
        <v>39</v>
      </c>
      <c r="G215" s="267" t="s">
        <v>5</v>
      </c>
      <c r="H215" s="277" t="s">
        <v>18</v>
      </c>
      <c r="I215" s="267"/>
      <c r="J215" s="264">
        <f>SUM(I212:I214)</f>
        <v>2178600</v>
      </c>
      <c r="K215" s="265"/>
      <c r="L215" s="265"/>
      <c r="M215" s="266"/>
    </row>
    <row r="216" spans="1:13">
      <c r="A216" s="263"/>
      <c r="B216" s="265"/>
      <c r="C216" s="265"/>
      <c r="D216" s="265"/>
      <c r="E216" s="265"/>
      <c r="F216" s="263"/>
      <c r="G216" s="267"/>
      <c r="H216" s="279" t="s">
        <v>145</v>
      </c>
      <c r="I216" s="267"/>
      <c r="J216" s="267"/>
      <c r="K216" s="265"/>
      <c r="L216" s="265"/>
      <c r="M216" s="266"/>
    </row>
    <row r="217" spans="1:13">
      <c r="A217" s="263"/>
      <c r="B217" s="265"/>
      <c r="C217" s="265"/>
      <c r="D217" s="265"/>
      <c r="E217" s="265"/>
      <c r="F217" s="263"/>
      <c r="G217" s="267"/>
      <c r="H217" s="279"/>
      <c r="I217" s="267"/>
      <c r="J217" s="267"/>
      <c r="K217" s="265"/>
      <c r="L217" s="265"/>
      <c r="M217" s="266"/>
    </row>
    <row r="218" spans="1:13">
      <c r="A218" s="263"/>
      <c r="B218" s="265"/>
      <c r="C218" s="265"/>
      <c r="D218" s="265"/>
      <c r="E218" s="265"/>
      <c r="F218" s="263">
        <v>40</v>
      </c>
      <c r="G218" s="267" t="s">
        <v>4</v>
      </c>
      <c r="H218" s="277" t="s">
        <v>138</v>
      </c>
      <c r="I218" s="264">
        <f>I198</f>
        <v>299250</v>
      </c>
      <c r="J218" s="267"/>
      <c r="K218" s="265"/>
      <c r="L218" s="265"/>
      <c r="M218" s="266"/>
    </row>
    <row r="219" spans="1:13">
      <c r="A219" s="263"/>
      <c r="B219" s="265"/>
      <c r="C219" s="265"/>
      <c r="D219" s="265"/>
      <c r="E219" s="265"/>
      <c r="F219" s="263">
        <v>40</v>
      </c>
      <c r="G219" s="267" t="s">
        <v>5</v>
      </c>
      <c r="H219" s="277" t="s">
        <v>18</v>
      </c>
      <c r="I219" s="267"/>
      <c r="J219" s="264">
        <f>I218</f>
        <v>299250</v>
      </c>
      <c r="K219" s="265"/>
      <c r="L219" s="265"/>
      <c r="M219" s="266"/>
    </row>
    <row r="220" spans="1:13">
      <c r="A220" s="263"/>
      <c r="B220" s="265"/>
      <c r="C220" s="265"/>
      <c r="D220" s="265"/>
      <c r="E220" s="265"/>
      <c r="F220" s="263"/>
      <c r="G220" s="267"/>
      <c r="H220" s="279" t="s">
        <v>193</v>
      </c>
      <c r="I220" s="267"/>
      <c r="J220" s="267"/>
      <c r="K220" s="265"/>
      <c r="L220" s="265"/>
      <c r="M220" s="266"/>
    </row>
    <row r="221" spans="1:13">
      <c r="A221" s="263"/>
      <c r="B221" s="265"/>
      <c r="C221" s="265"/>
      <c r="D221" s="265"/>
      <c r="E221" s="265"/>
      <c r="F221" s="263"/>
      <c r="G221" s="267"/>
      <c r="H221" s="263"/>
      <c r="I221" s="267"/>
      <c r="J221" s="267"/>
      <c r="K221" s="265"/>
      <c r="L221" s="265"/>
      <c r="M221" s="266"/>
    </row>
    <row r="222" spans="1:13">
      <c r="A222" s="263"/>
      <c r="B222" s="265"/>
      <c r="C222" s="265"/>
      <c r="D222" s="265"/>
      <c r="E222" s="265"/>
      <c r="F222" s="263">
        <v>41</v>
      </c>
      <c r="G222" s="267" t="s">
        <v>4</v>
      </c>
      <c r="H222" s="263" t="s">
        <v>134</v>
      </c>
      <c r="I222" s="264">
        <f>J203</f>
        <v>825000</v>
      </c>
      <c r="J222" s="267"/>
      <c r="K222" s="265"/>
      <c r="L222" s="265"/>
      <c r="M222" s="266"/>
    </row>
    <row r="223" spans="1:13">
      <c r="A223" s="263"/>
      <c r="B223" s="265"/>
      <c r="C223" s="265"/>
      <c r="D223" s="265"/>
      <c r="E223" s="265"/>
      <c r="F223" s="263">
        <v>41</v>
      </c>
      <c r="G223" s="267" t="s">
        <v>4</v>
      </c>
      <c r="H223" s="263" t="s">
        <v>141</v>
      </c>
      <c r="I223" s="264">
        <f>J204</f>
        <v>70050</v>
      </c>
      <c r="J223" s="267"/>
      <c r="K223" s="265"/>
      <c r="L223" s="265"/>
      <c r="M223" s="266"/>
    </row>
    <row r="224" spans="1:13">
      <c r="A224" s="263"/>
      <c r="B224" s="265"/>
      <c r="C224" s="265"/>
      <c r="D224" s="265"/>
      <c r="E224" s="265"/>
      <c r="F224" s="263">
        <v>41</v>
      </c>
      <c r="G224" s="267" t="s">
        <v>4</v>
      </c>
      <c r="H224" s="263" t="s">
        <v>138</v>
      </c>
      <c r="I224" s="264">
        <f>J205</f>
        <v>66000</v>
      </c>
      <c r="J224" s="267"/>
      <c r="K224" s="265"/>
      <c r="L224" s="265"/>
      <c r="M224" s="266"/>
    </row>
    <row r="225" spans="1:13">
      <c r="A225" s="263"/>
      <c r="B225" s="265"/>
      <c r="C225" s="265"/>
      <c r="D225" s="265"/>
      <c r="E225" s="265"/>
      <c r="F225" s="263">
        <v>41</v>
      </c>
      <c r="G225" s="267" t="s">
        <v>5</v>
      </c>
      <c r="H225" s="263" t="s">
        <v>18</v>
      </c>
      <c r="I225" s="267"/>
      <c r="J225" s="264">
        <f>SUM(I222:I224)</f>
        <v>961050</v>
      </c>
      <c r="K225" s="265"/>
      <c r="L225" s="265"/>
      <c r="M225" s="266"/>
    </row>
    <row r="226" spans="1:13">
      <c r="A226" s="263"/>
      <c r="B226" s="265"/>
      <c r="C226" s="265"/>
      <c r="D226" s="265"/>
      <c r="E226" s="265"/>
      <c r="F226" s="263"/>
      <c r="G226" s="267"/>
      <c r="H226" s="279" t="s">
        <v>145</v>
      </c>
      <c r="I226" s="267"/>
      <c r="J226" s="267"/>
      <c r="K226" s="265"/>
      <c r="L226" s="265"/>
      <c r="M226" s="266"/>
    </row>
    <row r="227" spans="1:13">
      <c r="A227" s="263"/>
      <c r="B227" s="265"/>
      <c r="C227" s="265"/>
      <c r="D227" s="265"/>
      <c r="E227" s="265"/>
      <c r="F227" s="263"/>
      <c r="G227" s="267"/>
      <c r="H227" s="263"/>
      <c r="I227" s="267"/>
      <c r="J227" s="267"/>
      <c r="K227" s="265"/>
      <c r="L227" s="265"/>
      <c r="M227" s="266"/>
    </row>
    <row r="228" spans="1:13">
      <c r="A228" s="263"/>
      <c r="B228" s="265"/>
      <c r="C228" s="265"/>
      <c r="D228" s="265"/>
      <c r="E228" s="265"/>
      <c r="F228" s="263">
        <v>42</v>
      </c>
      <c r="G228" s="267" t="s">
        <v>4</v>
      </c>
      <c r="H228" s="263" t="s">
        <v>138</v>
      </c>
      <c r="I228" s="264">
        <f>I208</f>
        <v>123750</v>
      </c>
      <c r="J228" s="267"/>
      <c r="K228" s="265"/>
      <c r="L228" s="265"/>
      <c r="M228" s="266"/>
    </row>
    <row r="229" spans="1:13">
      <c r="A229" s="263"/>
      <c r="B229" s="265"/>
      <c r="C229" s="265"/>
      <c r="D229" s="265"/>
      <c r="E229" s="265"/>
      <c r="F229" s="263">
        <v>42</v>
      </c>
      <c r="G229" s="267" t="s">
        <v>5</v>
      </c>
      <c r="H229" s="263" t="s">
        <v>18</v>
      </c>
      <c r="I229" s="267"/>
      <c r="J229" s="264">
        <f>I228</f>
        <v>123750</v>
      </c>
      <c r="K229" s="265"/>
      <c r="L229" s="265"/>
      <c r="M229" s="266"/>
    </row>
    <row r="230" spans="1:13">
      <c r="A230" s="263"/>
      <c r="B230" s="265"/>
      <c r="C230" s="265"/>
      <c r="D230" s="265"/>
      <c r="E230" s="265"/>
      <c r="F230" s="263"/>
      <c r="G230" s="267"/>
      <c r="H230" s="279" t="s">
        <v>193</v>
      </c>
      <c r="I230" s="267"/>
      <c r="J230" s="267"/>
      <c r="K230" s="265"/>
      <c r="L230" s="265"/>
      <c r="M230" s="266"/>
    </row>
    <row r="231" spans="1:13">
      <c r="A231" s="263"/>
      <c r="B231" s="265"/>
      <c r="C231" s="265"/>
      <c r="D231" s="265"/>
      <c r="E231" s="265"/>
      <c r="F231" s="263"/>
      <c r="G231" s="267"/>
      <c r="H231" s="279"/>
      <c r="I231" s="267"/>
      <c r="J231" s="267"/>
      <c r="K231" s="265"/>
      <c r="L231" s="265"/>
      <c r="M231" s="266"/>
    </row>
    <row r="232" spans="1:13">
      <c r="A232" s="263"/>
      <c r="B232" s="265"/>
      <c r="C232" s="265"/>
      <c r="D232" s="265"/>
      <c r="E232" s="265"/>
      <c r="F232" s="263"/>
      <c r="G232" s="267"/>
      <c r="H232" s="279"/>
      <c r="I232" s="267"/>
      <c r="J232" s="267"/>
      <c r="K232" s="265"/>
      <c r="L232" s="265"/>
      <c r="M232" s="266"/>
    </row>
    <row r="233" spans="1:13">
      <c r="A233" s="263"/>
      <c r="B233" s="265"/>
      <c r="C233" s="265"/>
      <c r="D233" s="265"/>
      <c r="E233" s="265"/>
      <c r="F233" s="263"/>
      <c r="G233" s="267"/>
      <c r="H233" s="278" t="s">
        <v>182</v>
      </c>
      <c r="I233" s="267"/>
      <c r="J233" s="267"/>
      <c r="K233" s="265"/>
      <c r="L233" s="265"/>
      <c r="M233" s="266"/>
    </row>
    <row r="234" spans="1:13">
      <c r="A234" s="263"/>
      <c r="B234" s="265"/>
      <c r="C234" s="265"/>
      <c r="D234" s="265"/>
      <c r="E234" s="265"/>
      <c r="F234" s="263"/>
      <c r="G234" s="267"/>
      <c r="H234" s="281"/>
      <c r="I234" s="267"/>
      <c r="J234" s="267"/>
      <c r="K234" s="265"/>
      <c r="L234" s="265"/>
      <c r="M234" s="266"/>
    </row>
    <row r="235" spans="1:13">
      <c r="A235" s="263"/>
      <c r="B235" s="265"/>
      <c r="C235" s="265"/>
      <c r="D235" s="265"/>
      <c r="E235" s="265"/>
      <c r="F235" s="263" t="s">
        <v>187</v>
      </c>
      <c r="G235" s="267" t="s">
        <v>4</v>
      </c>
      <c r="H235" s="277" t="str">
        <f>H163</f>
        <v>3611001-Compra de Materias pri. e Subsidiária</v>
      </c>
      <c r="I235" s="276">
        <f>J237/1.15</f>
        <v>6323770.4347826093</v>
      </c>
      <c r="J235" s="267"/>
      <c r="K235" s="265"/>
      <c r="L235" s="265"/>
      <c r="M235" s="266"/>
    </row>
    <row r="236" spans="1:13">
      <c r="A236" s="263"/>
      <c r="B236" s="265"/>
      <c r="C236" s="265"/>
      <c r="D236" s="265"/>
      <c r="E236" s="265"/>
      <c r="F236" s="263" t="s">
        <v>187</v>
      </c>
      <c r="G236" s="267" t="s">
        <v>4</v>
      </c>
      <c r="H236" s="277" t="str">
        <f>H164</f>
        <v>2442301- Iva Dedutivel</v>
      </c>
      <c r="I236" s="276">
        <f>I235*0.15</f>
        <v>948565.56521739135</v>
      </c>
      <c r="J236" s="267"/>
      <c r="K236" s="265"/>
      <c r="L236" s="265"/>
      <c r="M236" s="266"/>
    </row>
    <row r="237" spans="1:13">
      <c r="A237" s="263"/>
      <c r="B237" s="265"/>
      <c r="C237" s="265"/>
      <c r="D237" s="265"/>
      <c r="E237" s="265"/>
      <c r="F237" s="263" t="s">
        <v>187</v>
      </c>
      <c r="G237" s="267" t="s">
        <v>5</v>
      </c>
      <c r="H237" s="277" t="str">
        <f>H165</f>
        <v>12001-Deposito a Ordem</v>
      </c>
      <c r="I237" s="267"/>
      <c r="J237" s="276">
        <f>'[5]Orçamento de compra'!$F$33</f>
        <v>7272336</v>
      </c>
      <c r="K237" s="265"/>
      <c r="L237" s="265"/>
      <c r="M237" s="266"/>
    </row>
    <row r="238" spans="1:13">
      <c r="A238" s="263"/>
      <c r="B238" s="265"/>
      <c r="C238" s="265"/>
      <c r="D238" s="265"/>
      <c r="E238" s="265"/>
      <c r="F238" s="263"/>
      <c r="G238" s="267"/>
      <c r="H238" s="279" t="str">
        <f>H166</f>
        <v>H Pela Compra das Materias primas e Subsidiária</v>
      </c>
      <c r="I238" s="267"/>
      <c r="J238" s="267"/>
      <c r="K238" s="265"/>
      <c r="L238" s="265"/>
      <c r="M238" s="266"/>
    </row>
    <row r="239" spans="1:13">
      <c r="A239" s="263"/>
      <c r="B239" s="265"/>
      <c r="C239" s="265"/>
      <c r="D239" s="265"/>
      <c r="E239" s="265"/>
      <c r="F239" s="263"/>
      <c r="G239" s="267"/>
      <c r="H239" s="281"/>
      <c r="I239" s="267"/>
      <c r="J239" s="267"/>
      <c r="K239" s="265"/>
      <c r="L239" s="265"/>
      <c r="M239" s="266"/>
    </row>
    <row r="240" spans="1:13">
      <c r="A240" s="263"/>
      <c r="B240" s="265"/>
      <c r="C240" s="265"/>
      <c r="D240" s="265"/>
      <c r="E240" s="265"/>
      <c r="F240" s="263">
        <v>43</v>
      </c>
      <c r="G240" s="267" t="s">
        <v>4</v>
      </c>
      <c r="H240" s="263" t="s">
        <v>59</v>
      </c>
      <c r="I240" s="276">
        <f>'[5]Programa e Orçamento de venda '!$H$34</f>
        <v>14623224</v>
      </c>
      <c r="J240" s="276"/>
      <c r="K240" s="265"/>
      <c r="L240" s="265"/>
      <c r="M240" s="266"/>
    </row>
    <row r="241" spans="1:13">
      <c r="A241" s="263"/>
      <c r="B241" s="265"/>
      <c r="C241" s="265"/>
      <c r="D241" s="265"/>
      <c r="E241" s="265"/>
      <c r="F241" s="263">
        <v>43</v>
      </c>
      <c r="G241" s="267" t="s">
        <v>5</v>
      </c>
      <c r="H241" s="277" t="s">
        <v>122</v>
      </c>
      <c r="I241" s="276"/>
      <c r="J241" s="276">
        <f>I240*0.15</f>
        <v>2193483.6</v>
      </c>
      <c r="K241" s="265"/>
      <c r="L241" s="265"/>
      <c r="M241" s="266"/>
    </row>
    <row r="242" spans="1:13">
      <c r="A242" s="263"/>
      <c r="B242" s="265"/>
      <c r="C242" s="265"/>
      <c r="D242" s="265"/>
      <c r="E242" s="265"/>
      <c r="F242" s="263">
        <v>43</v>
      </c>
      <c r="G242" s="267" t="s">
        <v>5</v>
      </c>
      <c r="H242" s="277" t="s">
        <v>121</v>
      </c>
      <c r="I242" s="276"/>
      <c r="J242" s="276">
        <f>I240-J241</f>
        <v>12429740.4</v>
      </c>
      <c r="K242" s="265"/>
      <c r="L242" s="265"/>
      <c r="M242" s="266"/>
    </row>
    <row r="243" spans="1:13">
      <c r="A243" s="263"/>
      <c r="B243" s="265"/>
      <c r="C243" s="265"/>
      <c r="D243" s="265"/>
      <c r="E243" s="265"/>
      <c r="F243" s="263"/>
      <c r="G243" s="267"/>
      <c r="H243" s="277" t="s">
        <v>343</v>
      </c>
      <c r="I243" s="276"/>
      <c r="J243" s="276"/>
      <c r="K243" s="265"/>
      <c r="L243" s="265"/>
      <c r="M243" s="266"/>
    </row>
    <row r="244" spans="1:13">
      <c r="A244" s="263"/>
      <c r="B244" s="265"/>
      <c r="C244" s="265"/>
      <c r="D244" s="265"/>
      <c r="E244" s="265"/>
      <c r="F244" s="263"/>
      <c r="G244" s="267"/>
      <c r="H244" s="277"/>
      <c r="I244" s="276"/>
      <c r="J244" s="276"/>
      <c r="K244" s="265"/>
      <c r="L244" s="265"/>
      <c r="M244" s="266"/>
    </row>
    <row r="245" spans="1:13">
      <c r="A245" s="263"/>
      <c r="B245" s="265"/>
      <c r="C245" s="265"/>
      <c r="D245" s="265"/>
      <c r="E245" s="265"/>
      <c r="F245" s="263">
        <v>44</v>
      </c>
      <c r="G245" s="267" t="s">
        <v>4</v>
      </c>
      <c r="H245" s="277" t="s">
        <v>18</v>
      </c>
      <c r="I245" s="276">
        <f>J246</f>
        <v>14623224</v>
      </c>
      <c r="J245" s="276"/>
      <c r="K245" s="265"/>
      <c r="L245" s="265"/>
      <c r="M245" s="266"/>
    </row>
    <row r="246" spans="1:13">
      <c r="A246" s="263"/>
      <c r="B246" s="265"/>
      <c r="C246" s="265"/>
      <c r="D246" s="265"/>
      <c r="E246" s="265"/>
      <c r="F246" s="263">
        <v>44</v>
      </c>
      <c r="G246" s="267" t="s">
        <v>5</v>
      </c>
      <c r="H246" s="277" t="s">
        <v>59</v>
      </c>
      <c r="I246" s="276"/>
      <c r="J246" s="276">
        <f>I240</f>
        <v>14623224</v>
      </c>
      <c r="K246" s="265"/>
      <c r="L246" s="265"/>
      <c r="M246" s="266"/>
    </row>
    <row r="247" spans="1:13">
      <c r="A247" s="263"/>
      <c r="B247" s="265"/>
      <c r="C247" s="265"/>
      <c r="D247" s="265"/>
      <c r="E247" s="265"/>
      <c r="F247" s="263"/>
      <c r="G247" s="267"/>
      <c r="H247" s="279" t="s">
        <v>124</v>
      </c>
      <c r="I247" s="276"/>
      <c r="J247" s="276"/>
      <c r="K247" s="265"/>
      <c r="L247" s="265"/>
      <c r="M247" s="266"/>
    </row>
    <row r="248" spans="1:13">
      <c r="A248" s="263"/>
      <c r="B248" s="265"/>
      <c r="C248" s="265"/>
      <c r="D248" s="265"/>
      <c r="E248" s="265"/>
      <c r="F248" s="263"/>
      <c r="G248" s="267"/>
      <c r="H248" s="279"/>
      <c r="I248" s="276"/>
      <c r="J248" s="276"/>
      <c r="K248" s="265"/>
      <c r="L248" s="265"/>
      <c r="M248" s="266"/>
    </row>
    <row r="249" spans="1:13">
      <c r="A249" s="263"/>
      <c r="B249" s="265"/>
      <c r="C249" s="265"/>
      <c r="D249" s="265"/>
      <c r="E249" s="265"/>
      <c r="F249" s="263">
        <v>45</v>
      </c>
      <c r="G249" s="267" t="s">
        <v>4</v>
      </c>
      <c r="H249" s="277" t="s">
        <v>116</v>
      </c>
      <c r="I249" s="276">
        <v>45000</v>
      </c>
      <c r="J249" s="276"/>
      <c r="K249" s="265"/>
      <c r="L249" s="265"/>
      <c r="M249" s="266"/>
    </row>
    <row r="250" spans="1:13">
      <c r="A250" s="263"/>
      <c r="B250" s="265"/>
      <c r="C250" s="265"/>
      <c r="D250" s="265"/>
      <c r="E250" s="265"/>
      <c r="F250" s="263">
        <v>45</v>
      </c>
      <c r="G250" s="267" t="s">
        <v>4</v>
      </c>
      <c r="H250" s="277" t="s">
        <v>117</v>
      </c>
      <c r="I250" s="276">
        <v>90000</v>
      </c>
      <c r="J250" s="276"/>
      <c r="K250" s="265"/>
      <c r="L250" s="265"/>
      <c r="M250" s="266"/>
    </row>
    <row r="251" spans="1:13">
      <c r="A251" s="263"/>
      <c r="B251" s="265"/>
      <c r="C251" s="265"/>
      <c r="D251" s="265"/>
      <c r="E251" s="265"/>
      <c r="F251" s="263">
        <v>45</v>
      </c>
      <c r="G251" s="267" t="s">
        <v>4</v>
      </c>
      <c r="H251" s="277" t="s">
        <v>113</v>
      </c>
      <c r="I251" s="276">
        <v>15000</v>
      </c>
      <c r="J251" s="276"/>
      <c r="K251" s="265"/>
      <c r="L251" s="265"/>
      <c r="M251" s="266"/>
    </row>
    <row r="252" spans="1:13">
      <c r="A252" s="263"/>
      <c r="B252" s="265"/>
      <c r="C252" s="265"/>
      <c r="D252" s="265"/>
      <c r="E252" s="265"/>
      <c r="F252" s="263">
        <v>45</v>
      </c>
      <c r="G252" s="267" t="s">
        <v>4</v>
      </c>
      <c r="H252" s="277" t="s">
        <v>126</v>
      </c>
      <c r="I252" s="276">
        <v>45000</v>
      </c>
      <c r="J252" s="276"/>
      <c r="K252" s="265"/>
      <c r="L252" s="265"/>
      <c r="M252" s="266"/>
    </row>
    <row r="253" spans="1:13">
      <c r="A253" s="263"/>
      <c r="B253" s="265"/>
      <c r="C253" s="265"/>
      <c r="D253" s="265"/>
      <c r="E253" s="265"/>
      <c r="F253" s="263">
        <v>45</v>
      </c>
      <c r="G253" s="267" t="s">
        <v>4</v>
      </c>
      <c r="H253" s="277" t="s">
        <v>127</v>
      </c>
      <c r="I253" s="276">
        <v>150000</v>
      </c>
      <c r="J253" s="276"/>
      <c r="K253" s="265"/>
      <c r="L253" s="265"/>
      <c r="M253" s="266"/>
    </row>
    <row r="254" spans="1:13">
      <c r="A254" s="263"/>
      <c r="B254" s="265"/>
      <c r="C254" s="265"/>
      <c r="D254" s="265"/>
      <c r="E254" s="265"/>
      <c r="F254" s="263">
        <v>45</v>
      </c>
      <c r="G254" s="267" t="s">
        <v>4</v>
      </c>
      <c r="H254" s="277" t="s">
        <v>128</v>
      </c>
      <c r="I254" s="276">
        <v>54000</v>
      </c>
      <c r="J254" s="276"/>
      <c r="K254" s="265"/>
      <c r="L254" s="265"/>
      <c r="M254" s="266"/>
    </row>
    <row r="255" spans="1:13">
      <c r="A255" s="263"/>
      <c r="B255" s="265"/>
      <c r="C255" s="265"/>
      <c r="D255" s="265"/>
      <c r="E255" s="265"/>
      <c r="F255" s="263">
        <v>45</v>
      </c>
      <c r="G255" s="267" t="s">
        <v>4</v>
      </c>
      <c r="H255" s="277" t="s">
        <v>129</v>
      </c>
      <c r="I255" s="276">
        <v>35175</v>
      </c>
      <c r="J255" s="276"/>
      <c r="K255" s="265"/>
      <c r="L255" s="265"/>
      <c r="M255" s="266"/>
    </row>
    <row r="256" spans="1:13">
      <c r="A256" s="263"/>
      <c r="B256" s="265"/>
      <c r="C256" s="265"/>
      <c r="D256" s="265"/>
      <c r="E256" s="265"/>
      <c r="F256" s="263">
        <v>45</v>
      </c>
      <c r="G256" s="267" t="s">
        <v>4</v>
      </c>
      <c r="H256" s="277" t="s">
        <v>130</v>
      </c>
      <c r="I256" s="276">
        <v>24750</v>
      </c>
      <c r="J256" s="276"/>
      <c r="K256" s="265"/>
      <c r="L256" s="265"/>
      <c r="M256" s="266"/>
    </row>
    <row r="257" spans="1:13">
      <c r="A257" s="263"/>
      <c r="B257" s="265"/>
      <c r="C257" s="265"/>
      <c r="D257" s="265"/>
      <c r="E257" s="265"/>
      <c r="F257" s="263">
        <v>45</v>
      </c>
      <c r="G257" s="267" t="s">
        <v>5</v>
      </c>
      <c r="H257" s="277" t="s">
        <v>18</v>
      </c>
      <c r="I257" s="276"/>
      <c r="J257" s="276">
        <f>SUM(I249:I256)</f>
        <v>458925</v>
      </c>
      <c r="K257" s="265"/>
      <c r="L257" s="265"/>
      <c r="M257" s="266"/>
    </row>
    <row r="258" spans="1:13">
      <c r="A258" s="263"/>
      <c r="B258" s="265"/>
      <c r="C258" s="265"/>
      <c r="D258" s="265"/>
      <c r="E258" s="265"/>
      <c r="F258" s="263"/>
      <c r="G258" s="267"/>
      <c r="H258" s="279" t="s">
        <v>125</v>
      </c>
      <c r="I258" s="276"/>
      <c r="J258" s="276"/>
      <c r="K258" s="265"/>
      <c r="L258" s="265"/>
      <c r="M258" s="266"/>
    </row>
    <row r="259" spans="1:13">
      <c r="A259" s="263"/>
      <c r="B259" s="265"/>
      <c r="C259" s="265"/>
      <c r="D259" s="265"/>
      <c r="E259" s="265"/>
      <c r="F259" s="263"/>
      <c r="G259" s="267"/>
      <c r="H259" s="263"/>
      <c r="I259" s="267"/>
      <c r="J259" s="267"/>
      <c r="K259" s="265"/>
      <c r="L259" s="265"/>
      <c r="M259" s="266"/>
    </row>
    <row r="260" spans="1:13">
      <c r="A260" s="263"/>
      <c r="B260" s="265"/>
      <c r="C260" s="265"/>
      <c r="D260" s="265"/>
      <c r="E260" s="265"/>
      <c r="F260" s="263">
        <v>46</v>
      </c>
      <c r="G260" s="267" t="s">
        <v>4</v>
      </c>
      <c r="H260" s="277" t="s">
        <v>132</v>
      </c>
      <c r="I260" s="276">
        <v>45000</v>
      </c>
      <c r="J260" s="267"/>
      <c r="K260" s="265"/>
      <c r="L260" s="265"/>
      <c r="M260" s="266"/>
    </row>
    <row r="261" spans="1:13">
      <c r="A261" s="263"/>
      <c r="B261" s="265"/>
      <c r="C261" s="265"/>
      <c r="D261" s="265"/>
      <c r="E261" s="265"/>
      <c r="F261" s="263">
        <v>46</v>
      </c>
      <c r="G261" s="267" t="s">
        <v>5</v>
      </c>
      <c r="H261" s="263" t="s">
        <v>131</v>
      </c>
      <c r="I261" s="267"/>
      <c r="J261" s="264">
        <v>45000</v>
      </c>
      <c r="K261" s="265"/>
      <c r="L261" s="265"/>
      <c r="M261" s="266"/>
    </row>
    <row r="262" spans="1:13">
      <c r="A262" s="263"/>
      <c r="B262" s="265"/>
      <c r="C262" s="265"/>
      <c r="D262" s="265"/>
      <c r="E262" s="265"/>
      <c r="F262" s="263"/>
      <c r="G262" s="267"/>
      <c r="H262" s="279" t="s">
        <v>197</v>
      </c>
      <c r="I262" s="267"/>
      <c r="J262" s="267"/>
      <c r="K262" s="265"/>
      <c r="L262" s="265"/>
      <c r="M262" s="266"/>
    </row>
    <row r="263" spans="1:13">
      <c r="A263" s="263"/>
      <c r="B263" s="265"/>
      <c r="C263" s="265"/>
      <c r="D263" s="265"/>
      <c r="E263" s="265"/>
      <c r="F263" s="263"/>
      <c r="G263" s="267"/>
      <c r="H263" s="279"/>
      <c r="I263" s="267"/>
      <c r="J263" s="267"/>
      <c r="K263" s="265"/>
      <c r="L263" s="265"/>
      <c r="M263" s="266"/>
    </row>
    <row r="264" spans="1:13">
      <c r="A264" s="263"/>
      <c r="B264" s="265"/>
      <c r="C264" s="265"/>
      <c r="D264" s="265"/>
      <c r="E264" s="265"/>
      <c r="F264" s="263">
        <v>47</v>
      </c>
      <c r="G264" s="267" t="s">
        <v>4</v>
      </c>
      <c r="H264" s="277" t="s">
        <v>136</v>
      </c>
      <c r="I264" s="276">
        <f>SUM(J265:J267)</f>
        <v>2178600</v>
      </c>
      <c r="J264" s="267"/>
      <c r="K264" s="265"/>
      <c r="L264" s="265"/>
      <c r="M264" s="266"/>
    </row>
    <row r="265" spans="1:13">
      <c r="A265" s="263"/>
      <c r="B265" s="265"/>
      <c r="C265" s="265"/>
      <c r="D265" s="265"/>
      <c r="E265" s="265"/>
      <c r="F265" s="263">
        <v>47</v>
      </c>
      <c r="G265" s="267" t="s">
        <v>5</v>
      </c>
      <c r="H265" s="277" t="s">
        <v>135</v>
      </c>
      <c r="I265" s="267"/>
      <c r="J265" s="276">
        <f>J193</f>
        <v>1995000</v>
      </c>
      <c r="K265" s="265"/>
      <c r="L265" s="265"/>
      <c r="M265" s="266"/>
    </row>
    <row r="266" spans="1:13">
      <c r="A266" s="263"/>
      <c r="B266" s="265"/>
      <c r="C266" s="265"/>
      <c r="D266" s="265"/>
      <c r="E266" s="265"/>
      <c r="F266" s="263">
        <v>47</v>
      </c>
      <c r="G266" s="267" t="s">
        <v>5</v>
      </c>
      <c r="H266" s="277" t="s">
        <v>141</v>
      </c>
      <c r="I266" s="267"/>
      <c r="J266" s="276">
        <f>J194</f>
        <v>24000</v>
      </c>
      <c r="K266" s="265"/>
      <c r="L266" s="265"/>
      <c r="M266" s="266"/>
    </row>
    <row r="267" spans="1:13">
      <c r="A267" s="263"/>
      <c r="B267" s="265"/>
      <c r="C267" s="265"/>
      <c r="D267" s="265"/>
      <c r="E267" s="265"/>
      <c r="F267" s="263">
        <v>47</v>
      </c>
      <c r="G267" s="267" t="s">
        <v>5</v>
      </c>
      <c r="H267" s="277" t="s">
        <v>138</v>
      </c>
      <c r="I267" s="267"/>
      <c r="J267" s="276">
        <f>J195</f>
        <v>159600</v>
      </c>
      <c r="K267" s="265"/>
      <c r="L267" s="265"/>
      <c r="M267" s="266"/>
    </row>
    <row r="268" spans="1:13">
      <c r="A268" s="263"/>
      <c r="B268" s="265"/>
      <c r="C268" s="265"/>
      <c r="D268" s="265"/>
      <c r="E268" s="265"/>
      <c r="F268" s="263"/>
      <c r="G268" s="267"/>
      <c r="H268" s="279" t="s">
        <v>139</v>
      </c>
      <c r="I268" s="267"/>
      <c r="J268" s="267"/>
      <c r="K268" s="265"/>
      <c r="L268" s="265"/>
      <c r="M268" s="266"/>
    </row>
    <row r="269" spans="1:13">
      <c r="A269" s="263"/>
      <c r="B269" s="265"/>
      <c r="C269" s="265"/>
      <c r="D269" s="265"/>
      <c r="E269" s="265"/>
      <c r="F269" s="263"/>
      <c r="G269" s="267"/>
      <c r="H269" s="279"/>
      <c r="I269" s="267"/>
      <c r="J269" s="267"/>
      <c r="K269" s="265"/>
      <c r="L269" s="265"/>
      <c r="M269" s="266"/>
    </row>
    <row r="270" spans="1:13">
      <c r="A270" s="263"/>
      <c r="B270" s="265"/>
      <c r="C270" s="265"/>
      <c r="D270" s="265"/>
      <c r="E270" s="265"/>
      <c r="F270" s="263">
        <v>48</v>
      </c>
      <c r="G270" s="267" t="s">
        <v>4</v>
      </c>
      <c r="H270" s="277" t="s">
        <v>140</v>
      </c>
      <c r="I270" s="276">
        <f>I218</f>
        <v>299250</v>
      </c>
      <c r="J270" s="267"/>
      <c r="K270" s="265"/>
      <c r="L270" s="265"/>
      <c r="M270" s="266"/>
    </row>
    <row r="271" spans="1:13">
      <c r="A271" s="263"/>
      <c r="B271" s="265"/>
      <c r="C271" s="265"/>
      <c r="D271" s="265"/>
      <c r="E271" s="265"/>
      <c r="F271" s="263">
        <v>48</v>
      </c>
      <c r="G271" s="267" t="s">
        <v>5</v>
      </c>
      <c r="H271" s="277" t="s">
        <v>138</v>
      </c>
      <c r="I271" s="267"/>
      <c r="J271" s="276">
        <f>I270</f>
        <v>299250</v>
      </c>
      <c r="K271" s="265"/>
      <c r="L271" s="265"/>
      <c r="M271" s="266"/>
    </row>
    <row r="272" spans="1:13">
      <c r="A272" s="263"/>
      <c r="B272" s="265"/>
      <c r="C272" s="265"/>
      <c r="D272" s="265"/>
      <c r="E272" s="265"/>
      <c r="F272" s="263"/>
      <c r="G272" s="267"/>
      <c r="H272" s="279" t="s">
        <v>142</v>
      </c>
      <c r="I272" s="267"/>
      <c r="J272" s="267"/>
      <c r="K272" s="265"/>
      <c r="L272" s="265"/>
      <c r="M272" s="266"/>
    </row>
    <row r="273" spans="1:13">
      <c r="A273" s="263"/>
      <c r="B273" s="265"/>
      <c r="C273" s="265"/>
      <c r="D273" s="265"/>
      <c r="E273" s="265"/>
      <c r="F273" s="263"/>
      <c r="G273" s="267"/>
      <c r="H273" s="279"/>
      <c r="I273" s="267"/>
      <c r="J273" s="267"/>
      <c r="K273" s="265"/>
      <c r="L273" s="265"/>
      <c r="M273" s="266"/>
    </row>
    <row r="274" spans="1:13">
      <c r="A274" s="263"/>
      <c r="B274" s="265"/>
      <c r="C274" s="265"/>
      <c r="D274" s="265"/>
      <c r="E274" s="265"/>
      <c r="F274" s="263">
        <v>49</v>
      </c>
      <c r="G274" s="267" t="s">
        <v>4</v>
      </c>
      <c r="H274" s="277" t="s">
        <v>137</v>
      </c>
      <c r="I274" s="276">
        <f>SUM(J275:J277)</f>
        <v>961050</v>
      </c>
      <c r="J274" s="267"/>
      <c r="K274" s="265"/>
      <c r="L274" s="265"/>
      <c r="M274" s="266"/>
    </row>
    <row r="275" spans="1:13">
      <c r="A275" s="263"/>
      <c r="B275" s="265"/>
      <c r="C275" s="265"/>
      <c r="D275" s="265"/>
      <c r="E275" s="265"/>
      <c r="F275" s="263">
        <v>49</v>
      </c>
      <c r="G275" s="267" t="s">
        <v>5</v>
      </c>
      <c r="H275" s="277" t="s">
        <v>134</v>
      </c>
      <c r="I275" s="267"/>
      <c r="J275" s="276">
        <f>J203</f>
        <v>825000</v>
      </c>
      <c r="K275" s="265"/>
      <c r="L275" s="265"/>
      <c r="M275" s="266"/>
    </row>
    <row r="276" spans="1:13">
      <c r="A276" s="263"/>
      <c r="B276" s="265"/>
      <c r="C276" s="265"/>
      <c r="D276" s="265"/>
      <c r="E276" s="265"/>
      <c r="F276" s="263">
        <v>49</v>
      </c>
      <c r="G276" s="267" t="s">
        <v>5</v>
      </c>
      <c r="H276" s="277" t="s">
        <v>141</v>
      </c>
      <c r="I276" s="267"/>
      <c r="J276" s="276">
        <f>J204</f>
        <v>70050</v>
      </c>
      <c r="K276" s="265"/>
      <c r="L276" s="265"/>
      <c r="M276" s="266"/>
    </row>
    <row r="277" spans="1:13">
      <c r="A277" s="263"/>
      <c r="B277" s="265"/>
      <c r="C277" s="265"/>
      <c r="D277" s="265"/>
      <c r="E277" s="265"/>
      <c r="F277" s="263">
        <v>49</v>
      </c>
      <c r="G277" s="267" t="s">
        <v>5</v>
      </c>
      <c r="H277" s="277" t="s">
        <v>138</v>
      </c>
      <c r="I277" s="267"/>
      <c r="J277" s="276">
        <f>J205</f>
        <v>66000</v>
      </c>
      <c r="K277" s="265"/>
      <c r="L277" s="265"/>
      <c r="M277" s="266"/>
    </row>
    <row r="278" spans="1:13">
      <c r="A278" s="263"/>
      <c r="B278" s="265"/>
      <c r="C278" s="265"/>
      <c r="D278" s="265"/>
      <c r="E278" s="265"/>
      <c r="F278" s="263"/>
      <c r="G278" s="267"/>
      <c r="H278" s="279" t="s">
        <v>143</v>
      </c>
      <c r="I278" s="267"/>
      <c r="J278" s="267"/>
      <c r="K278" s="265"/>
      <c r="L278" s="265"/>
      <c r="M278" s="266"/>
    </row>
    <row r="279" spans="1:13">
      <c r="A279" s="263"/>
      <c r="B279" s="265"/>
      <c r="C279" s="265"/>
      <c r="D279" s="265"/>
      <c r="E279" s="265"/>
      <c r="F279" s="263"/>
      <c r="G279" s="267"/>
      <c r="H279" s="279"/>
      <c r="I279" s="267"/>
      <c r="J279" s="267"/>
      <c r="K279" s="265"/>
      <c r="L279" s="265"/>
      <c r="M279" s="266"/>
    </row>
    <row r="280" spans="1:13">
      <c r="A280" s="263"/>
      <c r="B280" s="265"/>
      <c r="C280" s="265"/>
      <c r="D280" s="265"/>
      <c r="E280" s="265"/>
      <c r="F280" s="263">
        <v>50</v>
      </c>
      <c r="G280" s="267" t="s">
        <v>4</v>
      </c>
      <c r="H280" s="263" t="s">
        <v>140</v>
      </c>
      <c r="I280" s="276">
        <f>I208</f>
        <v>123750</v>
      </c>
      <c r="J280" s="267"/>
      <c r="K280" s="265"/>
      <c r="L280" s="265"/>
      <c r="M280" s="266"/>
    </row>
    <row r="281" spans="1:13">
      <c r="A281" s="263"/>
      <c r="B281" s="265"/>
      <c r="C281" s="265"/>
      <c r="D281" s="265"/>
      <c r="E281" s="265"/>
      <c r="F281" s="263">
        <v>50</v>
      </c>
      <c r="G281" s="267" t="s">
        <v>5</v>
      </c>
      <c r="H281" s="263" t="s">
        <v>138</v>
      </c>
      <c r="I281" s="267"/>
      <c r="J281" s="264">
        <f>I280</f>
        <v>123750</v>
      </c>
      <c r="K281" s="265"/>
      <c r="L281" s="265"/>
      <c r="M281" s="266"/>
    </row>
    <row r="282" spans="1:13">
      <c r="A282" s="263"/>
      <c r="B282" s="265"/>
      <c r="C282" s="265"/>
      <c r="D282" s="265"/>
      <c r="E282" s="265"/>
      <c r="F282" s="263"/>
      <c r="G282" s="267"/>
      <c r="H282" s="279" t="s">
        <v>144</v>
      </c>
      <c r="I282" s="267"/>
      <c r="J282" s="267"/>
      <c r="K282" s="265"/>
      <c r="L282" s="265"/>
      <c r="M282" s="266"/>
    </row>
    <row r="283" spans="1:13">
      <c r="A283" s="263"/>
      <c r="B283" s="265"/>
      <c r="C283" s="265"/>
      <c r="D283" s="265"/>
      <c r="E283" s="265"/>
      <c r="F283" s="263"/>
      <c r="G283" s="267"/>
      <c r="H283" s="279"/>
      <c r="I283" s="267"/>
      <c r="J283" s="267"/>
      <c r="K283" s="265"/>
      <c r="L283" s="265"/>
      <c r="M283" s="266"/>
    </row>
    <row r="284" spans="1:13">
      <c r="A284" s="263"/>
      <c r="B284" s="265"/>
      <c r="C284" s="265"/>
      <c r="D284" s="265"/>
      <c r="E284" s="265"/>
      <c r="F284" s="263">
        <v>51</v>
      </c>
      <c r="G284" s="267" t="s">
        <v>4</v>
      </c>
      <c r="H284" s="277" t="s">
        <v>135</v>
      </c>
      <c r="I284" s="264">
        <f>J265</f>
        <v>1995000</v>
      </c>
      <c r="J284" s="267"/>
      <c r="K284" s="265"/>
      <c r="L284" s="265"/>
      <c r="M284" s="266"/>
    </row>
    <row r="285" spans="1:13">
      <c r="A285" s="263"/>
      <c r="B285" s="265"/>
      <c r="C285" s="265"/>
      <c r="D285" s="265"/>
      <c r="E285" s="265"/>
      <c r="F285" s="263">
        <v>51</v>
      </c>
      <c r="G285" s="267" t="s">
        <v>4</v>
      </c>
      <c r="H285" s="277" t="s">
        <v>141</v>
      </c>
      <c r="I285" s="264">
        <f>J266</f>
        <v>24000</v>
      </c>
      <c r="J285" s="267"/>
      <c r="K285" s="265"/>
      <c r="L285" s="265"/>
      <c r="M285" s="266"/>
    </row>
    <row r="286" spans="1:13">
      <c r="A286" s="263"/>
      <c r="B286" s="265"/>
      <c r="C286" s="265"/>
      <c r="D286" s="265"/>
      <c r="E286" s="265"/>
      <c r="F286" s="263">
        <v>51</v>
      </c>
      <c r="G286" s="267" t="s">
        <v>4</v>
      </c>
      <c r="H286" s="277" t="s">
        <v>138</v>
      </c>
      <c r="I286" s="264">
        <f>J267</f>
        <v>159600</v>
      </c>
      <c r="J286" s="267"/>
      <c r="K286" s="265"/>
      <c r="L286" s="265"/>
      <c r="M286" s="266"/>
    </row>
    <row r="287" spans="1:13">
      <c r="A287" s="263"/>
      <c r="B287" s="265"/>
      <c r="C287" s="265"/>
      <c r="D287" s="265"/>
      <c r="E287" s="265"/>
      <c r="F287" s="263">
        <v>51</v>
      </c>
      <c r="G287" s="267" t="s">
        <v>5</v>
      </c>
      <c r="H287" s="277" t="s">
        <v>18</v>
      </c>
      <c r="I287" s="276"/>
      <c r="J287" s="264">
        <f>SUM(I284:I286)</f>
        <v>2178600</v>
      </c>
      <c r="K287" s="265"/>
      <c r="L287" s="265"/>
      <c r="M287" s="266"/>
    </row>
    <row r="288" spans="1:13">
      <c r="A288" s="263"/>
      <c r="B288" s="265"/>
      <c r="C288" s="265"/>
      <c r="D288" s="265"/>
      <c r="E288" s="265"/>
      <c r="F288" s="263"/>
      <c r="G288" s="267"/>
      <c r="H288" s="279" t="s">
        <v>145</v>
      </c>
      <c r="I288" s="276"/>
      <c r="J288" s="267"/>
      <c r="K288" s="265"/>
      <c r="L288" s="265"/>
      <c r="M288" s="266"/>
    </row>
    <row r="289" spans="1:13">
      <c r="A289" s="263"/>
      <c r="B289" s="265"/>
      <c r="C289" s="265"/>
      <c r="D289" s="265"/>
      <c r="E289" s="265"/>
      <c r="F289" s="263"/>
      <c r="G289" s="267"/>
      <c r="H289" s="279"/>
      <c r="I289" s="276"/>
      <c r="J289" s="267"/>
      <c r="K289" s="265"/>
      <c r="L289" s="265"/>
      <c r="M289" s="266"/>
    </row>
    <row r="290" spans="1:13">
      <c r="A290" s="263"/>
      <c r="B290" s="265"/>
      <c r="C290" s="265"/>
      <c r="D290" s="265"/>
      <c r="E290" s="265"/>
      <c r="F290" s="263">
        <v>52</v>
      </c>
      <c r="G290" s="267" t="s">
        <v>4</v>
      </c>
      <c r="H290" s="277" t="s">
        <v>138</v>
      </c>
      <c r="I290" s="276">
        <f>I270</f>
        <v>299250</v>
      </c>
      <c r="J290" s="267"/>
      <c r="K290" s="265"/>
      <c r="L290" s="265"/>
      <c r="M290" s="266"/>
    </row>
    <row r="291" spans="1:13">
      <c r="A291" s="263"/>
      <c r="B291" s="265"/>
      <c r="C291" s="265"/>
      <c r="D291" s="265"/>
      <c r="E291" s="265"/>
      <c r="F291" s="263">
        <v>52</v>
      </c>
      <c r="G291" s="267" t="s">
        <v>5</v>
      </c>
      <c r="H291" s="277" t="s">
        <v>18</v>
      </c>
      <c r="I291" s="276"/>
      <c r="J291" s="264">
        <f>I290</f>
        <v>299250</v>
      </c>
      <c r="K291" s="265"/>
      <c r="L291" s="265"/>
      <c r="M291" s="266"/>
    </row>
    <row r="292" spans="1:13">
      <c r="A292" s="263"/>
      <c r="B292" s="265"/>
      <c r="C292" s="265"/>
      <c r="D292" s="265"/>
      <c r="E292" s="265"/>
      <c r="F292" s="263"/>
      <c r="G292" s="267"/>
      <c r="H292" s="279" t="s">
        <v>193</v>
      </c>
      <c r="I292" s="276"/>
      <c r="J292" s="264"/>
      <c r="K292" s="265"/>
      <c r="L292" s="265"/>
      <c r="M292" s="266"/>
    </row>
    <row r="293" spans="1:13">
      <c r="A293" s="263"/>
      <c r="B293" s="265"/>
      <c r="C293" s="265"/>
      <c r="D293" s="265"/>
      <c r="E293" s="265"/>
      <c r="F293" s="263"/>
      <c r="G293" s="267"/>
      <c r="H293" s="263"/>
      <c r="I293" s="267"/>
      <c r="J293" s="267"/>
      <c r="K293" s="265"/>
      <c r="L293" s="265"/>
      <c r="M293" s="266"/>
    </row>
    <row r="294" spans="1:13">
      <c r="A294" s="263"/>
      <c r="B294" s="265"/>
      <c r="C294" s="265"/>
      <c r="D294" s="265"/>
      <c r="E294" s="265"/>
      <c r="F294" s="263">
        <v>53</v>
      </c>
      <c r="G294" s="267" t="s">
        <v>4</v>
      </c>
      <c r="H294" s="263" t="s">
        <v>134</v>
      </c>
      <c r="I294" s="264">
        <f>J275</f>
        <v>825000</v>
      </c>
      <c r="J294" s="264"/>
      <c r="K294" s="265"/>
      <c r="L294" s="265"/>
      <c r="M294" s="266"/>
    </row>
    <row r="295" spans="1:13">
      <c r="A295" s="263"/>
      <c r="B295" s="265"/>
      <c r="C295" s="265"/>
      <c r="D295" s="265"/>
      <c r="E295" s="265"/>
      <c r="F295" s="263">
        <v>53</v>
      </c>
      <c r="G295" s="267" t="s">
        <v>4</v>
      </c>
      <c r="H295" s="263" t="s">
        <v>141</v>
      </c>
      <c r="I295" s="264">
        <f>J276</f>
        <v>70050</v>
      </c>
      <c r="J295" s="264"/>
      <c r="K295" s="265"/>
      <c r="L295" s="265"/>
      <c r="M295" s="266"/>
    </row>
    <row r="296" spans="1:13">
      <c r="A296" s="263"/>
      <c r="B296" s="265"/>
      <c r="C296" s="265"/>
      <c r="D296" s="265"/>
      <c r="E296" s="265"/>
      <c r="F296" s="263">
        <v>53</v>
      </c>
      <c r="G296" s="267" t="s">
        <v>4</v>
      </c>
      <c r="H296" s="263" t="s">
        <v>138</v>
      </c>
      <c r="I296" s="264">
        <f>J277</f>
        <v>66000</v>
      </c>
      <c r="J296" s="264"/>
      <c r="K296" s="265"/>
      <c r="L296" s="265"/>
      <c r="M296" s="266"/>
    </row>
    <row r="297" spans="1:13">
      <c r="A297" s="263"/>
      <c r="B297" s="265"/>
      <c r="C297" s="265"/>
      <c r="D297" s="265"/>
      <c r="E297" s="265"/>
      <c r="F297" s="263">
        <v>53</v>
      </c>
      <c r="G297" s="267" t="s">
        <v>5</v>
      </c>
      <c r="H297" s="263" t="s">
        <v>18</v>
      </c>
      <c r="I297" s="267"/>
      <c r="J297" s="264">
        <f>SUM(I294:I296)</f>
        <v>961050</v>
      </c>
      <c r="K297" s="265"/>
      <c r="L297" s="265"/>
      <c r="M297" s="266"/>
    </row>
    <row r="298" spans="1:13">
      <c r="A298" s="263"/>
      <c r="B298" s="265"/>
      <c r="C298" s="265"/>
      <c r="D298" s="265"/>
      <c r="E298" s="265"/>
      <c r="F298" s="263"/>
      <c r="G298" s="267"/>
      <c r="H298" s="279" t="s">
        <v>145</v>
      </c>
      <c r="I298" s="267"/>
      <c r="J298" s="267"/>
      <c r="K298" s="265"/>
      <c r="L298" s="265"/>
      <c r="M298" s="266"/>
    </row>
    <row r="299" spans="1:13">
      <c r="A299" s="263"/>
      <c r="B299" s="265"/>
      <c r="C299" s="265"/>
      <c r="D299" s="265"/>
      <c r="E299" s="265"/>
      <c r="F299" s="263"/>
      <c r="G299" s="267"/>
      <c r="H299" s="279"/>
      <c r="I299" s="267"/>
      <c r="J299" s="267"/>
      <c r="K299" s="265"/>
      <c r="L299" s="265"/>
      <c r="M299" s="266"/>
    </row>
    <row r="300" spans="1:13">
      <c r="A300" s="263"/>
      <c r="B300" s="265"/>
      <c r="C300" s="265"/>
      <c r="D300" s="265"/>
      <c r="E300" s="265"/>
      <c r="F300" s="263">
        <v>54</v>
      </c>
      <c r="G300" s="267" t="s">
        <v>4</v>
      </c>
      <c r="H300" s="263" t="s">
        <v>138</v>
      </c>
      <c r="I300" s="264">
        <f>I280</f>
        <v>123750</v>
      </c>
      <c r="J300" s="267"/>
      <c r="K300" s="265"/>
      <c r="L300" s="265"/>
      <c r="M300" s="266"/>
    </row>
    <row r="301" spans="1:13">
      <c r="A301" s="263"/>
      <c r="B301" s="265"/>
      <c r="C301" s="265"/>
      <c r="D301" s="265"/>
      <c r="E301" s="265"/>
      <c r="F301" s="263">
        <v>54</v>
      </c>
      <c r="G301" s="267" t="s">
        <v>5</v>
      </c>
      <c r="H301" s="263" t="s">
        <v>18</v>
      </c>
      <c r="I301" s="267"/>
      <c r="J301" s="264">
        <f>I300</f>
        <v>123750</v>
      </c>
      <c r="K301" s="265"/>
      <c r="L301" s="265"/>
      <c r="M301" s="266"/>
    </row>
    <row r="302" spans="1:13">
      <c r="A302" s="263"/>
      <c r="B302" s="265"/>
      <c r="C302" s="265"/>
      <c r="D302" s="265"/>
      <c r="E302" s="265"/>
      <c r="F302" s="263"/>
      <c r="G302" s="267"/>
      <c r="H302" s="279" t="s">
        <v>193</v>
      </c>
      <c r="I302" s="267"/>
      <c r="J302" s="267"/>
      <c r="K302" s="265"/>
      <c r="L302" s="265"/>
      <c r="M302" s="266"/>
    </row>
    <row r="303" spans="1:13">
      <c r="A303" s="263"/>
      <c r="B303" s="265"/>
      <c r="C303" s="265"/>
      <c r="D303" s="265"/>
      <c r="E303" s="265"/>
      <c r="F303" s="263"/>
      <c r="G303" s="267"/>
      <c r="H303" s="279"/>
      <c r="I303" s="267"/>
      <c r="J303" s="267"/>
      <c r="K303" s="265"/>
      <c r="L303" s="265"/>
      <c r="M303" s="266"/>
    </row>
    <row r="304" spans="1:13">
      <c r="A304" s="263"/>
      <c r="B304" s="265"/>
      <c r="C304" s="265"/>
      <c r="D304" s="265"/>
      <c r="E304" s="265"/>
      <c r="F304" s="263">
        <v>55</v>
      </c>
      <c r="G304" s="267" t="s">
        <v>4</v>
      </c>
      <c r="H304" s="277" t="s">
        <v>17</v>
      </c>
      <c r="I304" s="264">
        <f>SUM('Amortização Emprestimo taxa 8,7'!I16:I18)</f>
        <v>432874.23314346786</v>
      </c>
      <c r="J304" s="267"/>
      <c r="K304" s="265"/>
      <c r="L304" s="265"/>
      <c r="M304" s="266"/>
    </row>
    <row r="305" spans="1:13">
      <c r="A305" s="263"/>
      <c r="B305" s="265"/>
      <c r="C305" s="265"/>
      <c r="D305" s="265"/>
      <c r="E305" s="265"/>
      <c r="F305" s="263">
        <v>55</v>
      </c>
      <c r="G305" s="267" t="s">
        <v>4</v>
      </c>
      <c r="H305" s="263" t="s">
        <v>186</v>
      </c>
      <c r="I305" s="264">
        <f>SUM('Amortização Emprestimo taxa 8,7'!E14:E16)</f>
        <v>137689.65892167584</v>
      </c>
      <c r="J305" s="267"/>
      <c r="K305" s="265"/>
      <c r="L305" s="265"/>
      <c r="M305" s="266"/>
    </row>
    <row r="306" spans="1:13">
      <c r="A306" s="263"/>
      <c r="B306" s="265"/>
      <c r="C306" s="265"/>
      <c r="D306" s="265"/>
      <c r="E306" s="265"/>
      <c r="F306" s="263">
        <v>55</v>
      </c>
      <c r="G306" s="267" t="s">
        <v>4</v>
      </c>
      <c r="H306" s="263" t="str">
        <f>H159</f>
        <v>6640004 - Despesas com Seviços Bancarios</v>
      </c>
      <c r="I306" s="264">
        <f>SUM('Amortização Emprestimo taxa 8,7'!K15:K17)</f>
        <v>6777.4785379283931</v>
      </c>
      <c r="J306" s="267"/>
      <c r="K306" s="265"/>
      <c r="L306" s="265"/>
      <c r="M306" s="266"/>
    </row>
    <row r="307" spans="1:13">
      <c r="A307" s="263"/>
      <c r="B307" s="265"/>
      <c r="C307" s="265"/>
      <c r="D307" s="265"/>
      <c r="E307" s="265"/>
      <c r="F307" s="263">
        <v>55</v>
      </c>
      <c r="G307" s="267" t="s">
        <v>5</v>
      </c>
      <c r="H307" s="277" t="s">
        <v>18</v>
      </c>
      <c r="I307" s="267"/>
      <c r="J307" s="264">
        <f>SUM(I304:I306)</f>
        <v>577341.37060307211</v>
      </c>
      <c r="K307" s="265"/>
      <c r="L307" s="265"/>
      <c r="M307" s="266"/>
    </row>
    <row r="308" spans="1:13" ht="37.5">
      <c r="A308" s="263"/>
      <c r="B308" s="265"/>
      <c r="C308" s="265"/>
      <c r="D308" s="265"/>
      <c r="E308" s="265"/>
      <c r="F308" s="263"/>
      <c r="G308" s="267"/>
      <c r="H308" s="292" t="s">
        <v>344</v>
      </c>
      <c r="I308" s="267"/>
      <c r="J308" s="267"/>
      <c r="K308" s="265"/>
      <c r="L308" s="265"/>
      <c r="M308" s="266"/>
    </row>
    <row r="309" spans="1:13">
      <c r="A309" s="263"/>
      <c r="B309" s="265"/>
      <c r="C309" s="265"/>
      <c r="D309" s="265"/>
      <c r="E309" s="265"/>
      <c r="F309" s="263"/>
      <c r="G309" s="267"/>
      <c r="H309" s="279"/>
      <c r="I309" s="267"/>
      <c r="J309" s="267"/>
      <c r="K309" s="265"/>
      <c r="L309" s="265"/>
      <c r="M309" s="266"/>
    </row>
    <row r="310" spans="1:13">
      <c r="A310" s="263"/>
      <c r="B310" s="265"/>
      <c r="C310" s="265"/>
      <c r="D310" s="265"/>
      <c r="E310" s="265"/>
      <c r="F310" s="263"/>
      <c r="G310" s="267"/>
      <c r="H310" s="279"/>
      <c r="I310" s="267"/>
      <c r="J310" s="267"/>
      <c r="K310" s="265"/>
      <c r="L310" s="265"/>
      <c r="M310" s="266"/>
    </row>
    <row r="311" spans="1:13">
      <c r="A311" s="263"/>
      <c r="B311" s="265"/>
      <c r="C311" s="265"/>
      <c r="D311" s="265"/>
      <c r="E311" s="265"/>
      <c r="F311" s="263"/>
      <c r="G311" s="267"/>
      <c r="H311" s="279"/>
      <c r="I311" s="267"/>
      <c r="J311" s="267"/>
      <c r="K311" s="265"/>
      <c r="L311" s="265"/>
      <c r="M311" s="266"/>
    </row>
    <row r="312" spans="1:13">
      <c r="A312" s="263"/>
      <c r="B312" s="265"/>
      <c r="C312" s="265"/>
      <c r="D312" s="265"/>
      <c r="E312" s="265"/>
      <c r="F312" s="263"/>
      <c r="G312" s="267"/>
      <c r="H312" s="279"/>
      <c r="I312" s="267"/>
      <c r="J312" s="267"/>
      <c r="K312" s="265"/>
      <c r="L312" s="265"/>
      <c r="M312" s="266"/>
    </row>
    <row r="313" spans="1:13">
      <c r="A313" s="263"/>
      <c r="B313" s="265"/>
      <c r="C313" s="265"/>
      <c r="D313" s="265"/>
      <c r="E313" s="265"/>
      <c r="F313" s="263"/>
      <c r="G313" s="267"/>
      <c r="H313" s="279"/>
      <c r="I313" s="267"/>
      <c r="J313" s="267"/>
      <c r="K313" s="265"/>
      <c r="L313" s="265"/>
      <c r="M313" s="266"/>
    </row>
    <row r="314" spans="1:13">
      <c r="A314" s="263"/>
      <c r="B314" s="265"/>
      <c r="C314" s="265"/>
      <c r="D314" s="265"/>
      <c r="E314" s="265"/>
      <c r="F314" s="263"/>
      <c r="G314" s="267"/>
      <c r="H314" s="279"/>
      <c r="I314" s="267"/>
      <c r="J314" s="267"/>
      <c r="K314" s="265"/>
      <c r="L314" s="265"/>
      <c r="M314" s="266"/>
    </row>
    <row r="315" spans="1:13">
      <c r="A315" s="263"/>
      <c r="B315" s="265"/>
      <c r="C315" s="265"/>
      <c r="D315" s="265"/>
      <c r="E315" s="265"/>
      <c r="F315" s="263"/>
      <c r="G315" s="267"/>
      <c r="H315" s="263"/>
      <c r="I315" s="267"/>
      <c r="J315" s="267"/>
      <c r="K315" s="265"/>
      <c r="L315" s="265"/>
      <c r="M315" s="266"/>
    </row>
    <row r="316" spans="1:13">
      <c r="A316" s="263"/>
      <c r="B316" s="265"/>
      <c r="C316" s="265"/>
      <c r="D316" s="265"/>
      <c r="E316" s="265"/>
      <c r="F316" s="263"/>
      <c r="G316" s="267"/>
      <c r="H316" s="282" t="s">
        <v>189</v>
      </c>
      <c r="I316" s="267"/>
      <c r="J316" s="267"/>
      <c r="K316" s="265"/>
      <c r="L316" s="265"/>
      <c r="M316" s="266"/>
    </row>
    <row r="317" spans="1:13" ht="19.5">
      <c r="A317" s="263"/>
      <c r="B317" s="265"/>
      <c r="C317" s="265"/>
      <c r="D317" s="265"/>
      <c r="E317" s="265"/>
      <c r="F317" s="263"/>
      <c r="G317" s="267"/>
      <c r="H317" s="283"/>
      <c r="I317" s="267"/>
      <c r="J317" s="267"/>
      <c r="K317" s="265"/>
      <c r="L317" s="265"/>
      <c r="M317" s="266"/>
    </row>
    <row r="318" spans="1:13">
      <c r="A318" s="263"/>
      <c r="B318" s="265"/>
      <c r="C318" s="265"/>
      <c r="D318" s="265"/>
      <c r="E318" s="265"/>
      <c r="F318" s="263">
        <v>56</v>
      </c>
      <c r="G318" s="267" t="s">
        <v>4</v>
      </c>
      <c r="H318" s="263" t="s">
        <v>119</v>
      </c>
      <c r="I318" s="264">
        <f>J320/1.15</f>
        <v>6330031.3043478262</v>
      </c>
      <c r="J318" s="264"/>
      <c r="K318" s="265"/>
      <c r="L318" s="265"/>
      <c r="M318" s="266"/>
    </row>
    <row r="319" spans="1:13">
      <c r="A319" s="263"/>
      <c r="B319" s="265"/>
      <c r="C319" s="265"/>
      <c r="D319" s="265"/>
      <c r="E319" s="265"/>
      <c r="F319" s="263">
        <v>56</v>
      </c>
      <c r="G319" s="267" t="s">
        <v>4</v>
      </c>
      <c r="H319" s="263" t="s">
        <v>111</v>
      </c>
      <c r="I319" s="264">
        <f>I318*0.15</f>
        <v>949504.69565217383</v>
      </c>
      <c r="J319" s="264"/>
      <c r="K319" s="265"/>
      <c r="L319" s="271">
        <f>SUM(I323:I324)</f>
        <v>14623224</v>
      </c>
      <c r="M319" s="266"/>
    </row>
    <row r="320" spans="1:13">
      <c r="A320" s="263"/>
      <c r="B320" s="265"/>
      <c r="C320" s="265"/>
      <c r="D320" s="265"/>
      <c r="E320" s="265"/>
      <c r="F320" s="263">
        <v>56</v>
      </c>
      <c r="G320" s="267" t="s">
        <v>5</v>
      </c>
      <c r="H320" s="263" t="s">
        <v>18</v>
      </c>
      <c r="I320" s="264"/>
      <c r="J320" s="264">
        <f>'[5]Orçamento de compra'!$G$33</f>
        <v>7279536</v>
      </c>
      <c r="K320" s="265"/>
      <c r="L320" s="265"/>
      <c r="M320" s="266"/>
    </row>
    <row r="321" spans="1:13">
      <c r="A321" s="263"/>
      <c r="B321" s="265"/>
      <c r="C321" s="265"/>
      <c r="D321" s="265"/>
      <c r="E321" s="265"/>
      <c r="F321" s="263"/>
      <c r="G321" s="267"/>
      <c r="H321" s="284" t="s">
        <v>112</v>
      </c>
      <c r="I321" s="264"/>
      <c r="J321" s="264"/>
      <c r="K321" s="265"/>
      <c r="L321" s="265"/>
      <c r="M321" s="266"/>
    </row>
    <row r="322" spans="1:13">
      <c r="A322" s="263"/>
      <c r="B322" s="265"/>
      <c r="C322" s="265"/>
      <c r="D322" s="265"/>
      <c r="E322" s="265"/>
      <c r="F322" s="263"/>
      <c r="G322" s="267"/>
      <c r="H322" s="284"/>
      <c r="I322" s="264"/>
      <c r="J322" s="264"/>
      <c r="K322" s="265"/>
      <c r="L322" s="265">
        <v>14623224</v>
      </c>
      <c r="M322" s="266"/>
    </row>
    <row r="323" spans="1:13">
      <c r="A323" s="263"/>
      <c r="B323" s="265"/>
      <c r="C323" s="265"/>
      <c r="D323" s="265"/>
      <c r="E323" s="265"/>
      <c r="F323" s="263">
        <v>57</v>
      </c>
      <c r="G323" s="267" t="s">
        <v>4</v>
      </c>
      <c r="H323" s="263" t="s">
        <v>59</v>
      </c>
      <c r="I323" s="264">
        <v>10000000</v>
      </c>
      <c r="J323" s="264"/>
      <c r="K323" s="265"/>
      <c r="L323" s="265"/>
      <c r="M323" s="266"/>
    </row>
    <row r="324" spans="1:13">
      <c r="A324" s="263"/>
      <c r="B324" s="265"/>
      <c r="C324" s="265"/>
      <c r="D324" s="265"/>
      <c r="E324" s="265"/>
      <c r="F324" s="263">
        <v>57</v>
      </c>
      <c r="G324" s="267"/>
      <c r="H324" s="263" t="s">
        <v>520</v>
      </c>
      <c r="I324" s="264">
        <v>4623224</v>
      </c>
      <c r="J324" s="264"/>
      <c r="K324" s="265"/>
      <c r="L324" s="271">
        <f>L322-I323</f>
        <v>4623224</v>
      </c>
      <c r="M324" s="266"/>
    </row>
    <row r="325" spans="1:13">
      <c r="A325" s="263"/>
      <c r="B325" s="265"/>
      <c r="C325" s="265"/>
      <c r="D325" s="265"/>
      <c r="E325" s="265"/>
      <c r="F325" s="263">
        <v>57</v>
      </c>
      <c r="G325" s="267" t="s">
        <v>5</v>
      </c>
      <c r="H325" s="263" t="s">
        <v>122</v>
      </c>
      <c r="I325" s="264"/>
      <c r="J325" s="264">
        <f>J326*0.15</f>
        <v>1907377.043478261</v>
      </c>
      <c r="K325" s="265"/>
      <c r="L325" s="265"/>
      <c r="M325" s="266"/>
    </row>
    <row r="326" spans="1:13">
      <c r="A326" s="263"/>
      <c r="B326" s="265"/>
      <c r="C326" s="265"/>
      <c r="D326" s="265"/>
      <c r="E326" s="265"/>
      <c r="F326" s="263">
        <v>57</v>
      </c>
      <c r="G326" s="267" t="s">
        <v>5</v>
      </c>
      <c r="H326" s="263" t="s">
        <v>121</v>
      </c>
      <c r="I326" s="264"/>
      <c r="J326" s="264">
        <f>SUM(I323:I324)/1.15</f>
        <v>12715846.95652174</v>
      </c>
      <c r="K326" s="265"/>
      <c r="L326" s="265"/>
      <c r="M326" s="266"/>
    </row>
    <row r="327" spans="1:13">
      <c r="A327" s="263"/>
      <c r="B327" s="265"/>
      <c r="C327" s="265"/>
      <c r="D327" s="265"/>
      <c r="E327" s="265"/>
      <c r="F327" s="263"/>
      <c r="G327" s="267"/>
      <c r="H327" s="284" t="s">
        <v>343</v>
      </c>
      <c r="I327" s="264"/>
      <c r="J327" s="264"/>
      <c r="K327" s="265"/>
      <c r="L327" s="265"/>
      <c r="M327" s="266"/>
    </row>
    <row r="328" spans="1:13">
      <c r="A328" s="263"/>
      <c r="B328" s="265"/>
      <c r="C328" s="265"/>
      <c r="D328" s="265"/>
      <c r="E328" s="265"/>
      <c r="F328" s="263"/>
      <c r="G328" s="267"/>
      <c r="H328" s="263"/>
      <c r="I328" s="264"/>
      <c r="J328" s="264"/>
      <c r="K328" s="265"/>
      <c r="L328" s="265"/>
      <c r="M328" s="266"/>
    </row>
    <row r="329" spans="1:13">
      <c r="A329" s="263"/>
      <c r="B329" s="265"/>
      <c r="C329" s="265"/>
      <c r="D329" s="265"/>
      <c r="E329" s="265"/>
      <c r="F329" s="263">
        <v>58</v>
      </c>
      <c r="G329" s="267" t="s">
        <v>4</v>
      </c>
      <c r="H329" s="263" t="s">
        <v>18</v>
      </c>
      <c r="I329" s="264">
        <f>J330</f>
        <v>10000000</v>
      </c>
      <c r="J329" s="264"/>
      <c r="K329" s="265"/>
      <c r="L329" s="265"/>
      <c r="M329" s="266"/>
    </row>
    <row r="330" spans="1:13">
      <c r="A330" s="263"/>
      <c r="B330" s="265"/>
      <c r="C330" s="265"/>
      <c r="D330" s="265"/>
      <c r="E330" s="265"/>
      <c r="F330" s="263">
        <v>58</v>
      </c>
      <c r="G330" s="267" t="s">
        <v>5</v>
      </c>
      <c r="H330" s="263" t="s">
        <v>59</v>
      </c>
      <c r="I330" s="264"/>
      <c r="J330" s="264">
        <f>I323</f>
        <v>10000000</v>
      </c>
      <c r="K330" s="265"/>
      <c r="L330" s="265"/>
      <c r="M330" s="266"/>
    </row>
    <row r="331" spans="1:13">
      <c r="A331" s="263"/>
      <c r="B331" s="265"/>
      <c r="C331" s="265"/>
      <c r="D331" s="265"/>
      <c r="E331" s="265"/>
      <c r="F331" s="263"/>
      <c r="G331" s="267"/>
      <c r="H331" s="284" t="s">
        <v>203</v>
      </c>
      <c r="I331" s="264"/>
      <c r="J331" s="264"/>
      <c r="K331" s="265"/>
      <c r="L331" s="265"/>
      <c r="M331" s="266"/>
    </row>
    <row r="332" spans="1:13">
      <c r="A332" s="263"/>
      <c r="B332" s="265"/>
      <c r="C332" s="265"/>
      <c r="D332" s="265"/>
      <c r="E332" s="265"/>
      <c r="F332" s="263"/>
      <c r="G332" s="267"/>
      <c r="H332" s="284"/>
      <c r="I332" s="264"/>
      <c r="J332" s="264"/>
      <c r="K332" s="265"/>
      <c r="L332" s="265"/>
      <c r="M332" s="266"/>
    </row>
    <row r="333" spans="1:13">
      <c r="A333" s="263"/>
      <c r="B333" s="265"/>
      <c r="C333" s="265"/>
      <c r="D333" s="265"/>
      <c r="E333" s="265"/>
      <c r="F333" s="263">
        <v>59</v>
      </c>
      <c r="G333" s="267" t="s">
        <v>4</v>
      </c>
      <c r="H333" s="263" t="s">
        <v>116</v>
      </c>
      <c r="I333" s="264">
        <v>30000</v>
      </c>
      <c r="J333" s="264"/>
      <c r="K333" s="265"/>
      <c r="L333" s="265"/>
      <c r="M333" s="266"/>
    </row>
    <row r="334" spans="1:13">
      <c r="A334" s="263"/>
      <c r="B334" s="265"/>
      <c r="C334" s="265"/>
      <c r="D334" s="265"/>
      <c r="E334" s="265"/>
      <c r="F334" s="263">
        <v>59</v>
      </c>
      <c r="G334" s="267" t="s">
        <v>4</v>
      </c>
      <c r="H334" s="263" t="s">
        <v>117</v>
      </c>
      <c r="I334" s="264">
        <v>75000</v>
      </c>
      <c r="J334" s="264"/>
      <c r="K334" s="265"/>
      <c r="L334" s="265"/>
      <c r="M334" s="266"/>
    </row>
    <row r="335" spans="1:13">
      <c r="A335" s="263"/>
      <c r="B335" s="265"/>
      <c r="C335" s="265"/>
      <c r="D335" s="265"/>
      <c r="E335" s="265"/>
      <c r="F335" s="263">
        <v>59</v>
      </c>
      <c r="G335" s="267" t="s">
        <v>4</v>
      </c>
      <c r="H335" s="263" t="s">
        <v>113</v>
      </c>
      <c r="I335" s="264">
        <v>9000</v>
      </c>
      <c r="J335" s="264"/>
      <c r="K335" s="265"/>
      <c r="L335" s="265"/>
      <c r="M335" s="266"/>
    </row>
    <row r="336" spans="1:13">
      <c r="A336" s="263"/>
      <c r="B336" s="265"/>
      <c r="C336" s="265"/>
      <c r="D336" s="265"/>
      <c r="E336" s="265"/>
      <c r="F336" s="263">
        <v>59</v>
      </c>
      <c r="G336" s="267" t="s">
        <v>4</v>
      </c>
      <c r="H336" s="263" t="s">
        <v>126</v>
      </c>
      <c r="I336" s="264">
        <v>45000</v>
      </c>
      <c r="J336" s="264"/>
      <c r="K336" s="265"/>
      <c r="L336" s="265"/>
      <c r="M336" s="266"/>
    </row>
    <row r="337" spans="1:13">
      <c r="A337" s="263"/>
      <c r="B337" s="265"/>
      <c r="C337" s="265"/>
      <c r="D337" s="265"/>
      <c r="E337" s="265"/>
      <c r="F337" s="263">
        <v>59</v>
      </c>
      <c r="G337" s="267" t="s">
        <v>4</v>
      </c>
      <c r="H337" s="263" t="s">
        <v>127</v>
      </c>
      <c r="I337" s="264">
        <v>150000</v>
      </c>
      <c r="J337" s="264"/>
      <c r="K337" s="265"/>
      <c r="L337" s="265"/>
      <c r="M337" s="266"/>
    </row>
    <row r="338" spans="1:13">
      <c r="A338" s="263"/>
      <c r="B338" s="265"/>
      <c r="C338" s="265"/>
      <c r="D338" s="265"/>
      <c r="E338" s="265"/>
      <c r="F338" s="263">
        <v>59</v>
      </c>
      <c r="G338" s="267" t="s">
        <v>4</v>
      </c>
      <c r="H338" s="263" t="s">
        <v>128</v>
      </c>
      <c r="I338" s="264">
        <v>54000</v>
      </c>
      <c r="J338" s="264"/>
      <c r="K338" s="265"/>
      <c r="L338" s="265"/>
      <c r="M338" s="266"/>
    </row>
    <row r="339" spans="1:13">
      <c r="A339" s="263"/>
      <c r="B339" s="265"/>
      <c r="C339" s="265"/>
      <c r="D339" s="265"/>
      <c r="E339" s="265"/>
      <c r="F339" s="263">
        <v>59</v>
      </c>
      <c r="G339" s="267" t="s">
        <v>4</v>
      </c>
      <c r="H339" s="263" t="s">
        <v>129</v>
      </c>
      <c r="I339" s="264">
        <v>35175</v>
      </c>
      <c r="J339" s="264"/>
      <c r="K339" s="265"/>
      <c r="L339" s="265"/>
      <c r="M339" s="266"/>
    </row>
    <row r="340" spans="1:13">
      <c r="A340" s="263"/>
      <c r="B340" s="265"/>
      <c r="C340" s="265"/>
      <c r="D340" s="265"/>
      <c r="E340" s="265"/>
      <c r="F340" s="263">
        <v>59</v>
      </c>
      <c r="G340" s="267" t="s">
        <v>4</v>
      </c>
      <c r="H340" s="263" t="s">
        <v>130</v>
      </c>
      <c r="I340" s="264">
        <v>22125</v>
      </c>
      <c r="J340" s="264"/>
      <c r="K340" s="265"/>
      <c r="L340" s="265"/>
      <c r="M340" s="266"/>
    </row>
    <row r="341" spans="1:13">
      <c r="A341" s="263"/>
      <c r="B341" s="265"/>
      <c r="C341" s="265"/>
      <c r="D341" s="265"/>
      <c r="E341" s="265"/>
      <c r="F341" s="263">
        <v>59</v>
      </c>
      <c r="G341" s="267" t="s">
        <v>5</v>
      </c>
      <c r="H341" s="263" t="s">
        <v>18</v>
      </c>
      <c r="I341" s="264"/>
      <c r="J341" s="264">
        <v>420300</v>
      </c>
      <c r="K341" s="265"/>
      <c r="L341" s="265"/>
      <c r="M341" s="266"/>
    </row>
    <row r="342" spans="1:13">
      <c r="A342" s="263"/>
      <c r="B342" s="265"/>
      <c r="C342" s="265"/>
      <c r="D342" s="265"/>
      <c r="E342" s="265"/>
      <c r="F342" s="263"/>
      <c r="G342" s="267"/>
      <c r="H342" s="284" t="s">
        <v>125</v>
      </c>
      <c r="I342" s="264"/>
      <c r="J342" s="264"/>
      <c r="K342" s="265"/>
      <c r="L342" s="265"/>
      <c r="M342" s="266"/>
    </row>
    <row r="343" spans="1:13">
      <c r="A343" s="263"/>
      <c r="B343" s="265"/>
      <c r="C343" s="265"/>
      <c r="D343" s="265"/>
      <c r="E343" s="265"/>
      <c r="F343" s="263"/>
      <c r="G343" s="267"/>
      <c r="H343" s="284"/>
      <c r="I343" s="264"/>
      <c r="J343" s="264"/>
      <c r="K343" s="265"/>
      <c r="L343" s="265"/>
      <c r="M343" s="266"/>
    </row>
    <row r="344" spans="1:13">
      <c r="A344" s="263"/>
      <c r="B344" s="265"/>
      <c r="C344" s="265"/>
      <c r="D344" s="265"/>
      <c r="E344" s="265"/>
      <c r="F344" s="263">
        <v>60</v>
      </c>
      <c r="G344" s="267" t="s">
        <v>4</v>
      </c>
      <c r="H344" s="263" t="s">
        <v>132</v>
      </c>
      <c r="I344" s="264">
        <v>45000</v>
      </c>
      <c r="J344" s="264"/>
      <c r="K344" s="265"/>
      <c r="L344" s="265"/>
      <c r="M344" s="266"/>
    </row>
    <row r="345" spans="1:13">
      <c r="A345" s="263"/>
      <c r="B345" s="265"/>
      <c r="C345" s="265"/>
      <c r="D345" s="265"/>
      <c r="E345" s="265"/>
      <c r="F345" s="263">
        <v>60</v>
      </c>
      <c r="G345" s="267" t="s">
        <v>5</v>
      </c>
      <c r="H345" s="263" t="s">
        <v>131</v>
      </c>
      <c r="I345" s="264"/>
      <c r="J345" s="264">
        <v>45000</v>
      </c>
      <c r="K345" s="265"/>
      <c r="L345" s="265"/>
      <c r="M345" s="266"/>
    </row>
    <row r="346" spans="1:13">
      <c r="A346" s="263"/>
      <c r="B346" s="265"/>
      <c r="C346" s="265"/>
      <c r="D346" s="265"/>
      <c r="E346" s="265"/>
      <c r="F346" s="263"/>
      <c r="G346" s="267"/>
      <c r="H346" s="284" t="s">
        <v>133</v>
      </c>
      <c r="I346" s="264"/>
      <c r="J346" s="264"/>
      <c r="K346" s="265"/>
      <c r="L346" s="265"/>
      <c r="M346" s="266"/>
    </row>
    <row r="347" spans="1:13">
      <c r="A347" s="263"/>
      <c r="B347" s="265"/>
      <c r="C347" s="265"/>
      <c r="D347" s="265"/>
      <c r="E347" s="265"/>
      <c r="F347" s="263"/>
      <c r="G347" s="267"/>
      <c r="H347" s="263"/>
      <c r="I347" s="264"/>
      <c r="J347" s="264"/>
      <c r="K347" s="265"/>
      <c r="L347" s="265"/>
      <c r="M347" s="266"/>
    </row>
    <row r="348" spans="1:13">
      <c r="A348" s="263"/>
      <c r="B348" s="265"/>
      <c r="C348" s="265"/>
      <c r="D348" s="265"/>
      <c r="E348" s="265"/>
      <c r="F348" s="263">
        <v>61</v>
      </c>
      <c r="G348" s="267" t="s">
        <v>4</v>
      </c>
      <c r="H348" s="263" t="s">
        <v>136</v>
      </c>
      <c r="I348" s="264">
        <f>SUM(J349:J351)</f>
        <v>2178600</v>
      </c>
      <c r="J348" s="264"/>
      <c r="K348" s="265"/>
      <c r="L348" s="265"/>
      <c r="M348" s="266"/>
    </row>
    <row r="349" spans="1:13">
      <c r="A349" s="263"/>
      <c r="B349" s="265"/>
      <c r="C349" s="265"/>
      <c r="D349" s="265"/>
      <c r="E349" s="265"/>
      <c r="F349" s="263">
        <v>61</v>
      </c>
      <c r="G349" s="267" t="s">
        <v>5</v>
      </c>
      <c r="H349" s="263" t="s">
        <v>135</v>
      </c>
      <c r="I349" s="264"/>
      <c r="J349" s="264">
        <f>J265</f>
        <v>1995000</v>
      </c>
      <c r="K349" s="265"/>
      <c r="L349" s="265"/>
      <c r="M349" s="266"/>
    </row>
    <row r="350" spans="1:13">
      <c r="A350" s="263"/>
      <c r="B350" s="265"/>
      <c r="C350" s="265"/>
      <c r="D350" s="265"/>
      <c r="E350" s="265"/>
      <c r="F350" s="263">
        <v>61</v>
      </c>
      <c r="G350" s="267" t="s">
        <v>5</v>
      </c>
      <c r="H350" s="263" t="s">
        <v>141</v>
      </c>
      <c r="I350" s="264"/>
      <c r="J350" s="264">
        <f>J266</f>
        <v>24000</v>
      </c>
      <c r="K350" s="265"/>
      <c r="L350" s="265"/>
      <c r="M350" s="266"/>
    </row>
    <row r="351" spans="1:13">
      <c r="A351" s="263"/>
      <c r="B351" s="265"/>
      <c r="C351" s="265"/>
      <c r="D351" s="265"/>
      <c r="E351" s="265"/>
      <c r="F351" s="263">
        <v>61</v>
      </c>
      <c r="G351" s="267" t="s">
        <v>5</v>
      </c>
      <c r="H351" s="263" t="s">
        <v>138</v>
      </c>
      <c r="I351" s="264"/>
      <c r="J351" s="264">
        <f>J267</f>
        <v>159600</v>
      </c>
      <c r="K351" s="265"/>
      <c r="L351" s="265"/>
      <c r="M351" s="266"/>
    </row>
    <row r="352" spans="1:13">
      <c r="A352" s="263"/>
      <c r="B352" s="265"/>
      <c r="C352" s="265"/>
      <c r="D352" s="265"/>
      <c r="E352" s="265"/>
      <c r="F352" s="263"/>
      <c r="G352" s="267"/>
      <c r="H352" s="284" t="s">
        <v>202</v>
      </c>
      <c r="I352" s="264"/>
      <c r="J352" s="264"/>
      <c r="K352" s="265"/>
      <c r="L352" s="265"/>
      <c r="M352" s="266"/>
    </row>
    <row r="353" spans="1:13">
      <c r="A353" s="263"/>
      <c r="B353" s="265"/>
      <c r="C353" s="265"/>
      <c r="D353" s="265"/>
      <c r="E353" s="265"/>
      <c r="F353" s="263"/>
      <c r="G353" s="267"/>
      <c r="H353" s="263"/>
      <c r="I353" s="264"/>
      <c r="J353" s="264"/>
      <c r="K353" s="265"/>
      <c r="L353" s="265"/>
      <c r="M353" s="266"/>
    </row>
    <row r="354" spans="1:13">
      <c r="A354" s="263"/>
      <c r="B354" s="265"/>
      <c r="C354" s="265"/>
      <c r="D354" s="265"/>
      <c r="E354" s="265"/>
      <c r="F354" s="263">
        <v>62</v>
      </c>
      <c r="G354" s="267" t="s">
        <v>4</v>
      </c>
      <c r="H354" s="263" t="s">
        <v>140</v>
      </c>
      <c r="I354" s="264">
        <f>I270</f>
        <v>299250</v>
      </c>
      <c r="J354" s="264"/>
      <c r="K354" s="265"/>
      <c r="L354" s="265"/>
      <c r="M354" s="266"/>
    </row>
    <row r="355" spans="1:13">
      <c r="A355" s="263"/>
      <c r="B355" s="265"/>
      <c r="C355" s="265"/>
      <c r="D355" s="265"/>
      <c r="E355" s="265"/>
      <c r="F355" s="263">
        <v>62</v>
      </c>
      <c r="G355" s="267" t="s">
        <v>5</v>
      </c>
      <c r="H355" s="263" t="s">
        <v>138</v>
      </c>
      <c r="I355" s="264"/>
      <c r="J355" s="264">
        <f>I354</f>
        <v>299250</v>
      </c>
      <c r="K355" s="265"/>
      <c r="L355" s="265"/>
      <c r="M355" s="266"/>
    </row>
    <row r="356" spans="1:13">
      <c r="A356" s="263"/>
      <c r="B356" s="265"/>
      <c r="C356" s="265"/>
      <c r="D356" s="265"/>
      <c r="E356" s="265"/>
      <c r="F356" s="263"/>
      <c r="G356" s="267"/>
      <c r="H356" s="284" t="s">
        <v>201</v>
      </c>
      <c r="I356" s="264"/>
      <c r="J356" s="264"/>
      <c r="K356" s="265"/>
      <c r="L356" s="265"/>
      <c r="M356" s="266"/>
    </row>
    <row r="357" spans="1:13">
      <c r="A357" s="263"/>
      <c r="B357" s="265"/>
      <c r="C357" s="265"/>
      <c r="D357" s="265"/>
      <c r="E357" s="265"/>
      <c r="F357" s="263"/>
      <c r="G357" s="267"/>
      <c r="H357" s="263"/>
      <c r="I357" s="264"/>
      <c r="J357" s="264"/>
      <c r="K357" s="265"/>
      <c r="L357" s="265"/>
      <c r="M357" s="266"/>
    </row>
    <row r="358" spans="1:13">
      <c r="A358" s="263"/>
      <c r="B358" s="265"/>
      <c r="C358" s="265"/>
      <c r="D358" s="265"/>
      <c r="E358" s="265"/>
      <c r="F358" s="263">
        <v>63</v>
      </c>
      <c r="G358" s="267" t="s">
        <v>4</v>
      </c>
      <c r="H358" s="263" t="s">
        <v>137</v>
      </c>
      <c r="I358" s="264">
        <f>SUM(J359:J361)</f>
        <v>961050</v>
      </c>
      <c r="J358" s="264"/>
      <c r="K358" s="265"/>
      <c r="L358" s="265"/>
      <c r="M358" s="266"/>
    </row>
    <row r="359" spans="1:13">
      <c r="A359" s="263"/>
      <c r="B359" s="265"/>
      <c r="C359" s="265"/>
      <c r="D359" s="265"/>
      <c r="E359" s="265"/>
      <c r="F359" s="263">
        <v>63</v>
      </c>
      <c r="G359" s="267" t="s">
        <v>5</v>
      </c>
      <c r="H359" s="263" t="s">
        <v>134</v>
      </c>
      <c r="I359" s="264"/>
      <c r="J359" s="264">
        <f>J275</f>
        <v>825000</v>
      </c>
      <c r="K359" s="265"/>
      <c r="L359" s="265"/>
      <c r="M359" s="266"/>
    </row>
    <row r="360" spans="1:13">
      <c r="A360" s="263"/>
      <c r="B360" s="265"/>
      <c r="C360" s="265"/>
      <c r="D360" s="265"/>
      <c r="E360" s="265"/>
      <c r="F360" s="263">
        <v>63</v>
      </c>
      <c r="G360" s="267" t="s">
        <v>5</v>
      </c>
      <c r="H360" s="263" t="s">
        <v>141</v>
      </c>
      <c r="I360" s="264"/>
      <c r="J360" s="264">
        <f>J276</f>
        <v>70050</v>
      </c>
      <c r="K360" s="265"/>
      <c r="L360" s="265"/>
      <c r="M360" s="266"/>
    </row>
    <row r="361" spans="1:13">
      <c r="A361" s="263"/>
      <c r="B361" s="265"/>
      <c r="C361" s="265"/>
      <c r="D361" s="265"/>
      <c r="E361" s="265"/>
      <c r="F361" s="263">
        <v>63</v>
      </c>
      <c r="G361" s="267" t="s">
        <v>5</v>
      </c>
      <c r="H361" s="263" t="s">
        <v>138</v>
      </c>
      <c r="I361" s="264"/>
      <c r="J361" s="264">
        <f>J277</f>
        <v>66000</v>
      </c>
      <c r="K361" s="265"/>
      <c r="L361" s="265"/>
      <c r="M361" s="266"/>
    </row>
    <row r="362" spans="1:13">
      <c r="A362" s="263"/>
      <c r="B362" s="265"/>
      <c r="C362" s="265"/>
      <c r="D362" s="265"/>
      <c r="E362" s="265"/>
      <c r="F362" s="263"/>
      <c r="G362" s="267"/>
      <c r="H362" s="284" t="s">
        <v>200</v>
      </c>
      <c r="I362" s="264"/>
      <c r="J362" s="264"/>
      <c r="K362" s="265"/>
      <c r="L362" s="265"/>
      <c r="M362" s="266"/>
    </row>
    <row r="363" spans="1:13">
      <c r="A363" s="263"/>
      <c r="B363" s="265"/>
      <c r="C363" s="265"/>
      <c r="D363" s="265"/>
      <c r="E363" s="265"/>
      <c r="F363" s="263"/>
      <c r="G363" s="267"/>
      <c r="H363" s="263"/>
      <c r="I363" s="264"/>
      <c r="J363" s="264"/>
      <c r="K363" s="265"/>
      <c r="L363" s="265"/>
      <c r="M363" s="266"/>
    </row>
    <row r="364" spans="1:13">
      <c r="A364" s="263"/>
      <c r="B364" s="265"/>
      <c r="C364" s="265"/>
      <c r="D364" s="265"/>
      <c r="E364" s="265"/>
      <c r="F364" s="263">
        <v>64</v>
      </c>
      <c r="G364" s="267" t="s">
        <v>4</v>
      </c>
      <c r="H364" s="263" t="s">
        <v>140</v>
      </c>
      <c r="I364" s="264">
        <f>I300</f>
        <v>123750</v>
      </c>
      <c r="J364" s="264"/>
      <c r="K364" s="265"/>
      <c r="L364" s="265"/>
      <c r="M364" s="266"/>
    </row>
    <row r="365" spans="1:13">
      <c r="A365" s="263"/>
      <c r="B365" s="265"/>
      <c r="C365" s="265"/>
      <c r="D365" s="265"/>
      <c r="E365" s="265"/>
      <c r="F365" s="263">
        <v>64</v>
      </c>
      <c r="G365" s="267" t="s">
        <v>5</v>
      </c>
      <c r="H365" s="263" t="s">
        <v>138</v>
      </c>
      <c r="I365" s="264"/>
      <c r="J365" s="264">
        <f>I364</f>
        <v>123750</v>
      </c>
      <c r="K365" s="265"/>
      <c r="L365" s="265"/>
      <c r="M365" s="266"/>
    </row>
    <row r="366" spans="1:13">
      <c r="A366" s="263"/>
      <c r="B366" s="265"/>
      <c r="C366" s="265"/>
      <c r="D366" s="265"/>
      <c r="E366" s="265"/>
      <c r="F366" s="263"/>
      <c r="G366" s="267"/>
      <c r="H366" s="284" t="s">
        <v>199</v>
      </c>
      <c r="I366" s="264"/>
      <c r="J366" s="264"/>
      <c r="K366" s="265"/>
      <c r="L366" s="265"/>
      <c r="M366" s="266"/>
    </row>
    <row r="367" spans="1:13">
      <c r="A367" s="263"/>
      <c r="B367" s="265"/>
      <c r="C367" s="265"/>
      <c r="D367" s="265"/>
      <c r="E367" s="265"/>
      <c r="F367" s="263"/>
      <c r="G367" s="267"/>
      <c r="H367" s="263"/>
      <c r="I367" s="264"/>
      <c r="J367" s="264"/>
      <c r="K367" s="265"/>
      <c r="L367" s="265"/>
      <c r="M367" s="266"/>
    </row>
    <row r="368" spans="1:13">
      <c r="A368" s="263"/>
      <c r="B368" s="265"/>
      <c r="C368" s="265"/>
      <c r="D368" s="265"/>
      <c r="E368" s="265"/>
      <c r="F368" s="263">
        <v>65</v>
      </c>
      <c r="G368" s="267" t="s">
        <v>4</v>
      </c>
      <c r="H368" s="263" t="s">
        <v>135</v>
      </c>
      <c r="I368" s="264">
        <f>J349</f>
        <v>1995000</v>
      </c>
      <c r="J368" s="264"/>
      <c r="K368" s="265"/>
      <c r="L368" s="265"/>
      <c r="M368" s="266"/>
    </row>
    <row r="369" spans="1:13">
      <c r="A369" s="263"/>
      <c r="B369" s="265"/>
      <c r="C369" s="265"/>
      <c r="D369" s="265"/>
      <c r="E369" s="265"/>
      <c r="F369" s="263">
        <v>65</v>
      </c>
      <c r="G369" s="267" t="s">
        <v>4</v>
      </c>
      <c r="H369" s="263" t="s">
        <v>141</v>
      </c>
      <c r="I369" s="264">
        <f>(J350/3)*2</f>
        <v>16000</v>
      </c>
      <c r="J369" s="264"/>
      <c r="K369" s="265"/>
      <c r="L369" s="265"/>
      <c r="M369" s="266"/>
    </row>
    <row r="370" spans="1:13">
      <c r="A370" s="263"/>
      <c r="B370" s="265"/>
      <c r="C370" s="265"/>
      <c r="D370" s="265"/>
      <c r="E370" s="265"/>
      <c r="F370" s="263">
        <v>65</v>
      </c>
      <c r="G370" s="267" t="s">
        <v>4</v>
      </c>
      <c r="H370" s="263" t="s">
        <v>138</v>
      </c>
      <c r="I370" s="264">
        <f>J351</f>
        <v>159600</v>
      </c>
      <c r="J370" s="264"/>
      <c r="K370" s="265"/>
      <c r="L370" s="265"/>
      <c r="M370" s="266"/>
    </row>
    <row r="371" spans="1:13">
      <c r="A371" s="263"/>
      <c r="B371" s="265"/>
      <c r="C371" s="265"/>
      <c r="D371" s="265"/>
      <c r="E371" s="265"/>
      <c r="F371" s="263">
        <v>65</v>
      </c>
      <c r="G371" s="267" t="s">
        <v>5</v>
      </c>
      <c r="H371" s="263" t="s">
        <v>18</v>
      </c>
      <c r="I371" s="264"/>
      <c r="J371" s="264">
        <f>SUM(I368:I370)</f>
        <v>2170600</v>
      </c>
      <c r="K371" s="265"/>
      <c r="L371" s="265"/>
      <c r="M371" s="266"/>
    </row>
    <row r="372" spans="1:13">
      <c r="A372" s="263"/>
      <c r="B372" s="265"/>
      <c r="C372" s="265"/>
      <c r="D372" s="265"/>
      <c r="E372" s="265"/>
      <c r="F372" s="263"/>
      <c r="G372" s="267"/>
      <c r="H372" s="484" t="s">
        <v>145</v>
      </c>
      <c r="I372" s="264"/>
      <c r="J372" s="264"/>
      <c r="K372" s="265"/>
      <c r="L372" s="265"/>
      <c r="M372" s="266"/>
    </row>
    <row r="373" spans="1:13">
      <c r="A373" s="263"/>
      <c r="B373" s="265"/>
      <c r="C373" s="265"/>
      <c r="D373" s="265"/>
      <c r="E373" s="265"/>
      <c r="F373" s="263"/>
      <c r="G373" s="267"/>
      <c r="H373" s="263"/>
      <c r="I373" s="264"/>
      <c r="J373" s="264"/>
      <c r="K373" s="265"/>
      <c r="L373" s="265"/>
      <c r="M373" s="266"/>
    </row>
    <row r="374" spans="1:13">
      <c r="A374" s="263"/>
      <c r="B374" s="265"/>
      <c r="C374" s="265"/>
      <c r="D374" s="265"/>
      <c r="E374" s="265"/>
      <c r="F374" s="263">
        <v>66</v>
      </c>
      <c r="G374" s="267" t="s">
        <v>4</v>
      </c>
      <c r="H374" s="263" t="s">
        <v>138</v>
      </c>
      <c r="I374" s="264">
        <f>J355-(I354/3)</f>
        <v>199500</v>
      </c>
      <c r="J374" s="264"/>
      <c r="K374" s="265"/>
      <c r="L374" s="265"/>
      <c r="M374" s="266"/>
    </row>
    <row r="375" spans="1:13">
      <c r="A375" s="263"/>
      <c r="B375" s="265"/>
      <c r="C375" s="265"/>
      <c r="D375" s="265"/>
      <c r="E375" s="265"/>
      <c r="F375" s="263">
        <v>66</v>
      </c>
      <c r="G375" s="267" t="s">
        <v>5</v>
      </c>
      <c r="H375" s="263" t="s">
        <v>18</v>
      </c>
      <c r="I375" s="264"/>
      <c r="J375" s="264">
        <f>I374</f>
        <v>199500</v>
      </c>
      <c r="K375" s="265"/>
      <c r="L375" s="265"/>
      <c r="M375" s="266"/>
    </row>
    <row r="376" spans="1:13">
      <c r="A376" s="263"/>
      <c r="B376" s="265"/>
      <c r="C376" s="265"/>
      <c r="D376" s="265"/>
      <c r="E376" s="265"/>
      <c r="F376" s="263"/>
      <c r="G376" s="267"/>
      <c r="H376" s="284" t="s">
        <v>198</v>
      </c>
      <c r="I376" s="264"/>
      <c r="J376" s="264"/>
      <c r="K376" s="265"/>
      <c r="L376" s="265"/>
      <c r="M376" s="266"/>
    </row>
    <row r="377" spans="1:13">
      <c r="A377" s="263"/>
      <c r="B377" s="265"/>
      <c r="C377" s="265"/>
      <c r="D377" s="265"/>
      <c r="E377" s="265"/>
      <c r="F377" s="263"/>
      <c r="G377" s="267"/>
      <c r="H377" s="263"/>
      <c r="I377" s="264"/>
      <c r="J377" s="264"/>
      <c r="K377" s="265"/>
      <c r="L377" s="265"/>
      <c r="M377" s="266"/>
    </row>
    <row r="378" spans="1:13">
      <c r="A378" s="263"/>
      <c r="B378" s="265"/>
      <c r="C378" s="265"/>
      <c r="D378" s="265"/>
      <c r="E378" s="265"/>
      <c r="F378" s="263">
        <v>67</v>
      </c>
      <c r="G378" s="267" t="s">
        <v>4</v>
      </c>
      <c r="H378" s="263" t="s">
        <v>134</v>
      </c>
      <c r="I378" s="264">
        <f>J359</f>
        <v>825000</v>
      </c>
      <c r="J378" s="264"/>
      <c r="K378" s="265"/>
      <c r="L378" s="265"/>
      <c r="M378" s="266"/>
    </row>
    <row r="379" spans="1:13">
      <c r="A379" s="263"/>
      <c r="B379" s="265"/>
      <c r="C379" s="265"/>
      <c r="D379" s="265"/>
      <c r="E379" s="265"/>
      <c r="F379" s="263">
        <v>67</v>
      </c>
      <c r="G379" s="267" t="s">
        <v>4</v>
      </c>
      <c r="H379" s="263" t="s">
        <v>141</v>
      </c>
      <c r="I379" s="264">
        <f>(J360/3)*2</f>
        <v>46700</v>
      </c>
      <c r="J379" s="264"/>
      <c r="K379" s="265"/>
      <c r="L379" s="265"/>
      <c r="M379" s="266"/>
    </row>
    <row r="380" spans="1:13">
      <c r="A380" s="263"/>
      <c r="B380" s="265"/>
      <c r="C380" s="265"/>
      <c r="D380" s="265"/>
      <c r="E380" s="265"/>
      <c r="F380" s="263">
        <v>67</v>
      </c>
      <c r="G380" s="267" t="s">
        <v>4</v>
      </c>
      <c r="H380" s="263" t="s">
        <v>138</v>
      </c>
      <c r="I380" s="264">
        <f>J361</f>
        <v>66000</v>
      </c>
      <c r="J380" s="264"/>
      <c r="K380" s="265"/>
      <c r="L380" s="265"/>
      <c r="M380" s="266"/>
    </row>
    <row r="381" spans="1:13">
      <c r="A381" s="263"/>
      <c r="B381" s="265"/>
      <c r="C381" s="265"/>
      <c r="D381" s="265"/>
      <c r="E381" s="265"/>
      <c r="F381" s="263">
        <v>67</v>
      </c>
      <c r="G381" s="267" t="s">
        <v>5</v>
      </c>
      <c r="H381" s="263" t="s">
        <v>18</v>
      </c>
      <c r="I381" s="264"/>
      <c r="J381" s="264">
        <f>SUM(I378:I380)</f>
        <v>937700</v>
      </c>
      <c r="K381" s="265"/>
      <c r="L381" s="265"/>
      <c r="M381" s="266"/>
    </row>
    <row r="382" spans="1:13">
      <c r="A382" s="263"/>
      <c r="B382" s="265"/>
      <c r="C382" s="265"/>
      <c r="D382" s="265"/>
      <c r="E382" s="265"/>
      <c r="F382" s="263">
        <v>67</v>
      </c>
      <c r="G382" s="267"/>
      <c r="H382" s="284" t="s">
        <v>145</v>
      </c>
      <c r="I382" s="264"/>
      <c r="J382" s="264"/>
      <c r="K382" s="265"/>
      <c r="L382" s="265"/>
      <c r="M382" s="266"/>
    </row>
    <row r="383" spans="1:13">
      <c r="A383" s="263"/>
      <c r="B383" s="265"/>
      <c r="C383" s="265"/>
      <c r="D383" s="265"/>
      <c r="E383" s="265"/>
      <c r="F383" s="263"/>
      <c r="G383" s="267"/>
      <c r="H383" s="263"/>
      <c r="I383" s="264"/>
      <c r="J383" s="264"/>
      <c r="K383" s="265"/>
      <c r="L383" s="265"/>
      <c r="M383" s="266"/>
    </row>
    <row r="384" spans="1:13">
      <c r="A384" s="263"/>
      <c r="B384" s="265"/>
      <c r="C384" s="265"/>
      <c r="D384" s="265"/>
      <c r="E384" s="265"/>
      <c r="F384" s="263">
        <v>68</v>
      </c>
      <c r="G384" s="267" t="s">
        <v>4</v>
      </c>
      <c r="H384" s="263" t="s">
        <v>138</v>
      </c>
      <c r="I384" s="264">
        <f>(I364/3)*2</f>
        <v>82500</v>
      </c>
      <c r="J384" s="264"/>
      <c r="K384" s="265"/>
      <c r="L384" s="265"/>
      <c r="M384" s="266"/>
    </row>
    <row r="385" spans="1:13">
      <c r="A385" s="263"/>
      <c r="B385" s="265"/>
      <c r="C385" s="265"/>
      <c r="D385" s="265"/>
      <c r="E385" s="265"/>
      <c r="F385" s="263">
        <v>68</v>
      </c>
      <c r="G385" s="267" t="s">
        <v>5</v>
      </c>
      <c r="H385" s="263" t="s">
        <v>18</v>
      </c>
      <c r="I385" s="264"/>
      <c r="J385" s="264">
        <f>I384</f>
        <v>82500</v>
      </c>
      <c r="K385" s="265"/>
      <c r="L385" s="265"/>
      <c r="M385" s="266"/>
    </row>
    <row r="386" spans="1:13">
      <c r="A386" s="263"/>
      <c r="B386" s="265"/>
      <c r="C386" s="265"/>
      <c r="D386" s="265"/>
      <c r="E386" s="265"/>
      <c r="F386" s="263"/>
      <c r="G386" s="267"/>
      <c r="H386" s="284" t="s">
        <v>198</v>
      </c>
      <c r="I386" s="264"/>
      <c r="J386" s="264"/>
      <c r="K386" s="265"/>
      <c r="L386" s="265"/>
      <c r="M386" s="266"/>
    </row>
    <row r="387" spans="1:13">
      <c r="A387" s="263"/>
      <c r="B387" s="265"/>
      <c r="C387" s="265"/>
      <c r="D387" s="265"/>
      <c r="E387" s="265"/>
      <c r="F387" s="263"/>
      <c r="G387" s="267"/>
      <c r="H387" s="285"/>
      <c r="I387" s="264"/>
      <c r="J387" s="264"/>
      <c r="K387" s="265"/>
      <c r="L387" s="265"/>
      <c r="M387" s="266"/>
    </row>
    <row r="388" spans="1:13">
      <c r="A388" s="263"/>
      <c r="B388" s="265"/>
      <c r="C388" s="265"/>
      <c r="D388" s="265"/>
      <c r="E388" s="265"/>
      <c r="F388" s="263">
        <v>69</v>
      </c>
      <c r="G388" s="267"/>
      <c r="H388" s="285" t="str">
        <f>H304</f>
        <v>231101-Emprestimo Bancario</v>
      </c>
      <c r="I388" s="264">
        <f>SUM('Amortização Emprestimo taxa 8,7'!I17:I19)</f>
        <v>432874.23314346786</v>
      </c>
      <c r="J388" s="264"/>
      <c r="K388" s="265"/>
      <c r="L388" s="265"/>
      <c r="M388" s="266"/>
    </row>
    <row r="389" spans="1:13">
      <c r="A389" s="263"/>
      <c r="B389" s="265"/>
      <c r="C389" s="265"/>
      <c r="D389" s="265"/>
      <c r="E389" s="265"/>
      <c r="F389" s="263">
        <v>69</v>
      </c>
      <c r="G389" s="267"/>
      <c r="H389" s="285" t="str">
        <f>H305</f>
        <v xml:space="preserve">691101-Juros Suportado F. Obitidos </v>
      </c>
      <c r="I389" s="264">
        <f>SUM('Amortização Emprestimo taxa 8,7'!E17:E19)</f>
        <v>131222.73502642024</v>
      </c>
      <c r="J389" s="264"/>
      <c r="K389" s="265"/>
      <c r="L389" s="265"/>
      <c r="M389" s="266"/>
    </row>
    <row r="390" spans="1:13">
      <c r="A390" s="263"/>
      <c r="B390" s="265"/>
      <c r="C390" s="265"/>
      <c r="D390" s="265"/>
      <c r="E390" s="265"/>
      <c r="F390" s="263">
        <v>69</v>
      </c>
      <c r="G390" s="267"/>
      <c r="H390" s="285" t="str">
        <f>H306</f>
        <v>6640004 - Despesas com Seviços Bancarios</v>
      </c>
      <c r="I390" s="264">
        <f>SUM('Amortização Emprestimo taxa 8,7'!K18:K19)</f>
        <v>4337.8171472956983</v>
      </c>
      <c r="J390" s="264"/>
      <c r="K390" s="265"/>
      <c r="L390" s="265"/>
      <c r="M390" s="266"/>
    </row>
    <row r="391" spans="1:13">
      <c r="A391" s="263"/>
      <c r="B391" s="265"/>
      <c r="C391" s="265"/>
      <c r="D391" s="265"/>
      <c r="E391" s="265"/>
      <c r="F391" s="263">
        <v>69</v>
      </c>
      <c r="G391" s="267"/>
      <c r="H391" s="285" t="str">
        <f>H307</f>
        <v>12001-Deposito a Ordem</v>
      </c>
      <c r="I391" s="264"/>
      <c r="J391" s="264">
        <f>SUM(I388:I390)</f>
        <v>568434.78531718382</v>
      </c>
      <c r="K391" s="265"/>
      <c r="L391" s="265"/>
      <c r="M391" s="266"/>
    </row>
    <row r="392" spans="1:13" ht="37.5">
      <c r="A392" s="263"/>
      <c r="B392" s="265"/>
      <c r="C392" s="265"/>
      <c r="D392" s="265"/>
      <c r="E392" s="265"/>
      <c r="F392" s="263"/>
      <c r="G392" s="267"/>
      <c r="H392" s="292" t="str">
        <f>H308</f>
        <v>H Pelo pagamento do emprestimo efectuado c/ uma taxa de juros de 8,7%</v>
      </c>
      <c r="I392" s="264"/>
      <c r="J392" s="264"/>
      <c r="K392" s="265"/>
      <c r="L392" s="265"/>
      <c r="M392" s="266"/>
    </row>
    <row r="393" spans="1:13">
      <c r="A393" s="263"/>
      <c r="B393" s="265"/>
      <c r="C393" s="265"/>
      <c r="D393" s="265"/>
      <c r="E393" s="265"/>
      <c r="F393" s="263"/>
      <c r="G393" s="267"/>
      <c r="H393" s="285"/>
      <c r="I393" s="264"/>
      <c r="J393" s="264"/>
      <c r="K393" s="265"/>
      <c r="L393" s="265"/>
      <c r="M393" s="266"/>
    </row>
    <row r="394" spans="1:13">
      <c r="A394" s="263"/>
      <c r="B394" s="265"/>
      <c r="C394" s="265"/>
      <c r="D394" s="265"/>
      <c r="E394" s="265"/>
      <c r="F394" s="263">
        <v>70</v>
      </c>
      <c r="G394" s="267"/>
      <c r="H394" s="285" t="str">
        <f>Razão!B118</f>
        <v>2445001-IVA Apuramneto</v>
      </c>
      <c r="I394" s="264">
        <f>Razão!B119</f>
        <v>3891864.5217391308</v>
      </c>
      <c r="J394" s="264"/>
      <c r="K394" s="265"/>
      <c r="L394" s="265"/>
      <c r="M394" s="266"/>
    </row>
    <row r="395" spans="1:13">
      <c r="A395" s="263"/>
      <c r="B395" s="265"/>
      <c r="C395" s="265"/>
      <c r="D395" s="265"/>
      <c r="E395" s="265"/>
      <c r="F395" s="263">
        <v>70</v>
      </c>
      <c r="G395" s="267"/>
      <c r="H395" s="285" t="str">
        <f>H58</f>
        <v>2442301- Iva Dedutivel</v>
      </c>
      <c r="I395" s="264"/>
      <c r="J395" s="264">
        <f>I394</f>
        <v>3891864.5217391308</v>
      </c>
      <c r="K395" s="265"/>
      <c r="L395" s="265"/>
      <c r="M395" s="266"/>
    </row>
    <row r="396" spans="1:13">
      <c r="A396" s="263"/>
      <c r="B396" s="265"/>
      <c r="C396" s="265"/>
      <c r="D396" s="265"/>
      <c r="E396" s="265"/>
      <c r="F396" s="263"/>
      <c r="G396" s="267"/>
      <c r="H396" s="285" t="s">
        <v>255</v>
      </c>
      <c r="I396" s="264"/>
      <c r="J396" s="264"/>
      <c r="K396" s="265"/>
      <c r="L396" s="265"/>
      <c r="M396" s="266"/>
    </row>
    <row r="397" spans="1:13">
      <c r="A397" s="263"/>
      <c r="B397" s="265"/>
      <c r="C397" s="265"/>
      <c r="D397" s="265"/>
      <c r="E397" s="265"/>
      <c r="F397" s="263"/>
      <c r="G397" s="267"/>
      <c r="H397" s="285"/>
      <c r="I397" s="264"/>
      <c r="J397" s="264"/>
      <c r="K397" s="265"/>
      <c r="L397" s="265"/>
      <c r="M397" s="266"/>
    </row>
    <row r="398" spans="1:13">
      <c r="A398" s="263"/>
      <c r="B398" s="265"/>
      <c r="C398" s="265"/>
      <c r="D398" s="265"/>
      <c r="E398" s="265"/>
      <c r="F398" s="263">
        <v>71</v>
      </c>
      <c r="G398" s="267"/>
      <c r="H398" s="285" t="str">
        <f>Razão!R1</f>
        <v>2443001-Iva Liquidado</v>
      </c>
      <c r="I398" s="264">
        <f>Razão!R41</f>
        <v>8201721.2869565217</v>
      </c>
      <c r="J398" s="264"/>
      <c r="K398" s="265"/>
      <c r="L398" s="265"/>
      <c r="M398" s="266"/>
    </row>
    <row r="399" spans="1:13">
      <c r="A399" s="263"/>
      <c r="B399" s="265"/>
      <c r="C399" s="265"/>
      <c r="D399" s="265"/>
      <c r="E399" s="265"/>
      <c r="F399" s="263">
        <v>71</v>
      </c>
      <c r="G399" s="267"/>
      <c r="H399" s="285" t="str">
        <f>H394</f>
        <v>2445001-IVA Apuramneto</v>
      </c>
      <c r="I399" s="264"/>
      <c r="J399" s="264">
        <f>I398</f>
        <v>8201721.2869565217</v>
      </c>
      <c r="K399" s="265"/>
      <c r="L399" s="265"/>
      <c r="M399" s="266"/>
    </row>
    <row r="400" spans="1:13">
      <c r="A400" s="263"/>
      <c r="B400" s="265"/>
      <c r="C400" s="265"/>
      <c r="D400" s="265"/>
      <c r="E400" s="265"/>
      <c r="F400" s="263"/>
      <c r="G400" s="267"/>
      <c r="H400" s="285" t="s">
        <v>256</v>
      </c>
      <c r="I400" s="264"/>
      <c r="J400" s="264"/>
      <c r="K400" s="265"/>
      <c r="L400" s="265"/>
      <c r="M400" s="266"/>
    </row>
    <row r="401" spans="1:13">
      <c r="A401" s="263"/>
      <c r="B401" s="265"/>
      <c r="C401" s="265"/>
      <c r="D401" s="265"/>
      <c r="E401" s="265"/>
      <c r="F401" s="263"/>
      <c r="G401" s="267"/>
      <c r="H401" s="285"/>
      <c r="I401" s="264"/>
      <c r="J401" s="264"/>
      <c r="K401" s="265"/>
      <c r="L401" s="265"/>
      <c r="M401" s="266"/>
    </row>
    <row r="402" spans="1:13">
      <c r="A402" s="263"/>
      <c r="B402" s="265"/>
      <c r="C402" s="265"/>
      <c r="D402" s="265"/>
      <c r="E402" s="265"/>
      <c r="F402" s="263">
        <v>72</v>
      </c>
      <c r="G402" s="267"/>
      <c r="H402" s="285" t="str">
        <f>Razão!B118</f>
        <v>2445001-IVA Apuramneto</v>
      </c>
      <c r="I402" s="264">
        <f>Razão!B149</f>
        <v>4309856.7652173908</v>
      </c>
      <c r="J402" s="264"/>
      <c r="K402" s="265"/>
      <c r="L402" s="265"/>
      <c r="M402" s="266"/>
    </row>
    <row r="403" spans="1:13">
      <c r="A403" s="263"/>
      <c r="B403" s="265"/>
      <c r="C403" s="265"/>
      <c r="D403" s="265"/>
      <c r="E403" s="265"/>
      <c r="F403" s="263">
        <v>72</v>
      </c>
      <c r="G403" s="267"/>
      <c r="H403" s="285" t="str">
        <f>Razão!F118</f>
        <v>2447001- Iva a Receber</v>
      </c>
      <c r="I403" s="264"/>
      <c r="J403" s="264">
        <f>I402</f>
        <v>4309856.7652173908</v>
      </c>
      <c r="K403" s="265"/>
      <c r="L403" s="265"/>
      <c r="M403" s="266"/>
    </row>
    <row r="404" spans="1:13">
      <c r="A404" s="263"/>
      <c r="B404" s="265"/>
      <c r="C404" s="265"/>
      <c r="D404" s="265"/>
      <c r="E404" s="265"/>
      <c r="F404" s="263"/>
      <c r="G404" s="267"/>
      <c r="H404" s="285" t="s">
        <v>259</v>
      </c>
      <c r="I404" s="264"/>
      <c r="J404" s="264"/>
      <c r="K404" s="265"/>
      <c r="L404" s="265"/>
      <c r="M404" s="266"/>
    </row>
    <row r="405" spans="1:13">
      <c r="A405" s="263"/>
      <c r="B405" s="265"/>
      <c r="C405" s="265"/>
      <c r="D405" s="265"/>
      <c r="E405" s="265"/>
      <c r="F405" s="263"/>
      <c r="G405" s="267"/>
      <c r="H405" s="285"/>
      <c r="I405" s="264"/>
      <c r="J405" s="264"/>
      <c r="K405" s="265"/>
      <c r="L405" s="265"/>
      <c r="M405" s="266"/>
    </row>
    <row r="406" spans="1:13">
      <c r="A406" s="263"/>
      <c r="B406" s="265"/>
      <c r="C406" s="265"/>
      <c r="D406" s="265"/>
      <c r="E406" s="265"/>
      <c r="F406" s="263">
        <v>73</v>
      </c>
      <c r="G406" s="267"/>
      <c r="H406" s="285" t="str">
        <f>Razão!J118</f>
        <v>5931001-RAI</v>
      </c>
      <c r="I406" s="264">
        <f>Razão!K41</f>
        <v>50291174.713043481</v>
      </c>
      <c r="J406" s="264"/>
      <c r="K406" s="265"/>
      <c r="L406" s="265"/>
      <c r="M406" s="266"/>
    </row>
    <row r="407" spans="1:13">
      <c r="A407" s="263"/>
      <c r="B407" s="265"/>
      <c r="C407" s="265"/>
      <c r="D407" s="265"/>
      <c r="E407" s="265"/>
      <c r="F407" s="263">
        <v>73</v>
      </c>
      <c r="G407" s="267"/>
      <c r="H407" s="285" t="str">
        <f>Razão!J1</f>
        <v>712001-Vendas de Produtos</v>
      </c>
      <c r="I407" s="264"/>
      <c r="J407" s="264">
        <f>I406</f>
        <v>50291174.713043481</v>
      </c>
      <c r="K407" s="265"/>
      <c r="L407" s="265"/>
      <c r="M407" s="266"/>
    </row>
    <row r="408" spans="1:13">
      <c r="A408" s="263"/>
      <c r="B408" s="265"/>
      <c r="C408" s="265"/>
      <c r="D408" s="265"/>
      <c r="E408" s="265"/>
      <c r="F408" s="263"/>
      <c r="G408" s="267"/>
      <c r="H408" s="285" t="s">
        <v>260</v>
      </c>
      <c r="I408" s="264"/>
      <c r="J408" s="264"/>
      <c r="K408" s="265"/>
      <c r="L408" s="265"/>
      <c r="M408" s="266"/>
    </row>
    <row r="409" spans="1:13">
      <c r="A409" s="263"/>
      <c r="B409" s="265"/>
      <c r="C409" s="265"/>
      <c r="D409" s="265"/>
      <c r="E409" s="265"/>
      <c r="F409" s="263"/>
      <c r="G409" s="267"/>
      <c r="H409" s="285"/>
      <c r="I409" s="264"/>
      <c r="J409" s="264"/>
      <c r="K409" s="265"/>
      <c r="L409" s="265"/>
      <c r="M409" s="266"/>
    </row>
    <row r="410" spans="1:13">
      <c r="A410" s="263"/>
      <c r="B410" s="265"/>
      <c r="C410" s="265"/>
      <c r="D410" s="265"/>
      <c r="E410" s="265"/>
      <c r="F410" s="263">
        <v>74</v>
      </c>
      <c r="G410" s="267"/>
      <c r="H410" s="285" t="str">
        <f>Razão!N118</f>
        <v>3621001- Inventario</v>
      </c>
      <c r="I410" s="264">
        <f>Razão!N128</f>
        <v>3166284</v>
      </c>
      <c r="J410" s="264"/>
      <c r="K410" s="265"/>
      <c r="L410" s="265"/>
      <c r="M410" s="266"/>
    </row>
    <row r="411" spans="1:13">
      <c r="A411" s="263"/>
      <c r="B411" s="265"/>
      <c r="C411" s="265"/>
      <c r="D411" s="265"/>
      <c r="E411" s="265"/>
      <c r="F411" s="263">
        <v>74</v>
      </c>
      <c r="G411" s="267"/>
      <c r="H411" s="285" t="str">
        <f>Razão!N106</f>
        <v>3611001-Compra de Materias pri. e Subsidiária</v>
      </c>
      <c r="I411" s="264"/>
      <c r="J411" s="264">
        <f>I410</f>
        <v>3166284</v>
      </c>
      <c r="K411" s="265"/>
      <c r="L411" s="265"/>
      <c r="M411" s="266"/>
    </row>
    <row r="412" spans="1:13">
      <c r="A412" s="263"/>
      <c r="B412" s="265"/>
      <c r="C412" s="265"/>
      <c r="D412" s="265"/>
      <c r="E412" s="265"/>
      <c r="F412" s="263"/>
      <c r="G412" s="267"/>
      <c r="H412" s="285" t="s">
        <v>261</v>
      </c>
      <c r="I412" s="264"/>
      <c r="J412" s="264"/>
      <c r="K412" s="265"/>
      <c r="L412" s="265"/>
      <c r="M412" s="266"/>
    </row>
    <row r="413" spans="1:13">
      <c r="A413" s="263"/>
      <c r="B413" s="265"/>
      <c r="C413" s="265"/>
      <c r="D413" s="265"/>
      <c r="E413" s="265"/>
      <c r="F413" s="263"/>
      <c r="G413" s="267"/>
      <c r="H413" s="285"/>
      <c r="I413" s="264"/>
      <c r="J413" s="264"/>
      <c r="K413" s="265"/>
      <c r="L413" s="265"/>
      <c r="M413" s="266"/>
    </row>
    <row r="414" spans="1:13">
      <c r="A414" s="263"/>
      <c r="B414" s="265"/>
      <c r="C414" s="265"/>
      <c r="D414" s="265"/>
      <c r="E414" s="265"/>
      <c r="F414" s="263">
        <v>75</v>
      </c>
      <c r="G414" s="267"/>
      <c r="H414" s="256" t="str">
        <f>H406</f>
        <v>5931001-RAI</v>
      </c>
      <c r="I414" s="264">
        <f>Razão!J119</f>
        <v>22753392.521739133</v>
      </c>
      <c r="J414" s="264"/>
      <c r="K414" s="265"/>
      <c r="L414" s="265"/>
      <c r="M414" s="266"/>
    </row>
    <row r="415" spans="1:13">
      <c r="A415" s="263"/>
      <c r="B415" s="265"/>
      <c r="C415" s="265"/>
      <c r="D415" s="265"/>
      <c r="E415" s="265"/>
      <c r="F415" s="263">
        <v>75</v>
      </c>
      <c r="G415" s="267"/>
      <c r="H415" s="265" t="str">
        <f>Razão!N106</f>
        <v>3611001-Compra de Materias pri. e Subsidiária</v>
      </c>
      <c r="I415" s="264"/>
      <c r="J415" s="264">
        <f>I414</f>
        <v>22753392.521739133</v>
      </c>
      <c r="K415" s="265"/>
      <c r="L415" s="265"/>
      <c r="M415" s="266"/>
    </row>
    <row r="416" spans="1:13">
      <c r="A416" s="263"/>
      <c r="B416" s="265"/>
      <c r="C416" s="265"/>
      <c r="D416" s="265"/>
      <c r="E416" s="265"/>
      <c r="F416" s="263"/>
      <c r="G416" s="267"/>
      <c r="H416" s="285" t="s">
        <v>262</v>
      </c>
      <c r="I416" s="264"/>
      <c r="J416" s="264"/>
      <c r="K416" s="265"/>
      <c r="L416" s="265"/>
      <c r="M416" s="266"/>
    </row>
    <row r="417" spans="1:13">
      <c r="A417" s="263"/>
      <c r="B417" s="265"/>
      <c r="C417" s="265"/>
      <c r="D417" s="265"/>
      <c r="E417" s="265"/>
      <c r="F417" s="263"/>
      <c r="G417" s="267"/>
      <c r="H417" s="285"/>
      <c r="I417" s="264"/>
      <c r="J417" s="264"/>
      <c r="K417" s="265"/>
      <c r="L417" s="265"/>
      <c r="M417" s="266"/>
    </row>
    <row r="418" spans="1:13">
      <c r="A418" s="263"/>
      <c r="B418" s="265"/>
      <c r="C418" s="265"/>
      <c r="D418" s="265"/>
      <c r="E418" s="265"/>
      <c r="F418" s="263"/>
      <c r="G418" s="267"/>
      <c r="H418" s="285"/>
      <c r="I418" s="264"/>
      <c r="J418" s="264"/>
      <c r="K418" s="265"/>
      <c r="L418" s="265"/>
      <c r="M418" s="266"/>
    </row>
    <row r="419" spans="1:13">
      <c r="A419" s="263"/>
      <c r="B419" s="265"/>
      <c r="C419" s="265"/>
      <c r="D419" s="265"/>
      <c r="E419" s="265"/>
      <c r="F419" s="263"/>
      <c r="G419" s="267"/>
      <c r="H419" s="285"/>
      <c r="I419" s="264"/>
      <c r="J419" s="264"/>
      <c r="K419" s="265"/>
      <c r="L419" s="265"/>
      <c r="M419" s="266"/>
    </row>
    <row r="420" spans="1:13">
      <c r="A420" s="263"/>
      <c r="B420" s="265"/>
      <c r="C420" s="265"/>
      <c r="D420" s="265"/>
      <c r="E420" s="265"/>
      <c r="F420" s="263"/>
      <c r="G420" s="267"/>
      <c r="H420" s="285"/>
      <c r="I420" s="264"/>
      <c r="J420" s="264"/>
      <c r="K420" s="265"/>
      <c r="L420" s="265"/>
      <c r="M420" s="266"/>
    </row>
    <row r="421" spans="1:13">
      <c r="A421" s="263"/>
      <c r="B421" s="265"/>
      <c r="C421" s="265"/>
      <c r="D421" s="265"/>
      <c r="E421" s="265"/>
      <c r="F421" s="263"/>
      <c r="G421" s="267"/>
      <c r="H421" s="285"/>
      <c r="I421" s="264"/>
      <c r="J421" s="264"/>
      <c r="K421" s="265"/>
      <c r="L421" s="265"/>
      <c r="M421" s="266"/>
    </row>
    <row r="422" spans="1:13">
      <c r="A422" s="263"/>
      <c r="B422" s="265"/>
      <c r="C422" s="265"/>
      <c r="D422" s="265"/>
      <c r="E422" s="265"/>
      <c r="F422" s="263"/>
      <c r="G422" s="267"/>
      <c r="H422" s="285"/>
      <c r="I422" s="264"/>
      <c r="J422" s="264"/>
      <c r="K422" s="265"/>
      <c r="L422" s="265"/>
      <c r="M422" s="266"/>
    </row>
    <row r="423" spans="1:13">
      <c r="A423" s="263"/>
      <c r="B423" s="265"/>
      <c r="C423" s="265"/>
      <c r="D423" s="265"/>
      <c r="E423" s="265"/>
      <c r="F423" s="263"/>
      <c r="G423" s="267"/>
      <c r="H423" s="285"/>
      <c r="I423" s="264"/>
      <c r="J423" s="264"/>
      <c r="K423" s="265"/>
      <c r="L423" s="265"/>
      <c r="M423" s="266"/>
    </row>
    <row r="424" spans="1:13">
      <c r="A424" s="263"/>
      <c r="B424" s="265"/>
      <c r="C424" s="265"/>
      <c r="D424" s="265"/>
      <c r="E424" s="265"/>
      <c r="F424" s="263"/>
      <c r="G424" s="267"/>
      <c r="H424" s="285"/>
      <c r="I424" s="264"/>
      <c r="J424" s="264"/>
      <c r="K424" s="265"/>
      <c r="L424" s="265"/>
      <c r="M424" s="266"/>
    </row>
    <row r="425" spans="1:13">
      <c r="A425" s="263"/>
      <c r="B425" s="265"/>
      <c r="C425" s="265"/>
      <c r="D425" s="265"/>
      <c r="E425" s="265"/>
      <c r="F425" s="263"/>
      <c r="G425" s="267"/>
      <c r="H425" s="285"/>
      <c r="I425" s="264"/>
      <c r="J425" s="264"/>
      <c r="K425" s="265"/>
      <c r="L425" s="265"/>
      <c r="M425" s="266"/>
    </row>
    <row r="426" spans="1:13">
      <c r="A426" s="263"/>
      <c r="B426" s="265"/>
      <c r="C426" s="265"/>
      <c r="D426" s="265"/>
      <c r="E426" s="265"/>
      <c r="F426" s="263"/>
      <c r="G426" s="267"/>
      <c r="H426" s="285"/>
      <c r="I426" s="264"/>
      <c r="J426" s="264"/>
      <c r="K426" s="265"/>
      <c r="L426" s="265"/>
      <c r="M426" s="266"/>
    </row>
    <row r="427" spans="1:13" ht="19.5" thickBot="1">
      <c r="A427" s="263"/>
      <c r="B427" s="265"/>
      <c r="C427" s="265"/>
      <c r="D427" s="265"/>
      <c r="E427" s="265"/>
      <c r="F427" s="263"/>
      <c r="G427" s="267"/>
      <c r="H427" s="285"/>
      <c r="I427" s="264"/>
      <c r="J427" s="264"/>
      <c r="K427" s="265"/>
      <c r="L427" s="265"/>
      <c r="M427" s="266"/>
    </row>
    <row r="428" spans="1:13" ht="19.5" thickBot="1">
      <c r="A428" s="286"/>
      <c r="B428" s="287"/>
      <c r="C428" s="287"/>
      <c r="D428" s="287"/>
      <c r="E428" s="287"/>
      <c r="F428" s="286"/>
      <c r="G428" s="289"/>
      <c r="H428" s="290" t="s">
        <v>192</v>
      </c>
      <c r="I428" s="291">
        <f>SUM(I2:I404)</f>
        <v>210107392.71775049</v>
      </c>
      <c r="J428" s="291">
        <f>SUM(J2:J404)</f>
        <v>210107392.71775052</v>
      </c>
      <c r="K428" s="287"/>
      <c r="L428" s="287"/>
      <c r="M428" s="288"/>
    </row>
    <row r="429" spans="1:13" ht="19.5" thickTop="1"/>
  </sheetData>
  <pageMargins left="0.7" right="0.7" top="0.86588541666666663" bottom="0.75" header="0.3" footer="0.3"/>
  <pageSetup paperSize="9" scale="35" fitToHeight="4" orientation="portrait" r:id="rId1"/>
  <headerFooter>
    <oddHeader xml:space="preserve">&amp;L&amp;"Times New Roman,Normal"&amp;14
Entidade: Restaurante Bar Calhau, SA&amp;"-,Normal"&amp;11
&amp;C&amp;"Times New Roman,Normal"&amp;14
Diário de Janeiro 2012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AB155"/>
  <sheetViews>
    <sheetView view="pageBreakPreview" topLeftCell="G84" zoomScale="50" zoomScaleNormal="100" zoomScaleSheetLayoutView="50" workbookViewId="0">
      <selection activeCell="N90" sqref="N90"/>
    </sheetView>
  </sheetViews>
  <sheetFormatPr defaultColWidth="15.7109375" defaultRowHeight="39.950000000000003" customHeight="1"/>
  <cols>
    <col min="1" max="1" width="6.85546875" style="141" bestFit="1" customWidth="1"/>
    <col min="2" max="3" width="25" style="144" bestFit="1" customWidth="1"/>
    <col min="4" max="4" width="5.5703125" style="141" bestFit="1" customWidth="1"/>
    <col min="5" max="5" width="6.28515625" style="141" bestFit="1" customWidth="1"/>
    <col min="6" max="6" width="25" style="144" bestFit="1" customWidth="1"/>
    <col min="7" max="7" width="41.28515625" style="144" customWidth="1"/>
    <col min="8" max="8" width="6.85546875" style="141" bestFit="1" customWidth="1"/>
    <col min="9" max="9" width="6.28515625" style="141" bestFit="1" customWidth="1"/>
    <col min="10" max="11" width="25" style="144" bestFit="1" customWidth="1"/>
    <col min="12" max="12" width="5.5703125" style="141" bestFit="1" customWidth="1"/>
    <col min="13" max="13" width="6.85546875" style="141" bestFit="1" customWidth="1"/>
    <col min="14" max="14" width="23" style="144" bestFit="1" customWidth="1"/>
    <col min="15" max="15" width="24.28515625" style="144" bestFit="1" customWidth="1"/>
    <col min="16" max="17" width="5.5703125" style="141" bestFit="1" customWidth="1"/>
    <col min="18" max="18" width="23" style="144" bestFit="1" customWidth="1"/>
    <col min="19" max="19" width="35.85546875" style="144" customWidth="1"/>
    <col min="20" max="21" width="5.5703125" style="141" bestFit="1" customWidth="1"/>
    <col min="22" max="22" width="23" style="144" bestFit="1" customWidth="1"/>
    <col min="23" max="23" width="37" style="144" customWidth="1"/>
    <col min="24" max="24" width="5.5703125" style="141" bestFit="1" customWidth="1"/>
    <col min="25" max="25" width="6.28515625" style="141" bestFit="1" customWidth="1"/>
    <col min="26" max="26" width="19.85546875" style="144" bestFit="1" customWidth="1"/>
    <col min="27" max="27" width="59.85546875" style="144" customWidth="1"/>
    <col min="28" max="28" width="5.5703125" style="141" bestFit="1" customWidth="1"/>
    <col min="29" max="16384" width="15.7109375" style="144"/>
  </cols>
  <sheetData>
    <row r="1" spans="1:28" ht="39.950000000000003" customHeight="1" thickBot="1">
      <c r="B1" s="634" t="s">
        <v>14</v>
      </c>
      <c r="C1" s="634"/>
      <c r="D1" s="142"/>
      <c r="F1" s="632" t="s">
        <v>519</v>
      </c>
      <c r="G1" s="632"/>
      <c r="J1" s="632" t="str">
        <f>Diario!H87</f>
        <v>712001-Vendas de Produtos</v>
      </c>
      <c r="K1" s="632"/>
      <c r="L1" s="143"/>
      <c r="N1" s="632" t="s">
        <v>15</v>
      </c>
      <c r="O1" s="632"/>
      <c r="R1" s="632" t="str">
        <f>Diario!H86</f>
        <v>2443001-Iva Liquidado</v>
      </c>
      <c r="S1" s="632"/>
      <c r="V1" s="635" t="str">
        <f>Diario!H109</f>
        <v>632001-Remunerações do Pesoal</v>
      </c>
      <c r="W1" s="632"/>
      <c r="Z1" s="632" t="str">
        <f>Diario!H110</f>
        <v>271201- Remunerações a Pagar Ao Pesoal</v>
      </c>
      <c r="AA1" s="632"/>
      <c r="AB1" s="143"/>
    </row>
    <row r="2" spans="1:28" ht="39.950000000000003" customHeight="1" thickTop="1">
      <c r="A2" s="141">
        <v>9</v>
      </c>
      <c r="B2" s="145">
        <f>G5</f>
        <v>50000</v>
      </c>
      <c r="C2" s="146">
        <f>Diario!J45</f>
        <v>5000</v>
      </c>
      <c r="D2" s="147">
        <v>11</v>
      </c>
      <c r="E2" s="141">
        <v>2</v>
      </c>
      <c r="F2" s="145">
        <f>O45</f>
        <v>3000000</v>
      </c>
      <c r="G2" s="146">
        <f>F45</f>
        <v>7510.5278769645829</v>
      </c>
      <c r="H2" s="141">
        <v>5</v>
      </c>
      <c r="J2" s="148"/>
      <c r="K2" s="146">
        <f>Diario!J87</f>
        <v>12715846.95652174</v>
      </c>
      <c r="L2" s="147">
        <v>19</v>
      </c>
      <c r="N2" s="148"/>
      <c r="O2" s="146">
        <f>Diario!J4</f>
        <v>3000000</v>
      </c>
      <c r="P2" s="141">
        <v>1</v>
      </c>
      <c r="R2" s="148"/>
      <c r="S2" s="146">
        <f>Diario!J86</f>
        <v>1907377.043478261</v>
      </c>
      <c r="T2" s="141">
        <v>19</v>
      </c>
      <c r="U2" s="141">
        <v>23</v>
      </c>
      <c r="V2" s="145">
        <f>Diario!I109</f>
        <v>2178600</v>
      </c>
      <c r="W2" s="146"/>
      <c r="Y2" s="141">
        <v>27</v>
      </c>
      <c r="Z2" s="149">
        <f>AA2</f>
        <v>1995000</v>
      </c>
      <c r="AA2" s="145">
        <f>Diario!J110</f>
        <v>1995000</v>
      </c>
      <c r="AB2" s="150">
        <v>23</v>
      </c>
    </row>
    <row r="3" spans="1:28" ht="39.950000000000003" customHeight="1">
      <c r="A3" s="141">
        <v>19</v>
      </c>
      <c r="B3" s="151">
        <f>Diario!I85</f>
        <v>14623224</v>
      </c>
      <c r="C3" s="152">
        <f>Diario!J59</f>
        <v>20000</v>
      </c>
      <c r="D3" s="147">
        <v>14</v>
      </c>
      <c r="E3" s="141">
        <v>4</v>
      </c>
      <c r="F3" s="151">
        <f>K45</f>
        <v>7000000</v>
      </c>
      <c r="G3" s="152">
        <f>Diario!J32</f>
        <v>193650</v>
      </c>
      <c r="H3" s="141">
        <v>8</v>
      </c>
      <c r="J3" s="153"/>
      <c r="K3" s="152">
        <f>Diario!J170</f>
        <v>12429740.4</v>
      </c>
      <c r="L3" s="147">
        <v>31</v>
      </c>
      <c r="N3" s="153"/>
      <c r="O3" s="154"/>
      <c r="R3" s="153"/>
      <c r="S3" s="152">
        <f>Diario!J169</f>
        <v>2193483.6</v>
      </c>
      <c r="T3" s="141">
        <v>31</v>
      </c>
      <c r="U3" s="141">
        <v>35</v>
      </c>
      <c r="V3" s="151">
        <f>Diario!I192</f>
        <v>2178600</v>
      </c>
      <c r="W3" s="154"/>
      <c r="Y3" s="141">
        <v>39</v>
      </c>
      <c r="Z3" s="151">
        <f>Diario!I212</f>
        <v>1995000</v>
      </c>
      <c r="AA3" s="152">
        <f>Diario!J193</f>
        <v>1995000</v>
      </c>
      <c r="AB3" s="147">
        <v>35</v>
      </c>
    </row>
    <row r="4" spans="1:28" ht="39.950000000000003" customHeight="1">
      <c r="A4" s="141">
        <v>31</v>
      </c>
      <c r="B4" s="151">
        <f>Diario!I168</f>
        <v>14623224</v>
      </c>
      <c r="C4" s="152">
        <f>B3</f>
        <v>14623224</v>
      </c>
      <c r="D4" s="147">
        <v>20</v>
      </c>
      <c r="E4" s="141">
        <v>20</v>
      </c>
      <c r="F4" s="151">
        <f>C4</f>
        <v>14623224</v>
      </c>
      <c r="G4" s="152">
        <f>N82</f>
        <v>10600</v>
      </c>
      <c r="H4" s="141">
        <v>3</v>
      </c>
      <c r="J4" s="153"/>
      <c r="K4" s="152">
        <f>Diario!J242</f>
        <v>12429740.4</v>
      </c>
      <c r="L4" s="147">
        <v>43</v>
      </c>
      <c r="N4" s="153"/>
      <c r="O4" s="154"/>
      <c r="R4" s="153"/>
      <c r="S4" s="152">
        <f>Diario!J241</f>
        <v>2193483.6</v>
      </c>
      <c r="T4" s="141">
        <v>43</v>
      </c>
      <c r="U4" s="141">
        <v>47</v>
      </c>
      <c r="V4" s="151">
        <f>V2</f>
        <v>2178600</v>
      </c>
      <c r="W4" s="154"/>
      <c r="Y4" s="141">
        <v>51</v>
      </c>
      <c r="Z4" s="151">
        <f>AA4</f>
        <v>1995000</v>
      </c>
      <c r="AA4" s="152">
        <f>AA2</f>
        <v>1995000</v>
      </c>
      <c r="AB4" s="147">
        <v>47</v>
      </c>
    </row>
    <row r="5" spans="1:28" ht="39.950000000000003" customHeight="1">
      <c r="A5" s="141">
        <v>43</v>
      </c>
      <c r="B5" s="151">
        <f>Diario!I240</f>
        <v>14623224</v>
      </c>
      <c r="C5" s="152">
        <f>B4</f>
        <v>14623224</v>
      </c>
      <c r="D5" s="147">
        <v>32</v>
      </c>
      <c r="E5" s="141">
        <v>32</v>
      </c>
      <c r="F5" s="151">
        <f>C5</f>
        <v>14623224</v>
      </c>
      <c r="G5" s="152">
        <f>Diario!J36</f>
        <v>50000</v>
      </c>
      <c r="H5" s="141">
        <v>9</v>
      </c>
      <c r="J5" s="153"/>
      <c r="K5" s="152">
        <f>Diario!J326</f>
        <v>12715846.95652174</v>
      </c>
      <c r="L5" s="147">
        <v>57</v>
      </c>
      <c r="N5" s="153"/>
      <c r="O5" s="154"/>
      <c r="R5" s="153"/>
      <c r="S5" s="152">
        <f>Diario!J325</f>
        <v>1907377.043478261</v>
      </c>
      <c r="T5" s="141">
        <v>57</v>
      </c>
      <c r="U5" s="141">
        <v>61</v>
      </c>
      <c r="V5" s="151">
        <f>Diario!I348</f>
        <v>2178600</v>
      </c>
      <c r="W5" s="154"/>
      <c r="Y5" s="141">
        <v>65</v>
      </c>
      <c r="Z5" s="151">
        <f>Diario!I368</f>
        <v>1995000</v>
      </c>
      <c r="AA5" s="152">
        <f>Diario!J349</f>
        <v>1995000</v>
      </c>
      <c r="AB5" s="147">
        <v>61</v>
      </c>
    </row>
    <row r="6" spans="1:28" ht="39.950000000000003" customHeight="1">
      <c r="A6" s="141">
        <v>57</v>
      </c>
      <c r="B6" s="151">
        <f>Diario!I323</f>
        <v>10000000</v>
      </c>
      <c r="C6" s="152">
        <f>B5</f>
        <v>14623224</v>
      </c>
      <c r="D6" s="147">
        <v>44</v>
      </c>
      <c r="E6" s="141">
        <v>44</v>
      </c>
      <c r="F6" s="151">
        <f>C6</f>
        <v>14623224</v>
      </c>
      <c r="G6" s="152">
        <v>1500000</v>
      </c>
      <c r="H6" s="141">
        <v>7</v>
      </c>
      <c r="J6" s="153"/>
      <c r="K6" s="154"/>
      <c r="L6" s="147"/>
      <c r="N6" s="153"/>
      <c r="O6" s="154"/>
      <c r="R6" s="153"/>
      <c r="S6" s="154"/>
      <c r="V6" s="153"/>
      <c r="W6" s="154"/>
      <c r="Z6" s="153"/>
      <c r="AA6" s="154"/>
      <c r="AB6" s="147"/>
    </row>
    <row r="7" spans="1:28" ht="39.950000000000003" customHeight="1">
      <c r="B7" s="153"/>
      <c r="C7" s="152">
        <f>B6</f>
        <v>10000000</v>
      </c>
      <c r="D7" s="147">
        <v>58</v>
      </c>
      <c r="E7" s="141">
        <v>58</v>
      </c>
      <c r="F7" s="151">
        <f>C7</f>
        <v>10000000</v>
      </c>
      <c r="G7" s="149">
        <f>Diario!I23</f>
        <v>4545281.7722399998</v>
      </c>
      <c r="H7" s="141">
        <v>6</v>
      </c>
      <c r="J7" s="153"/>
      <c r="K7" s="154"/>
      <c r="L7" s="147"/>
      <c r="N7" s="153"/>
      <c r="O7" s="154"/>
      <c r="R7" s="153"/>
      <c r="S7" s="154"/>
      <c r="V7" s="153"/>
      <c r="W7" s="154"/>
      <c r="Z7" s="153"/>
      <c r="AA7" s="154"/>
      <c r="AB7" s="147"/>
    </row>
    <row r="8" spans="1:28" ht="39.950000000000003" customHeight="1">
      <c r="B8" s="153"/>
      <c r="C8" s="154"/>
      <c r="D8" s="147"/>
      <c r="F8" s="153"/>
      <c r="G8" s="149">
        <f>Diario!J40</f>
        <v>180000</v>
      </c>
      <c r="H8" s="141">
        <v>10</v>
      </c>
      <c r="J8" s="153"/>
      <c r="K8" s="154"/>
      <c r="L8" s="147"/>
      <c r="N8" s="153"/>
      <c r="O8" s="154"/>
      <c r="R8" s="153"/>
      <c r="S8" s="154"/>
      <c r="V8" s="153"/>
      <c r="W8" s="154"/>
      <c r="Z8" s="153"/>
      <c r="AA8" s="154"/>
      <c r="AB8" s="147"/>
    </row>
    <row r="9" spans="1:28" ht="39.950000000000003" customHeight="1">
      <c r="B9" s="153"/>
      <c r="C9" s="154"/>
      <c r="D9" s="147"/>
      <c r="F9" s="153"/>
      <c r="G9" s="152">
        <f>N94</f>
        <v>50000</v>
      </c>
      <c r="H9" s="141">
        <v>12</v>
      </c>
      <c r="J9" s="153"/>
      <c r="K9" s="154"/>
      <c r="L9" s="147"/>
      <c r="N9" s="153"/>
      <c r="O9" s="154"/>
      <c r="R9" s="153"/>
      <c r="S9" s="154"/>
      <c r="V9" s="153"/>
      <c r="W9" s="154"/>
      <c r="Z9" s="153"/>
      <c r="AA9" s="154"/>
      <c r="AB9" s="147"/>
    </row>
    <row r="10" spans="1:28" ht="39.950000000000003" customHeight="1">
      <c r="B10" s="153"/>
      <c r="C10" s="154"/>
      <c r="D10" s="147"/>
      <c r="F10" s="153"/>
      <c r="G10" s="152">
        <f>Diario!J54</f>
        <v>5000</v>
      </c>
      <c r="H10" s="141">
        <v>13</v>
      </c>
      <c r="J10" s="153"/>
      <c r="K10" s="154"/>
      <c r="L10" s="147"/>
      <c r="N10" s="153"/>
      <c r="O10" s="154"/>
      <c r="R10" s="153"/>
      <c r="S10" s="154"/>
      <c r="V10" s="153"/>
      <c r="W10" s="154"/>
      <c r="Z10" s="153"/>
      <c r="AA10" s="154"/>
      <c r="AB10" s="147"/>
    </row>
    <row r="11" spans="1:28" ht="39.950000000000003" customHeight="1">
      <c r="B11" s="153"/>
      <c r="C11" s="154"/>
      <c r="D11" s="147"/>
      <c r="F11" s="153"/>
      <c r="G11" s="149">
        <f>Diario!J63</f>
        <v>8250</v>
      </c>
      <c r="H11" s="141">
        <v>15</v>
      </c>
      <c r="J11" s="153"/>
      <c r="K11" s="154"/>
      <c r="L11" s="147"/>
      <c r="N11" s="153"/>
      <c r="O11" s="154"/>
      <c r="R11" s="153"/>
      <c r="S11" s="154"/>
      <c r="V11" s="153"/>
      <c r="W11" s="154"/>
      <c r="Z11" s="153"/>
      <c r="AA11" s="154"/>
      <c r="AB11" s="147"/>
    </row>
    <row r="12" spans="1:28" ht="39.950000000000003" customHeight="1">
      <c r="B12" s="155"/>
      <c r="C12" s="156"/>
      <c r="D12" s="147"/>
      <c r="F12" s="153"/>
      <c r="G12" s="149">
        <f>Diario!J67</f>
        <v>4600</v>
      </c>
      <c r="H12" s="141">
        <v>16</v>
      </c>
      <c r="J12" s="153"/>
      <c r="K12" s="154"/>
      <c r="L12" s="147"/>
      <c r="N12" s="153"/>
      <c r="O12" s="154"/>
      <c r="R12" s="153"/>
      <c r="S12" s="154"/>
      <c r="V12" s="153"/>
      <c r="W12" s="154"/>
      <c r="Z12" s="153"/>
      <c r="AA12" s="154"/>
      <c r="AB12" s="147"/>
    </row>
    <row r="13" spans="1:28" ht="39.950000000000003" customHeight="1">
      <c r="B13" s="155"/>
      <c r="C13" s="156"/>
      <c r="D13" s="147"/>
      <c r="F13" s="153"/>
      <c r="G13" s="149">
        <f>Diario!J71</f>
        <v>500</v>
      </c>
      <c r="H13" s="141">
        <v>17</v>
      </c>
      <c r="J13" s="153"/>
      <c r="K13" s="154"/>
      <c r="L13" s="147"/>
      <c r="N13" s="153"/>
      <c r="O13" s="154"/>
      <c r="R13" s="153"/>
      <c r="S13" s="154"/>
      <c r="V13" s="153"/>
      <c r="W13" s="154"/>
      <c r="Z13" s="153"/>
      <c r="AA13" s="154"/>
      <c r="AB13" s="147"/>
    </row>
    <row r="14" spans="1:28" ht="39.950000000000003" customHeight="1">
      <c r="B14" s="155"/>
      <c r="C14" s="156"/>
      <c r="D14" s="147"/>
      <c r="F14" s="153"/>
      <c r="G14" s="157">
        <f>Diario!J77</f>
        <v>7983420</v>
      </c>
      <c r="H14" s="141">
        <v>18</v>
      </c>
      <c r="J14" s="153"/>
      <c r="K14" s="154"/>
      <c r="L14" s="147"/>
      <c r="N14" s="153"/>
      <c r="O14" s="154"/>
      <c r="R14" s="153"/>
      <c r="S14" s="154"/>
      <c r="V14" s="153"/>
      <c r="W14" s="154"/>
      <c r="Z14" s="153"/>
      <c r="AA14" s="154"/>
      <c r="AB14" s="147"/>
    </row>
    <row r="15" spans="1:28" ht="39.950000000000003" customHeight="1">
      <c r="B15" s="155"/>
      <c r="C15" s="156"/>
      <c r="D15" s="147"/>
      <c r="F15" s="153"/>
      <c r="G15" s="157">
        <f>Diario!J102</f>
        <v>408925</v>
      </c>
      <c r="H15" s="141">
        <v>21</v>
      </c>
      <c r="J15" s="153"/>
      <c r="K15" s="154"/>
      <c r="L15" s="147"/>
      <c r="N15" s="153"/>
      <c r="O15" s="154"/>
      <c r="R15" s="153"/>
      <c r="S15" s="154"/>
      <c r="V15" s="153"/>
      <c r="W15" s="154"/>
      <c r="Z15" s="153"/>
      <c r="AA15" s="154"/>
      <c r="AB15" s="147"/>
    </row>
    <row r="16" spans="1:28" ht="39.950000000000003" customHeight="1">
      <c r="B16" s="155"/>
      <c r="C16" s="156"/>
      <c r="D16" s="147"/>
      <c r="F16" s="153"/>
      <c r="G16" s="157">
        <f>Diario!J132</f>
        <v>2178600</v>
      </c>
      <c r="H16" s="141">
        <v>27</v>
      </c>
      <c r="J16" s="153"/>
      <c r="K16" s="154"/>
      <c r="L16" s="147"/>
      <c r="N16" s="153"/>
      <c r="O16" s="154"/>
      <c r="R16" s="153"/>
      <c r="S16" s="154"/>
      <c r="V16" s="153"/>
      <c r="W16" s="154"/>
      <c r="Z16" s="153"/>
      <c r="AA16" s="154"/>
      <c r="AB16" s="147"/>
    </row>
    <row r="17" spans="2:28" s="144" customFormat="1" ht="39.950000000000003" customHeight="1">
      <c r="B17" s="155"/>
      <c r="C17" s="156"/>
      <c r="D17" s="147"/>
      <c r="E17" s="141"/>
      <c r="F17" s="153"/>
      <c r="G17" s="149">
        <f>Diario!J136</f>
        <v>299250</v>
      </c>
      <c r="H17" s="141">
        <v>28</v>
      </c>
      <c r="I17" s="141"/>
      <c r="J17" s="153"/>
      <c r="K17" s="154"/>
      <c r="L17" s="147"/>
      <c r="M17" s="141"/>
      <c r="N17" s="153"/>
      <c r="O17" s="154"/>
      <c r="P17" s="141"/>
      <c r="Q17" s="141"/>
      <c r="R17" s="153"/>
      <c r="S17" s="154"/>
      <c r="T17" s="141"/>
      <c r="U17" s="141"/>
      <c r="V17" s="153"/>
      <c r="W17" s="154"/>
      <c r="X17" s="141"/>
      <c r="Y17" s="141"/>
      <c r="Z17" s="153"/>
      <c r="AA17" s="154"/>
      <c r="AB17" s="147"/>
    </row>
    <row r="18" spans="2:28" s="144" customFormat="1" ht="39.950000000000003" customHeight="1">
      <c r="B18" s="155"/>
      <c r="C18" s="156"/>
      <c r="D18" s="147"/>
      <c r="E18" s="141"/>
      <c r="F18" s="153"/>
      <c r="G18" s="157">
        <f>Diario!J142</f>
        <v>961050</v>
      </c>
      <c r="H18" s="141">
        <v>29</v>
      </c>
      <c r="I18" s="141"/>
      <c r="J18" s="153"/>
      <c r="K18" s="154"/>
      <c r="L18" s="147"/>
      <c r="M18" s="141"/>
      <c r="N18" s="153"/>
      <c r="O18" s="154"/>
      <c r="P18" s="141"/>
      <c r="Q18" s="141"/>
      <c r="R18" s="153"/>
      <c r="S18" s="154"/>
      <c r="T18" s="141"/>
      <c r="U18" s="141"/>
      <c r="V18" s="153"/>
      <c r="W18" s="154"/>
      <c r="X18" s="141"/>
      <c r="Y18" s="141"/>
      <c r="Z18" s="153"/>
      <c r="AA18" s="154"/>
      <c r="AB18" s="147"/>
    </row>
    <row r="19" spans="2:28" s="144" customFormat="1" ht="39.950000000000003" customHeight="1">
      <c r="B19" s="155"/>
      <c r="C19" s="156"/>
      <c r="D19" s="147"/>
      <c r="E19" s="141"/>
      <c r="F19" s="153"/>
      <c r="G19" s="157">
        <f>Diario!J146</f>
        <v>123750</v>
      </c>
      <c r="H19" s="141">
        <v>30</v>
      </c>
      <c r="I19" s="141"/>
      <c r="J19" s="153"/>
      <c r="K19" s="154"/>
      <c r="L19" s="147"/>
      <c r="M19" s="141"/>
      <c r="N19" s="153"/>
      <c r="O19" s="154"/>
      <c r="P19" s="141"/>
      <c r="Q19" s="141"/>
      <c r="R19" s="153"/>
      <c r="S19" s="154"/>
      <c r="T19" s="141"/>
      <c r="U19" s="141"/>
      <c r="V19" s="153"/>
      <c r="W19" s="154"/>
      <c r="X19" s="141"/>
      <c r="Y19" s="141"/>
      <c r="Z19" s="153"/>
      <c r="AA19" s="154"/>
      <c r="AB19" s="147"/>
    </row>
    <row r="20" spans="2:28" s="144" customFormat="1" ht="39.950000000000003" customHeight="1">
      <c r="B20" s="155"/>
      <c r="C20" s="156"/>
      <c r="D20" s="147"/>
      <c r="E20" s="141"/>
      <c r="F20" s="153"/>
      <c r="G20" s="149">
        <f>Diario!J185</f>
        <v>420300</v>
      </c>
      <c r="H20" s="141">
        <v>33</v>
      </c>
      <c r="I20" s="141"/>
      <c r="J20" s="153"/>
      <c r="K20" s="154"/>
      <c r="L20" s="147"/>
      <c r="M20" s="141"/>
      <c r="N20" s="153"/>
      <c r="O20" s="154"/>
      <c r="P20" s="141"/>
      <c r="Q20" s="141"/>
      <c r="R20" s="153"/>
      <c r="S20" s="154"/>
      <c r="T20" s="141"/>
      <c r="U20" s="141"/>
      <c r="V20" s="153"/>
      <c r="W20" s="154"/>
      <c r="X20" s="141"/>
      <c r="Y20" s="141"/>
      <c r="Z20" s="153"/>
      <c r="AA20" s="154"/>
      <c r="AB20" s="147"/>
    </row>
    <row r="21" spans="2:28" s="144" customFormat="1" ht="39.950000000000003" customHeight="1">
      <c r="B21" s="155"/>
      <c r="C21" s="156"/>
      <c r="D21" s="147"/>
      <c r="E21" s="141"/>
      <c r="F21" s="153"/>
      <c r="G21" s="149">
        <f>Diario!J160</f>
        <v>590285.68780024</v>
      </c>
      <c r="H21" s="141" t="s">
        <v>183</v>
      </c>
      <c r="I21" s="141"/>
      <c r="J21" s="153"/>
      <c r="K21" s="154"/>
      <c r="L21" s="147"/>
      <c r="M21" s="141"/>
      <c r="N21" s="153"/>
      <c r="O21" s="154"/>
      <c r="P21" s="141"/>
      <c r="Q21" s="141"/>
      <c r="R21" s="153"/>
      <c r="S21" s="154"/>
      <c r="T21" s="141"/>
      <c r="U21" s="141"/>
      <c r="V21" s="153"/>
      <c r="W21" s="154"/>
      <c r="X21" s="141"/>
      <c r="Y21" s="141"/>
      <c r="Z21" s="153"/>
      <c r="AA21" s="154"/>
      <c r="AB21" s="147"/>
    </row>
    <row r="22" spans="2:28" s="144" customFormat="1" ht="39.950000000000003" customHeight="1">
      <c r="B22" s="155"/>
      <c r="C22" s="156"/>
      <c r="D22" s="147"/>
      <c r="E22" s="141"/>
      <c r="F22" s="153"/>
      <c r="G22" s="149">
        <f>Diario!J215</f>
        <v>2178600</v>
      </c>
      <c r="H22" s="141">
        <v>39</v>
      </c>
      <c r="I22" s="141"/>
      <c r="J22" s="153"/>
      <c r="K22" s="154"/>
      <c r="L22" s="147"/>
      <c r="M22" s="141"/>
      <c r="N22" s="153"/>
      <c r="O22" s="154"/>
      <c r="P22" s="141"/>
      <c r="Q22" s="141"/>
      <c r="R22" s="153"/>
      <c r="S22" s="154"/>
      <c r="T22" s="141"/>
      <c r="U22" s="141"/>
      <c r="V22" s="153"/>
      <c r="W22" s="154"/>
      <c r="X22" s="141"/>
      <c r="Y22" s="141"/>
      <c r="Z22" s="153"/>
      <c r="AA22" s="154"/>
      <c r="AB22" s="147"/>
    </row>
    <row r="23" spans="2:28" s="144" customFormat="1" ht="39.950000000000003" customHeight="1">
      <c r="B23" s="155"/>
      <c r="C23" s="156"/>
      <c r="D23" s="147"/>
      <c r="E23" s="141"/>
      <c r="F23" s="153"/>
      <c r="G23" s="149">
        <f>Diario!J219</f>
        <v>299250</v>
      </c>
      <c r="H23" s="141">
        <v>40</v>
      </c>
      <c r="I23" s="141"/>
      <c r="J23" s="153"/>
      <c r="K23" s="154"/>
      <c r="L23" s="147"/>
      <c r="M23" s="141"/>
      <c r="N23" s="153"/>
      <c r="O23" s="154"/>
      <c r="P23" s="141"/>
      <c r="Q23" s="141"/>
      <c r="R23" s="153"/>
      <c r="S23" s="154"/>
      <c r="T23" s="141"/>
      <c r="U23" s="141"/>
      <c r="V23" s="153"/>
      <c r="W23" s="154"/>
      <c r="X23" s="141"/>
      <c r="Y23" s="141"/>
      <c r="Z23" s="153"/>
      <c r="AA23" s="154"/>
      <c r="AB23" s="147"/>
    </row>
    <row r="24" spans="2:28" s="144" customFormat="1" ht="39.950000000000003" customHeight="1">
      <c r="B24" s="155"/>
      <c r="C24" s="156"/>
      <c r="D24" s="147"/>
      <c r="E24" s="141"/>
      <c r="F24" s="153"/>
      <c r="G24" s="149">
        <f>Diario!J225</f>
        <v>961050</v>
      </c>
      <c r="H24" s="141">
        <v>41</v>
      </c>
      <c r="I24" s="141"/>
      <c r="J24" s="153"/>
      <c r="K24" s="154"/>
      <c r="L24" s="147"/>
      <c r="M24" s="141"/>
      <c r="N24" s="153"/>
      <c r="O24" s="154"/>
      <c r="P24" s="141"/>
      <c r="Q24" s="141"/>
      <c r="R24" s="153"/>
      <c r="S24" s="154"/>
      <c r="T24" s="141"/>
      <c r="U24" s="141"/>
      <c r="V24" s="153"/>
      <c r="W24" s="154"/>
      <c r="X24" s="141"/>
      <c r="Y24" s="141"/>
      <c r="Z24" s="153"/>
      <c r="AA24" s="154"/>
      <c r="AB24" s="147"/>
    </row>
    <row r="25" spans="2:28" s="144" customFormat="1" ht="39.950000000000003" customHeight="1">
      <c r="B25" s="155"/>
      <c r="C25" s="156"/>
      <c r="D25" s="147"/>
      <c r="E25" s="141"/>
      <c r="F25" s="153"/>
      <c r="G25" s="149">
        <f>Diario!J229</f>
        <v>123750</v>
      </c>
      <c r="H25" s="141">
        <v>42</v>
      </c>
      <c r="I25" s="141"/>
      <c r="J25" s="153"/>
      <c r="K25" s="154"/>
      <c r="L25" s="147"/>
      <c r="M25" s="141"/>
      <c r="N25" s="153"/>
      <c r="O25" s="154"/>
      <c r="P25" s="141"/>
      <c r="Q25" s="141"/>
      <c r="R25" s="153"/>
      <c r="S25" s="154"/>
      <c r="T25" s="141"/>
      <c r="U25" s="141"/>
      <c r="V25" s="153"/>
      <c r="W25" s="154"/>
      <c r="X25" s="141"/>
      <c r="Y25" s="141"/>
      <c r="Z25" s="153"/>
      <c r="AA25" s="154"/>
      <c r="AB25" s="147"/>
    </row>
    <row r="26" spans="2:28" s="144" customFormat="1" ht="39.950000000000003" customHeight="1">
      <c r="B26" s="155"/>
      <c r="C26" s="156"/>
      <c r="D26" s="147"/>
      <c r="E26" s="141"/>
      <c r="F26" s="153"/>
      <c r="G26" s="149">
        <f>Diario!J237</f>
        <v>7272336</v>
      </c>
      <c r="H26" s="141" t="s">
        <v>187</v>
      </c>
      <c r="I26" s="141"/>
      <c r="J26" s="153"/>
      <c r="K26" s="154"/>
      <c r="L26" s="147"/>
      <c r="M26" s="141"/>
      <c r="N26" s="153"/>
      <c r="O26" s="154"/>
      <c r="P26" s="141"/>
      <c r="Q26" s="141"/>
      <c r="R26" s="153"/>
      <c r="S26" s="154"/>
      <c r="T26" s="141"/>
      <c r="U26" s="141"/>
      <c r="V26" s="153"/>
      <c r="W26" s="154"/>
      <c r="X26" s="141"/>
      <c r="Y26" s="141"/>
      <c r="Z26" s="153"/>
      <c r="AA26" s="154"/>
      <c r="AB26" s="147"/>
    </row>
    <row r="27" spans="2:28" s="144" customFormat="1" ht="39.950000000000003" customHeight="1">
      <c r="B27" s="155"/>
      <c r="C27" s="156"/>
      <c r="D27" s="147"/>
      <c r="E27" s="141"/>
      <c r="F27" s="153"/>
      <c r="G27" s="149">
        <f>Diario!J165</f>
        <v>7272336</v>
      </c>
      <c r="H27" s="141" t="s">
        <v>184</v>
      </c>
      <c r="I27" s="141"/>
      <c r="J27" s="153"/>
      <c r="K27" s="154"/>
      <c r="L27" s="147"/>
      <c r="M27" s="141"/>
      <c r="N27" s="153"/>
      <c r="O27" s="154"/>
      <c r="P27" s="141"/>
      <c r="Q27" s="141"/>
      <c r="R27" s="153"/>
      <c r="S27" s="154"/>
      <c r="T27" s="141"/>
      <c r="U27" s="141"/>
      <c r="V27" s="153"/>
      <c r="W27" s="154"/>
      <c r="X27" s="141"/>
      <c r="Y27" s="141"/>
      <c r="Z27" s="153"/>
      <c r="AA27" s="154"/>
      <c r="AB27" s="147"/>
    </row>
    <row r="28" spans="2:28" s="144" customFormat="1" ht="39.950000000000003" customHeight="1">
      <c r="B28" s="155"/>
      <c r="C28" s="156"/>
      <c r="D28" s="147"/>
      <c r="E28" s="141"/>
      <c r="F28" s="153"/>
      <c r="G28" s="149">
        <f>Diario!J257</f>
        <v>458925</v>
      </c>
      <c r="H28" s="141">
        <v>45</v>
      </c>
      <c r="I28" s="141"/>
      <c r="J28" s="153"/>
      <c r="K28" s="154"/>
      <c r="L28" s="147"/>
      <c r="M28" s="141"/>
      <c r="N28" s="153"/>
      <c r="O28" s="154"/>
      <c r="P28" s="141"/>
      <c r="Q28" s="141"/>
      <c r="R28" s="153"/>
      <c r="S28" s="154"/>
      <c r="T28" s="141"/>
      <c r="U28" s="141"/>
      <c r="V28" s="153"/>
      <c r="W28" s="154"/>
      <c r="X28" s="141"/>
      <c r="Y28" s="141"/>
      <c r="Z28" s="153"/>
      <c r="AA28" s="154"/>
      <c r="AB28" s="147"/>
    </row>
    <row r="29" spans="2:28" s="144" customFormat="1" ht="39.950000000000003" customHeight="1">
      <c r="B29" s="155"/>
      <c r="C29" s="156"/>
      <c r="D29" s="147"/>
      <c r="E29" s="141"/>
      <c r="F29" s="153"/>
      <c r="G29" s="149">
        <f>Diario!J287</f>
        <v>2178600</v>
      </c>
      <c r="H29" s="141">
        <v>51</v>
      </c>
      <c r="I29" s="141"/>
      <c r="J29" s="153"/>
      <c r="K29" s="154"/>
      <c r="L29" s="147"/>
      <c r="M29" s="141"/>
      <c r="N29" s="153"/>
      <c r="O29" s="154"/>
      <c r="P29" s="141"/>
      <c r="Q29" s="141"/>
      <c r="R29" s="153"/>
      <c r="S29" s="154"/>
      <c r="T29" s="141"/>
      <c r="U29" s="141"/>
      <c r="V29" s="153"/>
      <c r="W29" s="154"/>
      <c r="X29" s="141"/>
      <c r="Y29" s="141"/>
      <c r="Z29" s="153"/>
      <c r="AA29" s="154"/>
      <c r="AB29" s="147"/>
    </row>
    <row r="30" spans="2:28" s="144" customFormat="1" ht="39.950000000000003" customHeight="1">
      <c r="B30" s="155"/>
      <c r="C30" s="156"/>
      <c r="D30" s="147"/>
      <c r="E30" s="141"/>
      <c r="F30" s="153"/>
      <c r="G30" s="149">
        <f>Diario!J291</f>
        <v>299250</v>
      </c>
      <c r="H30" s="141">
        <v>52</v>
      </c>
      <c r="I30" s="141"/>
      <c r="J30" s="153"/>
      <c r="K30" s="154"/>
      <c r="L30" s="147"/>
      <c r="M30" s="141"/>
      <c r="N30" s="153"/>
      <c r="O30" s="154"/>
      <c r="P30" s="141"/>
      <c r="Q30" s="141"/>
      <c r="R30" s="153"/>
      <c r="S30" s="154"/>
      <c r="T30" s="141"/>
      <c r="U30" s="141"/>
      <c r="V30" s="153"/>
      <c r="W30" s="154"/>
      <c r="X30" s="141"/>
      <c r="Y30" s="141"/>
      <c r="Z30" s="153"/>
      <c r="AA30" s="154"/>
      <c r="AB30" s="147"/>
    </row>
    <row r="31" spans="2:28" s="144" customFormat="1" ht="39.950000000000003" customHeight="1">
      <c r="B31" s="155"/>
      <c r="C31" s="156"/>
      <c r="D31" s="147"/>
      <c r="E31" s="141"/>
      <c r="F31" s="153"/>
      <c r="G31" s="149">
        <f>Diario!J297</f>
        <v>961050</v>
      </c>
      <c r="H31" s="141">
        <v>53</v>
      </c>
      <c r="I31" s="141"/>
      <c r="J31" s="153"/>
      <c r="K31" s="154"/>
      <c r="L31" s="147"/>
      <c r="M31" s="141"/>
      <c r="N31" s="153"/>
      <c r="O31" s="154"/>
      <c r="P31" s="141"/>
      <c r="Q31" s="141"/>
      <c r="R31" s="153"/>
      <c r="S31" s="154"/>
      <c r="T31" s="141"/>
      <c r="U31" s="141"/>
      <c r="V31" s="153"/>
      <c r="W31" s="154"/>
      <c r="X31" s="141"/>
      <c r="Y31" s="141"/>
      <c r="Z31" s="153"/>
      <c r="AA31" s="154"/>
      <c r="AB31" s="147"/>
    </row>
    <row r="32" spans="2:28" s="144" customFormat="1" ht="39.950000000000003" customHeight="1">
      <c r="B32" s="155"/>
      <c r="C32" s="156"/>
      <c r="D32" s="147"/>
      <c r="E32" s="141"/>
      <c r="F32" s="153"/>
      <c r="G32" s="149">
        <f>Diario!J301</f>
        <v>123750</v>
      </c>
      <c r="H32" s="141">
        <v>54</v>
      </c>
      <c r="I32" s="141"/>
      <c r="J32" s="153"/>
      <c r="K32" s="154"/>
      <c r="L32" s="147"/>
      <c r="M32" s="141"/>
      <c r="N32" s="153"/>
      <c r="O32" s="154"/>
      <c r="P32" s="141"/>
      <c r="Q32" s="141"/>
      <c r="R32" s="153"/>
      <c r="S32" s="154"/>
      <c r="T32" s="141"/>
      <c r="U32" s="141"/>
      <c r="V32" s="153"/>
      <c r="W32" s="154"/>
      <c r="X32" s="141"/>
      <c r="Y32" s="141"/>
      <c r="Z32" s="153"/>
      <c r="AA32" s="154"/>
      <c r="AB32" s="147"/>
    </row>
    <row r="33" spans="1:28" ht="39.950000000000003" customHeight="1">
      <c r="B33" s="155"/>
      <c r="C33" s="156"/>
      <c r="D33" s="147"/>
      <c r="F33" s="153"/>
      <c r="G33" s="149">
        <f>Diario!J307</f>
        <v>577341.37060307211</v>
      </c>
      <c r="H33" s="141">
        <v>55</v>
      </c>
      <c r="J33" s="153"/>
      <c r="K33" s="154"/>
      <c r="L33" s="147"/>
      <c r="N33" s="153"/>
      <c r="O33" s="154"/>
      <c r="R33" s="153"/>
      <c r="S33" s="154"/>
      <c r="V33" s="153"/>
      <c r="W33" s="154"/>
      <c r="Z33" s="153"/>
      <c r="AA33" s="154"/>
      <c r="AB33" s="147"/>
    </row>
    <row r="34" spans="1:28" ht="39.950000000000003" customHeight="1">
      <c r="B34" s="155"/>
      <c r="C34" s="156"/>
      <c r="D34" s="147"/>
      <c r="F34" s="153"/>
      <c r="G34" s="149">
        <f>Diario!J320</f>
        <v>7279536</v>
      </c>
      <c r="H34" s="141">
        <v>56</v>
      </c>
      <c r="J34" s="153"/>
      <c r="K34" s="154"/>
      <c r="L34" s="147"/>
      <c r="N34" s="153"/>
      <c r="O34" s="154"/>
      <c r="R34" s="153"/>
      <c r="S34" s="154"/>
      <c r="V34" s="153"/>
      <c r="W34" s="154"/>
      <c r="Z34" s="153"/>
      <c r="AA34" s="154"/>
      <c r="AB34" s="147"/>
    </row>
    <row r="35" spans="1:28" ht="39.950000000000003" customHeight="1">
      <c r="B35" s="155"/>
      <c r="C35" s="156"/>
      <c r="D35" s="147"/>
      <c r="F35" s="153"/>
      <c r="G35" s="149">
        <f>Diario!J341</f>
        <v>420300</v>
      </c>
      <c r="H35" s="141">
        <v>59</v>
      </c>
      <c r="J35" s="153"/>
      <c r="K35" s="154"/>
      <c r="L35" s="147"/>
      <c r="N35" s="153"/>
      <c r="O35" s="154"/>
      <c r="R35" s="153"/>
      <c r="S35" s="154"/>
      <c r="V35" s="153"/>
      <c r="W35" s="154"/>
      <c r="Z35" s="153"/>
      <c r="AA35" s="154"/>
      <c r="AB35" s="147"/>
    </row>
    <row r="36" spans="1:28" ht="39.950000000000003" customHeight="1">
      <c r="B36" s="155"/>
      <c r="C36" s="156"/>
      <c r="D36" s="147"/>
      <c r="F36" s="153"/>
      <c r="G36" s="149">
        <f>Diario!J371</f>
        <v>2170600</v>
      </c>
      <c r="H36" s="141">
        <v>65</v>
      </c>
      <c r="J36" s="153"/>
      <c r="K36" s="154"/>
      <c r="L36" s="147"/>
      <c r="N36" s="153"/>
      <c r="O36" s="154"/>
      <c r="R36" s="153"/>
      <c r="S36" s="154"/>
      <c r="V36" s="153"/>
      <c r="W36" s="154"/>
      <c r="Z36" s="153"/>
      <c r="AA36" s="154"/>
      <c r="AB36" s="147"/>
    </row>
    <row r="37" spans="1:28" ht="39.950000000000003" customHeight="1">
      <c r="B37" s="155"/>
      <c r="C37" s="156"/>
      <c r="D37" s="147"/>
      <c r="F37" s="153"/>
      <c r="G37" s="149">
        <f>Diario!J375</f>
        <v>199500</v>
      </c>
      <c r="H37" s="141">
        <v>66</v>
      </c>
      <c r="J37" s="153"/>
      <c r="K37" s="154"/>
      <c r="L37" s="147"/>
      <c r="N37" s="153"/>
      <c r="O37" s="154"/>
      <c r="R37" s="153"/>
      <c r="S37" s="154"/>
      <c r="V37" s="153"/>
      <c r="W37" s="154"/>
      <c r="Z37" s="153"/>
      <c r="AA37" s="154"/>
      <c r="AB37" s="147"/>
    </row>
    <row r="38" spans="1:28" ht="39.950000000000003" customHeight="1" thickBot="1">
      <c r="B38" s="158"/>
      <c r="C38" s="156"/>
      <c r="D38" s="147"/>
      <c r="F38" s="153"/>
      <c r="G38" s="149">
        <f>Diario!J381</f>
        <v>937700</v>
      </c>
      <c r="H38" s="141">
        <v>67</v>
      </c>
      <c r="J38" s="156"/>
      <c r="K38" s="159"/>
      <c r="L38" s="147"/>
      <c r="N38" s="153"/>
      <c r="O38" s="154"/>
      <c r="R38" s="153"/>
      <c r="S38" s="154"/>
      <c r="V38" s="153"/>
      <c r="W38" s="154"/>
      <c r="Z38" s="153"/>
      <c r="AA38" s="154"/>
      <c r="AB38" s="147"/>
    </row>
    <row r="39" spans="1:28" ht="39.950000000000003" customHeight="1" thickBot="1">
      <c r="B39" s="160"/>
      <c r="C39" s="156"/>
      <c r="D39" s="147"/>
      <c r="F39" s="153"/>
      <c r="G39" s="149">
        <f>Diario!J385</f>
        <v>82500</v>
      </c>
      <c r="H39" s="141">
        <v>68</v>
      </c>
      <c r="J39" s="156"/>
      <c r="K39" s="159"/>
      <c r="L39" s="147"/>
      <c r="N39" s="156"/>
      <c r="O39" s="156"/>
      <c r="R39" s="153"/>
      <c r="S39" s="154"/>
      <c r="V39" s="153"/>
      <c r="W39" s="154"/>
      <c r="Z39" s="153"/>
      <c r="AA39" s="154"/>
      <c r="AB39" s="147"/>
    </row>
    <row r="40" spans="1:28" ht="39.950000000000003" customHeight="1" thickBot="1">
      <c r="B40" s="160"/>
      <c r="C40" s="156"/>
      <c r="D40" s="147"/>
      <c r="F40" s="153"/>
      <c r="G40" s="149">
        <f>Diario!J391</f>
        <v>568434.78531718382</v>
      </c>
      <c r="H40" s="141">
        <v>69</v>
      </c>
      <c r="J40" s="156"/>
      <c r="K40" s="161"/>
      <c r="L40" s="147"/>
      <c r="N40" s="156"/>
      <c r="O40" s="156"/>
      <c r="R40" s="153"/>
      <c r="S40" s="154"/>
      <c r="V40" s="153"/>
      <c r="W40" s="154"/>
      <c r="Z40" s="153"/>
      <c r="AA40" s="154"/>
      <c r="AB40" s="147"/>
    </row>
    <row r="41" spans="1:28" ht="39.950000000000003" customHeight="1" thickBot="1">
      <c r="B41" s="162">
        <f>SUM(B2:B38)</f>
        <v>53919672</v>
      </c>
      <c r="C41" s="163">
        <f>SUM(C2:C38)</f>
        <v>53894672</v>
      </c>
      <c r="D41" s="147"/>
      <c r="F41" s="164">
        <f>SUM(F2:F39)</f>
        <v>63869672</v>
      </c>
      <c r="G41" s="164">
        <f>SUM(G2:G40)</f>
        <v>53885782.143837452</v>
      </c>
      <c r="I41" s="141">
        <v>73</v>
      </c>
      <c r="J41" s="163">
        <f>K41</f>
        <v>50291174.713043481</v>
      </c>
      <c r="K41" s="163">
        <f>SUM(K2:K38)</f>
        <v>50291174.713043481</v>
      </c>
      <c r="L41" s="147"/>
      <c r="N41" s="156"/>
      <c r="O41" s="163">
        <f>SUM(O2:O38)</f>
        <v>3000000</v>
      </c>
      <c r="Q41" s="141">
        <v>71</v>
      </c>
      <c r="R41" s="164">
        <f>S41</f>
        <v>8201721.2869565217</v>
      </c>
      <c r="S41" s="165">
        <f>SUM(S2:S38)</f>
        <v>8201721.2869565217</v>
      </c>
      <c r="V41" s="164">
        <f>SUM(V2:V38)</f>
        <v>8714400</v>
      </c>
      <c r="W41" s="165">
        <f>V41</f>
        <v>8714400</v>
      </c>
      <c r="X41" s="141">
        <v>76</v>
      </c>
      <c r="Z41" s="164">
        <f>SUM(Z2:Z38)</f>
        <v>7980000</v>
      </c>
      <c r="AA41" s="165">
        <f>SUM(AA2:AA38)</f>
        <v>7980000</v>
      </c>
      <c r="AB41" s="166"/>
    </row>
    <row r="42" spans="1:28" ht="39.950000000000003" customHeight="1" thickBot="1">
      <c r="B42" s="167">
        <f>B41-C41</f>
        <v>25000</v>
      </c>
      <c r="C42" s="156"/>
      <c r="D42" s="147"/>
      <c r="F42" s="163">
        <f>F41-G41</f>
        <v>9983889.8561625481</v>
      </c>
      <c r="G42" s="157"/>
      <c r="J42" s="156"/>
      <c r="K42" s="156"/>
      <c r="L42" s="147"/>
      <c r="N42" s="156"/>
      <c r="O42" s="156"/>
      <c r="AA42" s="163">
        <f>AA41-Z41</f>
        <v>0</v>
      </c>
    </row>
    <row r="43" spans="1:28" ht="39.950000000000003" customHeight="1" thickTop="1"/>
    <row r="44" spans="1:28" ht="39.950000000000003" customHeight="1" thickBot="1">
      <c r="B44" s="632" t="s">
        <v>22</v>
      </c>
      <c r="C44" s="632"/>
      <c r="D44" s="143"/>
      <c r="F44" s="632" t="s">
        <v>29</v>
      </c>
      <c r="G44" s="632"/>
      <c r="J44" s="632" t="s">
        <v>30</v>
      </c>
      <c r="K44" s="632"/>
      <c r="L44" s="143"/>
      <c r="N44" s="632" t="s">
        <v>16</v>
      </c>
      <c r="O44" s="632"/>
      <c r="R44" s="633" t="str">
        <f>Diario!H105</f>
        <v>6225001- Seguros</v>
      </c>
      <c r="S44" s="633"/>
      <c r="V44" s="636" t="str">
        <f>Diario!H111</f>
        <v>2412001-  Retenção do IUR-Trabalhador dependente</v>
      </c>
      <c r="W44" s="633"/>
      <c r="Z44" s="636" t="str">
        <f>Diario!H112</f>
        <v>248001-Segurança Social</v>
      </c>
      <c r="AA44" s="633"/>
    </row>
    <row r="45" spans="1:28" ht="39.950000000000003" customHeight="1" thickTop="1" thickBot="1">
      <c r="A45" s="141">
        <v>6</v>
      </c>
      <c r="B45" s="145">
        <f>Diario!I23</f>
        <v>4545281.7722399998</v>
      </c>
      <c r="C45" s="145">
        <f>B45*0.25</f>
        <v>1136320.44306</v>
      </c>
      <c r="D45" s="147">
        <v>77</v>
      </c>
      <c r="E45" s="141">
        <v>5</v>
      </c>
      <c r="F45" s="151">
        <f>Diario!I19</f>
        <v>7510.5278769645829</v>
      </c>
      <c r="G45" s="168"/>
      <c r="I45" s="141" t="s">
        <v>183</v>
      </c>
      <c r="J45" s="145">
        <f>Diario!I157</f>
        <v>432874.23314346786</v>
      </c>
      <c r="K45" s="146">
        <f>Diario!J16</f>
        <v>7000000</v>
      </c>
      <c r="L45" s="150">
        <v>4</v>
      </c>
      <c r="M45" s="141">
        <v>1</v>
      </c>
      <c r="N45" s="145">
        <f>O2</f>
        <v>3000000</v>
      </c>
      <c r="O45" s="146">
        <f>N45</f>
        <v>3000000</v>
      </c>
      <c r="P45" s="141">
        <v>2</v>
      </c>
      <c r="Q45" s="141">
        <v>22</v>
      </c>
      <c r="R45" s="145">
        <f>Diario!I105</f>
        <v>45000</v>
      </c>
      <c r="S45" s="168"/>
      <c r="U45" s="141">
        <v>27</v>
      </c>
      <c r="V45" s="145">
        <f>Diario!I130</f>
        <v>24000</v>
      </c>
      <c r="W45" s="146">
        <f>Diario!J111</f>
        <v>24000</v>
      </c>
      <c r="X45" s="141">
        <v>23</v>
      </c>
      <c r="Y45" s="141">
        <v>27</v>
      </c>
      <c r="Z45" s="145">
        <f>Diario!I131</f>
        <v>159600</v>
      </c>
      <c r="AA45" s="146">
        <f>Diario!J112</f>
        <v>159600</v>
      </c>
      <c r="AB45" s="141">
        <v>23</v>
      </c>
    </row>
    <row r="46" spans="1:28" ht="39.950000000000003" customHeight="1" thickTop="1">
      <c r="B46" s="151"/>
      <c r="C46" s="154"/>
      <c r="D46" s="147"/>
      <c r="E46" s="141" t="s">
        <v>183</v>
      </c>
      <c r="F46" s="151">
        <f>Diario!I159</f>
        <v>7200.8971174805247</v>
      </c>
      <c r="G46" s="154"/>
      <c r="I46" s="141">
        <v>55</v>
      </c>
      <c r="J46" s="145">
        <f>Diario!I304</f>
        <v>432874.23314346786</v>
      </c>
      <c r="K46" s="154"/>
      <c r="L46" s="147"/>
      <c r="N46" s="153"/>
      <c r="O46" s="154"/>
      <c r="Q46" s="141">
        <v>34</v>
      </c>
      <c r="R46" s="151">
        <f>Diario!I188</f>
        <v>45000</v>
      </c>
      <c r="S46" s="154"/>
      <c r="U46" s="141">
        <v>29</v>
      </c>
      <c r="V46" s="151">
        <f>W46</f>
        <v>70050</v>
      </c>
      <c r="W46" s="152">
        <f>Diario!J121</f>
        <v>70050</v>
      </c>
      <c r="X46" s="141">
        <v>25</v>
      </c>
      <c r="Y46" s="141">
        <v>28</v>
      </c>
      <c r="Z46" s="151">
        <f>Diario!I135</f>
        <v>299250</v>
      </c>
      <c r="AA46" s="152">
        <f>Z94</f>
        <v>299250</v>
      </c>
      <c r="AB46" s="141">
        <v>24</v>
      </c>
    </row>
    <row r="47" spans="1:28" ht="39.950000000000003" customHeight="1">
      <c r="B47" s="153"/>
      <c r="C47" s="154"/>
      <c r="D47" s="147"/>
      <c r="E47" s="141">
        <v>55</v>
      </c>
      <c r="F47" s="151">
        <f>Diario!I306</f>
        <v>6777.4785379283931</v>
      </c>
      <c r="G47" s="154"/>
      <c r="I47" s="141">
        <v>69</v>
      </c>
      <c r="J47" s="151">
        <f>Diario!I388</f>
        <v>432874.23314346786</v>
      </c>
      <c r="K47" s="154"/>
      <c r="L47" s="147"/>
      <c r="N47" s="153"/>
      <c r="O47" s="154"/>
      <c r="Q47" s="141">
        <v>46</v>
      </c>
      <c r="R47" s="151">
        <f>Diario!I260</f>
        <v>45000</v>
      </c>
      <c r="S47" s="154"/>
      <c r="U47" s="141">
        <v>39</v>
      </c>
      <c r="V47" s="149">
        <f>Diario!I213</f>
        <v>24000</v>
      </c>
      <c r="W47" s="151">
        <f>Diario!J194</f>
        <v>24000</v>
      </c>
      <c r="X47" s="141">
        <v>35</v>
      </c>
      <c r="Y47" s="141">
        <v>29</v>
      </c>
      <c r="Z47" s="151">
        <f>AA47</f>
        <v>66000</v>
      </c>
      <c r="AA47" s="152">
        <f>Diario!J122</f>
        <v>66000</v>
      </c>
      <c r="AB47" s="141">
        <v>25</v>
      </c>
    </row>
    <row r="48" spans="1:28" ht="39.950000000000003" customHeight="1">
      <c r="B48" s="153"/>
      <c r="C48" s="154"/>
      <c r="D48" s="147"/>
      <c r="E48" s="141">
        <v>69</v>
      </c>
      <c r="F48" s="151">
        <f>Diario!I390</f>
        <v>4337.8171472956983</v>
      </c>
      <c r="G48" s="154"/>
      <c r="J48" s="153"/>
      <c r="K48" s="154"/>
      <c r="L48" s="147"/>
      <c r="N48" s="153"/>
      <c r="O48" s="154"/>
      <c r="Q48" s="141">
        <v>60</v>
      </c>
      <c r="R48" s="151">
        <f>Diario!I344</f>
        <v>45000</v>
      </c>
      <c r="S48" s="154"/>
      <c r="U48" s="141">
        <v>41</v>
      </c>
      <c r="V48" s="151">
        <f>Diario!I223</f>
        <v>70050</v>
      </c>
      <c r="W48" s="152">
        <f>Diario!J204</f>
        <v>70050</v>
      </c>
      <c r="X48" s="141">
        <v>37</v>
      </c>
      <c r="Y48" s="141">
        <v>30</v>
      </c>
      <c r="Z48" s="151">
        <f>AA48</f>
        <v>123750</v>
      </c>
      <c r="AA48" s="152">
        <f>Diario!J126</f>
        <v>123750</v>
      </c>
      <c r="AB48" s="141">
        <v>26</v>
      </c>
    </row>
    <row r="49" spans="2:28" s="144" customFormat="1" ht="39.950000000000003" customHeight="1">
      <c r="B49" s="153"/>
      <c r="C49" s="154"/>
      <c r="D49" s="147"/>
      <c r="E49" s="141"/>
      <c r="F49" s="153"/>
      <c r="G49" s="154"/>
      <c r="H49" s="141"/>
      <c r="I49" s="141"/>
      <c r="J49" s="153"/>
      <c r="K49" s="154"/>
      <c r="L49" s="147"/>
      <c r="M49" s="141"/>
      <c r="N49" s="153"/>
      <c r="O49" s="154"/>
      <c r="P49" s="141"/>
      <c r="Q49" s="141"/>
      <c r="R49" s="153"/>
      <c r="S49" s="154"/>
      <c r="T49" s="141"/>
      <c r="U49" s="141">
        <v>51</v>
      </c>
      <c r="V49" s="151">
        <f>V45</f>
        <v>24000</v>
      </c>
      <c r="W49" s="152">
        <f>W45</f>
        <v>24000</v>
      </c>
      <c r="X49" s="141">
        <v>47</v>
      </c>
      <c r="Y49" s="141">
        <v>39</v>
      </c>
      <c r="Z49" s="151">
        <f>Diario!I214</f>
        <v>159600</v>
      </c>
      <c r="AA49" s="152">
        <f>Diario!J195</f>
        <v>159600</v>
      </c>
      <c r="AB49" s="141">
        <v>35</v>
      </c>
    </row>
    <row r="50" spans="2:28" s="144" customFormat="1" ht="39.950000000000003" customHeight="1">
      <c r="B50" s="153"/>
      <c r="C50" s="154"/>
      <c r="D50" s="147"/>
      <c r="E50" s="141"/>
      <c r="F50" s="153"/>
      <c r="G50" s="154"/>
      <c r="H50" s="141"/>
      <c r="I50" s="141"/>
      <c r="J50" s="153"/>
      <c r="K50" s="154"/>
      <c r="L50" s="147"/>
      <c r="M50" s="141"/>
      <c r="N50" s="153"/>
      <c r="O50" s="154"/>
      <c r="P50" s="141"/>
      <c r="Q50" s="141"/>
      <c r="R50" s="153"/>
      <c r="S50" s="154"/>
      <c r="T50" s="141"/>
      <c r="U50" s="141">
        <v>53</v>
      </c>
      <c r="V50" s="151">
        <f>V46</f>
        <v>70050</v>
      </c>
      <c r="W50" s="152">
        <f>W46</f>
        <v>70050</v>
      </c>
      <c r="X50" s="141">
        <v>49</v>
      </c>
      <c r="Y50" s="141">
        <v>40</v>
      </c>
      <c r="Z50" s="151">
        <f>Diario!I218</f>
        <v>299250</v>
      </c>
      <c r="AA50" s="152">
        <f>Diario!J199</f>
        <v>299250</v>
      </c>
      <c r="AB50" s="141">
        <v>36</v>
      </c>
    </row>
    <row r="51" spans="2:28" s="144" customFormat="1" ht="39.950000000000003" customHeight="1">
      <c r="B51" s="153"/>
      <c r="C51" s="154"/>
      <c r="D51" s="147"/>
      <c r="E51" s="141"/>
      <c r="F51" s="153"/>
      <c r="G51" s="154"/>
      <c r="H51" s="141"/>
      <c r="I51" s="141"/>
      <c r="J51" s="153"/>
      <c r="K51" s="154"/>
      <c r="L51" s="147"/>
      <c r="M51" s="141"/>
      <c r="N51" s="153"/>
      <c r="O51" s="154"/>
      <c r="P51" s="141"/>
      <c r="Q51" s="141"/>
      <c r="R51" s="153"/>
      <c r="S51" s="154"/>
      <c r="T51" s="141"/>
      <c r="U51" s="141">
        <v>65</v>
      </c>
      <c r="V51" s="151">
        <f>Diario!I369</f>
        <v>16000</v>
      </c>
      <c r="W51" s="152">
        <f>W49</f>
        <v>24000</v>
      </c>
      <c r="X51" s="141">
        <v>61</v>
      </c>
      <c r="Y51" s="141">
        <v>41</v>
      </c>
      <c r="Z51" s="151">
        <f>Diario!I224</f>
        <v>66000</v>
      </c>
      <c r="AA51" s="152">
        <f>Diario!J205</f>
        <v>66000</v>
      </c>
      <c r="AB51" s="141">
        <v>37</v>
      </c>
    </row>
    <row r="52" spans="2:28" s="144" customFormat="1" ht="39.950000000000003" customHeight="1">
      <c r="B52" s="153"/>
      <c r="C52" s="154"/>
      <c r="D52" s="147"/>
      <c r="E52" s="141"/>
      <c r="F52" s="153"/>
      <c r="G52" s="154"/>
      <c r="H52" s="141"/>
      <c r="I52" s="141"/>
      <c r="J52" s="153"/>
      <c r="K52" s="154"/>
      <c r="L52" s="147"/>
      <c r="M52" s="141"/>
      <c r="N52" s="153"/>
      <c r="O52" s="154"/>
      <c r="P52" s="141"/>
      <c r="Q52" s="141"/>
      <c r="R52" s="153"/>
      <c r="S52" s="154"/>
      <c r="T52" s="141"/>
      <c r="U52" s="141">
        <v>67</v>
      </c>
      <c r="V52" s="151">
        <f>Diario!I379</f>
        <v>46700</v>
      </c>
      <c r="W52" s="152">
        <f>W50</f>
        <v>70050</v>
      </c>
      <c r="X52" s="141">
        <v>63</v>
      </c>
      <c r="Y52" s="141">
        <v>42</v>
      </c>
      <c r="Z52" s="151">
        <f>Diario!I228</f>
        <v>123750</v>
      </c>
      <c r="AA52" s="149">
        <f>Diario!J209</f>
        <v>123750</v>
      </c>
      <c r="AB52" s="141">
        <v>38</v>
      </c>
    </row>
    <row r="53" spans="2:28" s="144" customFormat="1" ht="39.950000000000003" customHeight="1">
      <c r="B53" s="153"/>
      <c r="C53" s="154"/>
      <c r="D53" s="147"/>
      <c r="E53" s="141"/>
      <c r="F53" s="153"/>
      <c r="G53" s="154"/>
      <c r="H53" s="141"/>
      <c r="I53" s="141"/>
      <c r="J53" s="153"/>
      <c r="K53" s="154"/>
      <c r="L53" s="147"/>
      <c r="M53" s="141"/>
      <c r="N53" s="153"/>
      <c r="O53" s="154"/>
      <c r="P53" s="141"/>
      <c r="Q53" s="141"/>
      <c r="R53" s="153"/>
      <c r="S53" s="154"/>
      <c r="T53" s="141"/>
      <c r="U53" s="141"/>
      <c r="V53" s="153"/>
      <c r="W53" s="152"/>
      <c r="X53" s="141"/>
      <c r="Y53" s="141">
        <v>51</v>
      </c>
      <c r="Z53" s="151">
        <f>AA53</f>
        <v>159600</v>
      </c>
      <c r="AA53" s="149">
        <f>AA49</f>
        <v>159600</v>
      </c>
      <c r="AB53" s="141">
        <v>47</v>
      </c>
    </row>
    <row r="54" spans="2:28" s="144" customFormat="1" ht="39.950000000000003" customHeight="1">
      <c r="B54" s="153"/>
      <c r="C54" s="154"/>
      <c r="D54" s="147"/>
      <c r="E54" s="141"/>
      <c r="F54" s="153"/>
      <c r="G54" s="154"/>
      <c r="H54" s="141"/>
      <c r="I54" s="141"/>
      <c r="J54" s="153"/>
      <c r="K54" s="154"/>
      <c r="L54" s="147"/>
      <c r="M54" s="141"/>
      <c r="N54" s="153"/>
      <c r="O54" s="154"/>
      <c r="P54" s="141"/>
      <c r="Q54" s="141"/>
      <c r="R54" s="153"/>
      <c r="S54" s="154"/>
      <c r="T54" s="141"/>
      <c r="U54" s="141"/>
      <c r="V54" s="153"/>
      <c r="W54" s="152"/>
      <c r="X54" s="141"/>
      <c r="Y54" s="141">
        <v>52</v>
      </c>
      <c r="Z54" s="151">
        <f>AA54</f>
        <v>299250</v>
      </c>
      <c r="AA54" s="149">
        <f>Z98</f>
        <v>299250</v>
      </c>
      <c r="AB54" s="141">
        <v>48</v>
      </c>
    </row>
    <row r="55" spans="2:28" s="144" customFormat="1" ht="39.950000000000003" customHeight="1">
      <c r="B55" s="153"/>
      <c r="C55" s="154"/>
      <c r="D55" s="147"/>
      <c r="E55" s="141"/>
      <c r="F55" s="153"/>
      <c r="G55" s="154"/>
      <c r="H55" s="141"/>
      <c r="I55" s="141"/>
      <c r="J55" s="153"/>
      <c r="K55" s="154"/>
      <c r="L55" s="147"/>
      <c r="M55" s="141"/>
      <c r="N55" s="153"/>
      <c r="O55" s="154"/>
      <c r="P55" s="141"/>
      <c r="Q55" s="141"/>
      <c r="R55" s="153"/>
      <c r="S55" s="154"/>
      <c r="T55" s="141"/>
      <c r="U55" s="141"/>
      <c r="V55" s="153"/>
      <c r="W55" s="152"/>
      <c r="X55" s="141"/>
      <c r="Y55" s="141">
        <v>53</v>
      </c>
      <c r="Z55" s="151">
        <f>AA55</f>
        <v>66000</v>
      </c>
      <c r="AA55" s="152">
        <f>AA51</f>
        <v>66000</v>
      </c>
      <c r="AB55" s="141">
        <v>49</v>
      </c>
    </row>
    <row r="56" spans="2:28" s="144" customFormat="1" ht="39.950000000000003" customHeight="1">
      <c r="B56" s="153"/>
      <c r="C56" s="154"/>
      <c r="D56" s="147"/>
      <c r="E56" s="141"/>
      <c r="F56" s="153"/>
      <c r="G56" s="154"/>
      <c r="H56" s="141"/>
      <c r="I56" s="141"/>
      <c r="J56" s="153"/>
      <c r="K56" s="154"/>
      <c r="L56" s="147"/>
      <c r="M56" s="141"/>
      <c r="N56" s="153"/>
      <c r="O56" s="154"/>
      <c r="P56" s="141"/>
      <c r="Q56" s="141"/>
      <c r="R56" s="153"/>
      <c r="S56" s="154"/>
      <c r="T56" s="141"/>
      <c r="U56" s="141"/>
      <c r="V56" s="153"/>
      <c r="W56" s="152"/>
      <c r="X56" s="141"/>
      <c r="Y56" s="141">
        <v>54</v>
      </c>
      <c r="Z56" s="157">
        <f>AA56</f>
        <v>123750</v>
      </c>
      <c r="AA56" s="157">
        <f>AA52</f>
        <v>123750</v>
      </c>
      <c r="AB56" s="141">
        <v>50</v>
      </c>
    </row>
    <row r="57" spans="2:28" s="144" customFormat="1" ht="39.950000000000003" customHeight="1">
      <c r="B57" s="153"/>
      <c r="C57" s="154"/>
      <c r="D57" s="147"/>
      <c r="E57" s="141"/>
      <c r="F57" s="153"/>
      <c r="G57" s="154"/>
      <c r="H57" s="141"/>
      <c r="I57" s="141"/>
      <c r="J57" s="153"/>
      <c r="K57" s="154"/>
      <c r="L57" s="147"/>
      <c r="M57" s="141"/>
      <c r="N57" s="153"/>
      <c r="O57" s="154"/>
      <c r="P57" s="141"/>
      <c r="Q57" s="141"/>
      <c r="R57" s="153"/>
      <c r="S57" s="154"/>
      <c r="T57" s="141"/>
      <c r="U57" s="141"/>
      <c r="V57" s="153"/>
      <c r="W57" s="152"/>
      <c r="X57" s="141"/>
      <c r="Y57" s="141">
        <v>65</v>
      </c>
      <c r="Z57" s="151">
        <f>Diario!I370</f>
        <v>159600</v>
      </c>
      <c r="AA57" s="157">
        <f>AA53</f>
        <v>159600</v>
      </c>
      <c r="AB57" s="141">
        <v>61</v>
      </c>
    </row>
    <row r="58" spans="2:28" s="144" customFormat="1" ht="39.950000000000003" customHeight="1">
      <c r="B58" s="153"/>
      <c r="C58" s="154"/>
      <c r="D58" s="147"/>
      <c r="E58" s="141"/>
      <c r="F58" s="153"/>
      <c r="G58" s="154"/>
      <c r="H58" s="141"/>
      <c r="I58" s="141"/>
      <c r="J58" s="153"/>
      <c r="K58" s="154"/>
      <c r="L58" s="147"/>
      <c r="M58" s="141"/>
      <c r="N58" s="153"/>
      <c r="O58" s="154"/>
      <c r="P58" s="141"/>
      <c r="Q58" s="141"/>
      <c r="R58" s="153"/>
      <c r="S58" s="154"/>
      <c r="T58" s="141"/>
      <c r="U58" s="141"/>
      <c r="V58" s="153"/>
      <c r="W58" s="152"/>
      <c r="X58" s="141"/>
      <c r="Y58" s="141">
        <v>66</v>
      </c>
      <c r="Z58" s="151">
        <f>Diario!I374</f>
        <v>199500</v>
      </c>
      <c r="AA58" s="157">
        <f>AA54</f>
        <v>299250</v>
      </c>
      <c r="AB58" s="141">
        <v>62</v>
      </c>
    </row>
    <row r="59" spans="2:28" s="144" customFormat="1" ht="39.950000000000003" customHeight="1">
      <c r="B59" s="153"/>
      <c r="C59" s="154"/>
      <c r="D59" s="147"/>
      <c r="E59" s="141"/>
      <c r="F59" s="153"/>
      <c r="G59" s="154"/>
      <c r="H59" s="141"/>
      <c r="I59" s="141"/>
      <c r="J59" s="153"/>
      <c r="K59" s="154"/>
      <c r="L59" s="147"/>
      <c r="M59" s="141"/>
      <c r="N59" s="153"/>
      <c r="O59" s="154"/>
      <c r="P59" s="141"/>
      <c r="Q59" s="141"/>
      <c r="R59" s="153"/>
      <c r="S59" s="154"/>
      <c r="T59" s="141"/>
      <c r="U59" s="141"/>
      <c r="V59" s="153"/>
      <c r="W59" s="152"/>
      <c r="X59" s="141"/>
      <c r="Y59" s="141">
        <v>67</v>
      </c>
      <c r="Z59" s="157">
        <f>Diario!I380</f>
        <v>66000</v>
      </c>
      <c r="AA59" s="157">
        <f>AA55</f>
        <v>66000</v>
      </c>
      <c r="AB59" s="141">
        <v>63</v>
      </c>
    </row>
    <row r="60" spans="2:28" s="144" customFormat="1" ht="39.950000000000003" customHeight="1">
      <c r="B60" s="153"/>
      <c r="C60" s="154"/>
      <c r="D60" s="147"/>
      <c r="E60" s="141"/>
      <c r="F60" s="153"/>
      <c r="G60" s="154"/>
      <c r="H60" s="141"/>
      <c r="I60" s="141"/>
      <c r="J60" s="153"/>
      <c r="K60" s="154"/>
      <c r="L60" s="147"/>
      <c r="M60" s="141"/>
      <c r="N60" s="153"/>
      <c r="O60" s="154"/>
      <c r="P60" s="141"/>
      <c r="Q60" s="141"/>
      <c r="R60" s="153"/>
      <c r="S60" s="154"/>
      <c r="T60" s="141"/>
      <c r="U60" s="141"/>
      <c r="V60" s="153"/>
      <c r="W60" s="152"/>
      <c r="X60" s="141"/>
      <c r="Y60" s="141">
        <v>68</v>
      </c>
      <c r="Z60" s="157">
        <f>Diario!I384</f>
        <v>82500</v>
      </c>
      <c r="AA60" s="157">
        <f>Diario!J365</f>
        <v>123750</v>
      </c>
      <c r="AB60" s="141">
        <v>64</v>
      </c>
    </row>
    <row r="61" spans="2:28" s="144" customFormat="1" ht="39.950000000000003" customHeight="1" thickBot="1">
      <c r="B61" s="153"/>
      <c r="C61" s="154"/>
      <c r="D61" s="147"/>
      <c r="E61" s="141"/>
      <c r="F61" s="153"/>
      <c r="G61" s="154"/>
      <c r="H61" s="141"/>
      <c r="I61" s="141"/>
      <c r="J61" s="153"/>
      <c r="K61" s="154"/>
      <c r="L61" s="147"/>
      <c r="M61" s="141"/>
      <c r="N61" s="153"/>
      <c r="O61" s="154"/>
      <c r="P61" s="141"/>
      <c r="Q61" s="141"/>
      <c r="R61" s="157"/>
      <c r="S61" s="156"/>
      <c r="T61" s="141"/>
      <c r="U61" s="141"/>
      <c r="V61" s="153"/>
      <c r="W61" s="154"/>
      <c r="X61" s="141"/>
    </row>
    <row r="62" spans="2:28" s="144" customFormat="1" ht="39.950000000000003" customHeight="1" thickBot="1">
      <c r="B62" s="153"/>
      <c r="C62" s="154"/>
      <c r="D62" s="147"/>
      <c r="E62" s="141"/>
      <c r="F62" s="153"/>
      <c r="G62" s="154"/>
      <c r="H62" s="141"/>
      <c r="I62" s="141"/>
      <c r="J62" s="169">
        <f>SUM(J45:J61)</f>
        <v>1298622.6994304035</v>
      </c>
      <c r="K62" s="169">
        <f>SUM(K45:K61)</f>
        <v>7000000</v>
      </c>
      <c r="L62" s="147"/>
      <c r="M62" s="141"/>
      <c r="N62" s="165">
        <f>SUM(N45:N61)</f>
        <v>3000000</v>
      </c>
      <c r="O62" s="165">
        <f>SUM(O45:O61)</f>
        <v>3000000</v>
      </c>
      <c r="P62" s="141"/>
      <c r="Q62" s="141"/>
      <c r="R62" s="169">
        <f>SUM(R45:R61)</f>
        <v>180000</v>
      </c>
      <c r="S62" s="170">
        <f>R62</f>
        <v>180000</v>
      </c>
      <c r="T62" s="141">
        <v>76</v>
      </c>
      <c r="U62" s="141"/>
      <c r="V62" s="163">
        <f>SUM(V45:V61)</f>
        <v>344850</v>
      </c>
      <c r="W62" s="165">
        <f>SUM(W45:W61)</f>
        <v>376200</v>
      </c>
      <c r="X62" s="141"/>
      <c r="Z62" s="169">
        <f>SUM(Z45:Z61)</f>
        <v>2453400</v>
      </c>
      <c r="AA62" s="169">
        <f>SUM(AA45:AA61)</f>
        <v>2594400</v>
      </c>
    </row>
    <row r="63" spans="2:28" s="144" customFormat="1" ht="39.950000000000003" customHeight="1" thickBot="1">
      <c r="B63" s="163">
        <f>SUM(B45:B62)</f>
        <v>4545281.7722399998</v>
      </c>
      <c r="C63" s="163">
        <f>SUM(C45:C62)</f>
        <v>1136320.44306</v>
      </c>
      <c r="D63" s="147">
        <v>77</v>
      </c>
      <c r="E63" s="141"/>
      <c r="F63" s="171">
        <f>SUM(F45:F62)</f>
        <v>25826.720679669197</v>
      </c>
      <c r="G63" s="169">
        <f>F63</f>
        <v>25826.720679669197</v>
      </c>
      <c r="H63" s="141">
        <v>76</v>
      </c>
      <c r="I63" s="141"/>
      <c r="J63" s="156"/>
      <c r="K63" s="172">
        <f>K62-J62</f>
        <v>5701377.3005695967</v>
      </c>
      <c r="L63" s="147"/>
      <c r="M63" s="141"/>
      <c r="N63" s="163">
        <f>N62-O62</f>
        <v>0</v>
      </c>
      <c r="P63" s="141"/>
      <c r="Q63" s="141"/>
      <c r="R63" s="169">
        <f>R62-S62</f>
        <v>0</v>
      </c>
      <c r="S63" s="156"/>
      <c r="T63" s="141"/>
      <c r="U63" s="141"/>
      <c r="V63" s="157"/>
      <c r="W63" s="172">
        <f>W62-V62</f>
        <v>31350</v>
      </c>
      <c r="X63" s="141"/>
      <c r="AA63" s="169">
        <f>AA62-Z62</f>
        <v>141000</v>
      </c>
    </row>
    <row r="64" spans="2:28" s="144" customFormat="1" ht="39.950000000000003" customHeight="1" thickBot="1">
      <c r="B64" s="163">
        <f>B63-C63</f>
        <v>3408961.3291799999</v>
      </c>
      <c r="C64" s="156"/>
      <c r="D64" s="147"/>
      <c r="E64" s="141"/>
      <c r="F64" s="157"/>
      <c r="G64" s="156"/>
      <c r="H64" s="141"/>
      <c r="I64" s="141"/>
      <c r="J64" s="156"/>
      <c r="K64" s="157"/>
      <c r="L64" s="147"/>
      <c r="M64" s="141"/>
      <c r="N64" s="157"/>
      <c r="P64" s="141"/>
      <c r="Q64" s="141"/>
      <c r="S64" s="156"/>
      <c r="T64" s="141"/>
      <c r="U64" s="141"/>
      <c r="V64" s="157"/>
      <c r="W64" s="156"/>
      <c r="X64" s="141"/>
    </row>
    <row r="65" spans="2:28" ht="39.950000000000003" customHeight="1">
      <c r="B65" s="157"/>
      <c r="C65" s="156"/>
      <c r="D65" s="147"/>
      <c r="F65" s="157"/>
      <c r="G65" s="156"/>
      <c r="J65" s="156"/>
      <c r="K65" s="157"/>
      <c r="L65" s="147"/>
      <c r="N65" s="157"/>
      <c r="R65" s="157"/>
      <c r="S65" s="156"/>
      <c r="V65" s="157"/>
      <c r="W65" s="156"/>
      <c r="Z65" s="156"/>
      <c r="AB65" s="144"/>
    </row>
    <row r="66" spans="2:28" ht="39.950000000000003" customHeight="1">
      <c r="B66" s="157"/>
      <c r="C66" s="156"/>
      <c r="D66" s="147"/>
      <c r="F66" s="157"/>
      <c r="G66" s="156"/>
      <c r="J66" s="156"/>
      <c r="K66" s="157"/>
      <c r="L66" s="147"/>
      <c r="N66" s="157"/>
      <c r="R66" s="157"/>
      <c r="S66" s="156"/>
      <c r="V66" s="157"/>
      <c r="W66" s="156"/>
      <c r="Z66" s="156"/>
      <c r="AB66" s="144"/>
    </row>
    <row r="67" spans="2:28" ht="39.950000000000003" customHeight="1">
      <c r="B67" s="157"/>
      <c r="C67" s="156"/>
      <c r="D67" s="147"/>
      <c r="F67" s="157"/>
      <c r="G67" s="156"/>
      <c r="J67" s="156"/>
      <c r="K67" s="157"/>
      <c r="L67" s="147"/>
      <c r="N67" s="157"/>
      <c r="R67" s="157"/>
      <c r="S67" s="156"/>
      <c r="V67" s="157"/>
      <c r="W67" s="156"/>
      <c r="Z67" s="156"/>
      <c r="AB67" s="144"/>
    </row>
    <row r="68" spans="2:28" ht="39.950000000000003" customHeight="1">
      <c r="B68" s="157"/>
      <c r="C68" s="156"/>
      <c r="D68" s="147"/>
      <c r="F68" s="157"/>
      <c r="G68" s="156"/>
      <c r="J68" s="156"/>
      <c r="K68" s="157"/>
      <c r="L68" s="147"/>
      <c r="N68" s="157"/>
      <c r="R68" s="157"/>
      <c r="S68" s="156"/>
      <c r="V68" s="157"/>
      <c r="W68" s="156"/>
      <c r="Z68" s="156"/>
      <c r="AB68" s="144"/>
    </row>
    <row r="69" spans="2:28" ht="39.950000000000003" customHeight="1">
      <c r="B69" s="157"/>
      <c r="C69" s="156"/>
      <c r="D69" s="147"/>
      <c r="F69" s="157"/>
      <c r="G69" s="156"/>
      <c r="J69" s="156"/>
      <c r="K69" s="157"/>
      <c r="L69" s="147"/>
      <c r="N69" s="157"/>
      <c r="R69" s="157"/>
      <c r="S69" s="156"/>
      <c r="V69" s="157"/>
      <c r="W69" s="156"/>
      <c r="Z69" s="156"/>
      <c r="AB69" s="144"/>
    </row>
    <row r="70" spans="2:28" ht="39.950000000000003" customHeight="1">
      <c r="B70" s="157"/>
      <c r="C70" s="156"/>
      <c r="D70" s="147"/>
      <c r="F70" s="157"/>
      <c r="G70" s="156"/>
      <c r="J70" s="156"/>
      <c r="K70" s="157"/>
      <c r="L70" s="147"/>
      <c r="N70" s="157"/>
      <c r="R70" s="157"/>
      <c r="S70" s="156"/>
      <c r="V70" s="157"/>
      <c r="W70" s="156"/>
      <c r="Z70" s="156"/>
      <c r="AB70" s="144"/>
    </row>
    <row r="71" spans="2:28" ht="39.950000000000003" customHeight="1">
      <c r="B71" s="157"/>
      <c r="C71" s="156"/>
      <c r="D71" s="147"/>
      <c r="F71" s="157"/>
      <c r="G71" s="156"/>
      <c r="J71" s="156"/>
      <c r="K71" s="157"/>
      <c r="L71" s="147"/>
      <c r="N71" s="157"/>
      <c r="R71" s="157"/>
      <c r="S71" s="156"/>
      <c r="V71" s="157"/>
      <c r="W71" s="156"/>
      <c r="Z71" s="156"/>
      <c r="AB71" s="144"/>
    </row>
    <row r="72" spans="2:28" ht="39.950000000000003" customHeight="1">
      <c r="B72" s="157"/>
      <c r="C72" s="156"/>
      <c r="D72" s="147"/>
      <c r="F72" s="157"/>
      <c r="G72" s="156"/>
      <c r="J72" s="156"/>
      <c r="K72" s="157"/>
      <c r="L72" s="147"/>
      <c r="N72" s="157"/>
      <c r="R72" s="157"/>
      <c r="S72" s="156"/>
      <c r="V72" s="157"/>
      <c r="W72" s="156"/>
      <c r="Z72" s="156"/>
      <c r="AB72" s="144"/>
    </row>
    <row r="73" spans="2:28" ht="39.950000000000003" customHeight="1">
      <c r="B73" s="157"/>
      <c r="C73" s="156"/>
      <c r="D73" s="147"/>
      <c r="F73" s="157"/>
      <c r="G73" s="156"/>
      <c r="J73" s="156"/>
      <c r="K73" s="157"/>
      <c r="L73" s="147"/>
      <c r="N73" s="157"/>
      <c r="R73" s="157"/>
      <c r="S73" s="156"/>
      <c r="V73" s="157"/>
      <c r="W73" s="156"/>
      <c r="Z73" s="156"/>
      <c r="AB73" s="144"/>
    </row>
    <row r="74" spans="2:28" ht="39.950000000000003" customHeight="1">
      <c r="B74" s="157"/>
      <c r="C74" s="156"/>
      <c r="D74" s="147"/>
      <c r="F74" s="157"/>
      <c r="G74" s="156"/>
      <c r="J74" s="156"/>
      <c r="K74" s="157"/>
      <c r="L74" s="147"/>
      <c r="N74" s="157"/>
      <c r="R74" s="157"/>
      <c r="S74" s="156"/>
      <c r="V74" s="157"/>
      <c r="W74" s="156"/>
      <c r="Z74" s="156"/>
      <c r="AB74" s="144"/>
    </row>
    <row r="75" spans="2:28" ht="39.950000000000003" customHeight="1">
      <c r="B75" s="157"/>
      <c r="C75" s="156"/>
      <c r="D75" s="147"/>
      <c r="F75" s="157"/>
      <c r="G75" s="156"/>
      <c r="J75" s="156"/>
      <c r="K75" s="157"/>
      <c r="L75" s="147"/>
      <c r="N75" s="157"/>
      <c r="R75" s="157"/>
      <c r="S75" s="156"/>
      <c r="V75" s="157"/>
      <c r="W75" s="156"/>
      <c r="Z75" s="156"/>
      <c r="AB75" s="144"/>
    </row>
    <row r="76" spans="2:28" ht="39.950000000000003" customHeight="1">
      <c r="B76" s="157"/>
      <c r="C76" s="156"/>
      <c r="D76" s="147"/>
      <c r="F76" s="157"/>
      <c r="G76" s="156"/>
      <c r="J76" s="156"/>
      <c r="K76" s="157"/>
      <c r="L76" s="147"/>
      <c r="N76" s="157"/>
      <c r="R76" s="157"/>
      <c r="S76" s="156"/>
      <c r="V76" s="157"/>
      <c r="W76" s="156"/>
      <c r="Z76" s="156"/>
      <c r="AA76" s="157"/>
    </row>
    <row r="77" spans="2:28" ht="39.950000000000003" customHeight="1">
      <c r="B77" s="157"/>
      <c r="C77" s="156"/>
      <c r="D77" s="147"/>
      <c r="F77" s="157"/>
      <c r="G77" s="156"/>
      <c r="J77" s="156"/>
      <c r="K77" s="157"/>
      <c r="L77" s="147"/>
      <c r="N77" s="157"/>
      <c r="R77" s="157"/>
      <c r="S77" s="156"/>
      <c r="V77" s="157"/>
      <c r="W77" s="156"/>
      <c r="Z77" s="156"/>
      <c r="AA77" s="157"/>
    </row>
    <row r="78" spans="2:28" ht="39.950000000000003" customHeight="1">
      <c r="R78" s="156"/>
      <c r="S78" s="156"/>
      <c r="V78" s="156"/>
      <c r="W78" s="156"/>
      <c r="Z78" s="156"/>
      <c r="AA78" s="156"/>
    </row>
    <row r="79" spans="2:28" ht="39.950000000000003" customHeight="1">
      <c r="R79" s="156"/>
      <c r="S79" s="156"/>
      <c r="V79" s="156"/>
      <c r="W79" s="156"/>
      <c r="Z79" s="156"/>
      <c r="AA79" s="156"/>
    </row>
    <row r="80" spans="2:28" ht="39.950000000000003" customHeight="1">
      <c r="R80" s="156"/>
      <c r="S80" s="156"/>
      <c r="V80" s="156"/>
      <c r="W80" s="156"/>
      <c r="Z80" s="156"/>
      <c r="AA80" s="156"/>
    </row>
    <row r="81" spans="1:28" ht="39.950000000000003" customHeight="1" thickBot="1">
      <c r="B81" s="632" t="str">
        <f>Diario!H44</f>
        <v>2442301- Iva Dedutivel</v>
      </c>
      <c r="C81" s="632"/>
      <c r="D81" s="143"/>
      <c r="F81" s="632" t="str">
        <f>Diario!H27</f>
        <v xml:space="preserve">434001 - Eq.Transporte </v>
      </c>
      <c r="G81" s="632"/>
      <c r="H81" s="173"/>
      <c r="I81" s="173"/>
      <c r="J81" s="635" t="str">
        <f>Diario!H31</f>
        <v>435001 - Eq.Administrativo</v>
      </c>
      <c r="K81" s="632"/>
      <c r="L81" s="143"/>
      <c r="M81" s="173"/>
      <c r="N81" s="632" t="str">
        <f>Diario!H12</f>
        <v>6888001-Outros Gastos</v>
      </c>
      <c r="O81" s="632"/>
      <c r="R81" s="633" t="str">
        <f>Diario!H97</f>
        <v>6219001- Lipenza, Higiene e Conforto</v>
      </c>
      <c r="S81" s="633"/>
      <c r="V81" s="636" t="str">
        <f>Diario!H100</f>
        <v>62138- Botijão de Gas</v>
      </c>
      <c r="W81" s="633"/>
      <c r="Z81" s="636" t="str">
        <f>Diario!H158</f>
        <v xml:space="preserve">691101-Juros Suportado F. Obitidos </v>
      </c>
      <c r="AA81" s="633"/>
    </row>
    <row r="82" spans="1:28" ht="39.950000000000003" customHeight="1" thickTop="1">
      <c r="A82" s="141">
        <v>11</v>
      </c>
      <c r="B82" s="145">
        <f>Diario!I44</f>
        <v>652.17391304347825</v>
      </c>
      <c r="C82" s="146"/>
      <c r="D82" s="150"/>
      <c r="E82" s="141">
        <v>7</v>
      </c>
      <c r="F82" s="145">
        <f>Diario!I27</f>
        <v>1500000</v>
      </c>
      <c r="G82" s="145">
        <f>F82*0.125</f>
        <v>187500</v>
      </c>
      <c r="I82" s="141">
        <v>8</v>
      </c>
      <c r="J82" s="145">
        <f>Diario!I31</f>
        <v>193650</v>
      </c>
      <c r="K82" s="145">
        <f>J82*0.25</f>
        <v>48412.5</v>
      </c>
      <c r="L82" s="147"/>
      <c r="M82" s="141">
        <v>3</v>
      </c>
      <c r="N82" s="145">
        <f>Diario!I12</f>
        <v>10600</v>
      </c>
      <c r="O82" s="168"/>
      <c r="Q82" s="141">
        <v>21</v>
      </c>
      <c r="R82" s="145">
        <f>Diario!I97</f>
        <v>45000</v>
      </c>
      <c r="S82" s="168"/>
      <c r="U82" s="141">
        <v>21</v>
      </c>
      <c r="V82" s="145">
        <f>Diario!I100</f>
        <v>35175</v>
      </c>
      <c r="W82" s="168"/>
      <c r="Y82" s="141" t="s">
        <v>183</v>
      </c>
      <c r="Z82" s="145">
        <f>Diario!I158</f>
        <v>150210.55753929165</v>
      </c>
      <c r="AA82" s="168"/>
    </row>
    <row r="83" spans="1:28" ht="39.950000000000003" customHeight="1">
      <c r="A83" s="141">
        <v>13</v>
      </c>
      <c r="B83" s="151">
        <f>Diario!I53</f>
        <v>652.17391304347825</v>
      </c>
      <c r="C83" s="152"/>
      <c r="D83" s="150"/>
      <c r="F83" s="151"/>
      <c r="G83" s="154"/>
      <c r="J83" s="151"/>
      <c r="K83" s="154"/>
      <c r="L83" s="147"/>
      <c r="N83" s="153"/>
      <c r="O83" s="154"/>
      <c r="Q83" s="141">
        <v>33</v>
      </c>
      <c r="R83" s="151">
        <f>Diario!I180</f>
        <v>45000</v>
      </c>
      <c r="S83" s="154"/>
      <c r="U83" s="141">
        <v>33</v>
      </c>
      <c r="V83" s="151">
        <f>Diario!I183</f>
        <v>35175</v>
      </c>
      <c r="W83" s="154"/>
      <c r="Y83" s="141">
        <v>55</v>
      </c>
      <c r="Z83" s="151">
        <f>Diario!I305</f>
        <v>137689.65892167584</v>
      </c>
      <c r="AA83" s="154"/>
    </row>
    <row r="84" spans="1:28" ht="39.950000000000003" customHeight="1">
      <c r="A84" s="141">
        <v>14</v>
      </c>
      <c r="B84" s="151">
        <f>Diario!I58</f>
        <v>2608.695652173913</v>
      </c>
      <c r="C84" s="152"/>
      <c r="D84" s="150"/>
      <c r="F84" s="153"/>
      <c r="G84" s="154"/>
      <c r="J84" s="153"/>
      <c r="K84" s="154"/>
      <c r="L84" s="147"/>
      <c r="N84" s="153"/>
      <c r="O84" s="154"/>
      <c r="Q84" s="141">
        <v>45</v>
      </c>
      <c r="R84" s="151">
        <f>Diario!I252</f>
        <v>45000</v>
      </c>
      <c r="S84" s="154"/>
      <c r="U84" s="141">
        <v>45</v>
      </c>
      <c r="V84" s="151">
        <f>Diario!I255</f>
        <v>35175</v>
      </c>
      <c r="W84" s="154"/>
      <c r="Y84" s="141">
        <v>69</v>
      </c>
      <c r="Z84" s="151">
        <f>Diario!I389</f>
        <v>131222.73502642024</v>
      </c>
      <c r="AA84" s="154"/>
    </row>
    <row r="85" spans="1:28" ht="39.950000000000003" customHeight="1">
      <c r="A85" s="141">
        <v>18</v>
      </c>
      <c r="B85" s="151">
        <f>Diario!I76</f>
        <v>1041315.6521739131</v>
      </c>
      <c r="C85" s="154"/>
      <c r="D85" s="150"/>
      <c r="F85" s="153"/>
      <c r="G85" s="154"/>
      <c r="J85" s="153"/>
      <c r="K85" s="154"/>
      <c r="L85" s="147"/>
      <c r="N85" s="153"/>
      <c r="O85" s="154"/>
      <c r="Q85" s="141">
        <v>59</v>
      </c>
      <c r="R85" s="151">
        <f>Diario!I336</f>
        <v>45000</v>
      </c>
      <c r="S85" s="154"/>
      <c r="U85" s="141">
        <v>59</v>
      </c>
      <c r="V85" s="151">
        <f>Diario!I339</f>
        <v>35175</v>
      </c>
      <c r="W85" s="154"/>
      <c r="Z85" s="153"/>
      <c r="AA85" s="154"/>
    </row>
    <row r="86" spans="1:28" ht="39.950000000000003" customHeight="1">
      <c r="A86" s="141" t="s">
        <v>184</v>
      </c>
      <c r="B86" s="151">
        <f>Diario!I164</f>
        <v>948565.56521739135</v>
      </c>
      <c r="C86" s="154"/>
      <c r="D86" s="147"/>
      <c r="F86" s="153"/>
      <c r="G86" s="154"/>
      <c r="J86" s="153"/>
      <c r="K86" s="154"/>
      <c r="L86" s="147"/>
      <c r="N86" s="153"/>
      <c r="O86" s="154"/>
      <c r="R86" s="153"/>
      <c r="S86" s="154"/>
      <c r="V86" s="153"/>
      <c r="W86" s="154"/>
      <c r="Z86" s="153"/>
      <c r="AA86" s="154"/>
    </row>
    <row r="87" spans="1:28" ht="39.950000000000003" customHeight="1">
      <c r="A87" s="141" t="s">
        <v>187</v>
      </c>
      <c r="B87" s="151">
        <f>Diario!I236</f>
        <v>948565.56521739135</v>
      </c>
      <c r="C87" s="154"/>
      <c r="D87" s="147"/>
      <c r="F87" s="153"/>
      <c r="G87" s="154"/>
      <c r="J87" s="153"/>
      <c r="K87" s="154"/>
      <c r="L87" s="147"/>
      <c r="N87" s="153"/>
      <c r="O87" s="154"/>
      <c r="R87" s="153"/>
      <c r="S87" s="154"/>
      <c r="V87" s="153"/>
      <c r="W87" s="154"/>
      <c r="Z87" s="153"/>
      <c r="AA87" s="154"/>
    </row>
    <row r="88" spans="1:28" ht="39.950000000000003" customHeight="1" thickBot="1">
      <c r="A88" s="141">
        <v>56</v>
      </c>
      <c r="B88" s="151">
        <f>Diario!I319</f>
        <v>949504.69565217383</v>
      </c>
      <c r="C88" s="154"/>
      <c r="D88" s="147"/>
      <c r="F88" s="153"/>
      <c r="G88" s="154"/>
      <c r="J88" s="153"/>
      <c r="K88" s="154"/>
      <c r="L88" s="147"/>
      <c r="N88" s="156"/>
      <c r="O88" s="156"/>
      <c r="R88" s="153"/>
      <c r="S88" s="154"/>
      <c r="V88" s="153"/>
      <c r="W88" s="154"/>
      <c r="Z88" s="153"/>
      <c r="AA88" s="154"/>
    </row>
    <row r="89" spans="1:28" ht="39.950000000000003" customHeight="1" thickBot="1">
      <c r="B89" s="171">
        <f>SUM(B82:B88)</f>
        <v>3891864.5217391308</v>
      </c>
      <c r="C89" s="163">
        <f>B89</f>
        <v>3891864.5217391308</v>
      </c>
      <c r="D89" s="147">
        <v>70</v>
      </c>
      <c r="F89" s="153"/>
      <c r="G89" s="154"/>
      <c r="J89" s="153"/>
      <c r="K89" s="154"/>
      <c r="L89" s="147"/>
      <c r="N89" s="156"/>
      <c r="O89" s="156"/>
      <c r="R89" s="153"/>
      <c r="S89" s="154"/>
      <c r="V89" s="153"/>
      <c r="W89" s="154"/>
      <c r="Z89" s="153"/>
      <c r="AA89" s="154"/>
    </row>
    <row r="90" spans="1:28" ht="39.950000000000003" customHeight="1" thickBot="1">
      <c r="B90" s="156"/>
      <c r="C90" s="163"/>
      <c r="D90" s="147"/>
      <c r="F90" s="174">
        <f>SUM(F82:F89)</f>
        <v>1500000</v>
      </c>
      <c r="G90" s="175">
        <f>SUM(G82:G89)</f>
        <v>187500</v>
      </c>
      <c r="H90" s="141">
        <v>77</v>
      </c>
      <c r="J90" s="174">
        <f>SUM(J82:J89)</f>
        <v>193650</v>
      </c>
      <c r="K90" s="169">
        <f>SUM(K82:K89)</f>
        <v>48412.5</v>
      </c>
      <c r="L90" s="147">
        <v>77</v>
      </c>
      <c r="N90" s="169">
        <f>SUM(N82:N88)</f>
        <v>10600</v>
      </c>
      <c r="O90" s="169">
        <f>N90</f>
        <v>10600</v>
      </c>
      <c r="P90" s="141">
        <v>76</v>
      </c>
      <c r="R90" s="169">
        <f>SUM(R82:R89)</f>
        <v>180000</v>
      </c>
      <c r="S90" s="169">
        <f>R90</f>
        <v>180000</v>
      </c>
      <c r="T90" s="141">
        <v>76</v>
      </c>
      <c r="V90" s="169">
        <f>SUM(V82:V89)</f>
        <v>140700</v>
      </c>
      <c r="W90" s="169">
        <f>V90</f>
        <v>140700</v>
      </c>
      <c r="X90" s="141">
        <v>76</v>
      </c>
      <c r="Z90" s="169">
        <f>SUM(Z82:Z89)</f>
        <v>419122.95148738776</v>
      </c>
      <c r="AA90" s="169">
        <f>Z90</f>
        <v>419122.95148738776</v>
      </c>
      <c r="AB90" s="141">
        <v>76</v>
      </c>
    </row>
    <row r="91" spans="1:28" ht="39.950000000000003" customHeight="1">
      <c r="B91" s="156"/>
      <c r="C91" s="157"/>
      <c r="D91" s="147"/>
      <c r="F91" s="169">
        <f>F90-G90</f>
        <v>1312500</v>
      </c>
      <c r="G91" s="156"/>
      <c r="J91" s="169">
        <f>J90-K90</f>
        <v>145237.5</v>
      </c>
      <c r="K91" s="156"/>
      <c r="L91" s="147"/>
      <c r="N91" s="157"/>
      <c r="O91" s="157"/>
      <c r="R91" s="157"/>
      <c r="S91" s="157"/>
      <c r="V91" s="157"/>
      <c r="W91" s="157"/>
      <c r="Z91" s="157"/>
      <c r="AA91" s="157"/>
    </row>
    <row r="92" spans="1:28" ht="39.950000000000003" customHeight="1">
      <c r="B92" s="156"/>
      <c r="C92" s="157"/>
      <c r="D92" s="147"/>
      <c r="F92" s="157"/>
      <c r="G92" s="156"/>
      <c r="J92" s="157"/>
      <c r="K92" s="156"/>
      <c r="L92" s="147"/>
      <c r="N92" s="156"/>
      <c r="O92" s="156"/>
    </row>
    <row r="93" spans="1:28" ht="39.950000000000003" customHeight="1" thickBot="1">
      <c r="B93" s="633" t="str">
        <f>Diario!H66</f>
        <v>6224001-Comuniçao</v>
      </c>
      <c r="C93" s="633"/>
      <c r="D93" s="147"/>
      <c r="F93" s="633" t="str">
        <f>Diario!H39</f>
        <v>2622001-Credores por Acrescimo de Gasto</v>
      </c>
      <c r="G93" s="633"/>
      <c r="J93" s="633" t="str">
        <f>Diario!H43</f>
        <v>6218001-Livros e Doc. Tecnicas</v>
      </c>
      <c r="K93" s="633"/>
      <c r="L93" s="147"/>
      <c r="N93" s="636" t="str">
        <f>Diario!H48</f>
        <v>6221001-Rendas e Aluguer</v>
      </c>
      <c r="O93" s="633"/>
      <c r="R93" s="633" t="str">
        <f>Diario!H70</f>
        <v>6211001- Agua</v>
      </c>
      <c r="S93" s="633"/>
      <c r="V93" s="636" t="str">
        <f>Diario!H99</f>
        <v>6227001-Segurança</v>
      </c>
      <c r="W93" s="633"/>
      <c r="Z93" s="636" t="str">
        <f>Diario!H115</f>
        <v>635001-Encargos sobre remunerações</v>
      </c>
      <c r="AA93" s="633"/>
    </row>
    <row r="94" spans="1:28" ht="39.950000000000003" customHeight="1" thickTop="1">
      <c r="A94" s="141">
        <v>16</v>
      </c>
      <c r="B94" s="145">
        <f>Diario!I66</f>
        <v>4600</v>
      </c>
      <c r="C94" s="168"/>
      <c r="D94" s="147"/>
      <c r="E94" s="141">
        <v>10</v>
      </c>
      <c r="F94" s="145">
        <f>G8</f>
        <v>180000</v>
      </c>
      <c r="G94" s="146">
        <f>R45</f>
        <v>45000</v>
      </c>
      <c r="H94" s="141">
        <v>22</v>
      </c>
      <c r="I94" s="141">
        <v>11</v>
      </c>
      <c r="J94" s="145">
        <f>Diario!I43</f>
        <v>4347.826086956522</v>
      </c>
      <c r="K94" s="168"/>
      <c r="L94" s="147"/>
      <c r="M94" s="141">
        <v>12</v>
      </c>
      <c r="N94" s="145">
        <f>Diario!I48</f>
        <v>50000</v>
      </c>
      <c r="O94" s="168"/>
      <c r="Q94" s="141">
        <v>17</v>
      </c>
      <c r="R94" s="145">
        <f>Diario!I70</f>
        <v>250</v>
      </c>
      <c r="S94" s="168"/>
      <c r="U94" s="141">
        <v>21</v>
      </c>
      <c r="V94" s="145">
        <f>Diario!I99</f>
        <v>54000</v>
      </c>
      <c r="W94" s="168"/>
      <c r="Y94" s="141">
        <v>24</v>
      </c>
      <c r="Z94" s="145">
        <f>Diario!I115</f>
        <v>299250</v>
      </c>
      <c r="AA94" s="168"/>
    </row>
    <row r="95" spans="1:28" ht="39.950000000000003" customHeight="1">
      <c r="A95" s="141">
        <v>21</v>
      </c>
      <c r="B95" s="151">
        <f>Diario!I96</f>
        <v>15000</v>
      </c>
      <c r="C95" s="154"/>
      <c r="D95" s="147"/>
      <c r="F95" s="153"/>
      <c r="G95" s="152">
        <f>Diario!J189</f>
        <v>45000</v>
      </c>
      <c r="H95" s="141">
        <v>34</v>
      </c>
      <c r="J95" s="153"/>
      <c r="K95" s="154"/>
      <c r="L95" s="147"/>
      <c r="M95" s="141">
        <v>21</v>
      </c>
      <c r="N95" s="151">
        <f>Diario!I98</f>
        <v>100000</v>
      </c>
      <c r="O95" s="154"/>
      <c r="Q95" s="141">
        <v>21</v>
      </c>
      <c r="R95" s="151">
        <f>Diario!I94</f>
        <v>45000</v>
      </c>
      <c r="S95" s="154"/>
      <c r="U95" s="141">
        <v>33</v>
      </c>
      <c r="V95" s="151">
        <f>Diario!I182</f>
        <v>54000</v>
      </c>
      <c r="W95" s="154"/>
      <c r="Y95" s="141">
        <v>26</v>
      </c>
      <c r="Z95" s="151">
        <f>Diario!I125</f>
        <v>123750</v>
      </c>
      <c r="AA95" s="154"/>
    </row>
    <row r="96" spans="1:28" ht="39.950000000000003" customHeight="1">
      <c r="A96" s="141">
        <v>33</v>
      </c>
      <c r="B96" s="151">
        <f>Diario!I179</f>
        <v>9000</v>
      </c>
      <c r="C96" s="154"/>
      <c r="D96" s="147"/>
      <c r="F96" s="153"/>
      <c r="G96" s="152">
        <f>Diario!J261</f>
        <v>45000</v>
      </c>
      <c r="H96" s="141">
        <v>46</v>
      </c>
      <c r="J96" s="153"/>
      <c r="K96" s="154"/>
      <c r="L96" s="147"/>
      <c r="M96" s="141">
        <v>33</v>
      </c>
      <c r="N96" s="151">
        <f>Diario!I181</f>
        <v>150000</v>
      </c>
      <c r="O96" s="154"/>
      <c r="Q96" s="141">
        <v>33</v>
      </c>
      <c r="R96" s="151">
        <f>Diario!I177</f>
        <v>30000</v>
      </c>
      <c r="S96" s="154"/>
      <c r="U96" s="141">
        <v>45</v>
      </c>
      <c r="V96" s="151">
        <f>Diario!I254</f>
        <v>54000</v>
      </c>
      <c r="W96" s="154"/>
      <c r="Y96" s="141">
        <v>36</v>
      </c>
      <c r="Z96" s="151">
        <f>Diario!I198</f>
        <v>299250</v>
      </c>
      <c r="AA96" s="154"/>
    </row>
    <row r="97" spans="1:28" ht="39.950000000000003" customHeight="1">
      <c r="A97" s="141">
        <v>45</v>
      </c>
      <c r="B97" s="151">
        <f>Diario!I251</f>
        <v>15000</v>
      </c>
      <c r="C97" s="154"/>
      <c r="D97" s="147"/>
      <c r="F97" s="153"/>
      <c r="G97" s="152">
        <f>Diario!J345</f>
        <v>45000</v>
      </c>
      <c r="H97" s="141">
        <v>60</v>
      </c>
      <c r="J97" s="153"/>
      <c r="K97" s="154"/>
      <c r="L97" s="147"/>
      <c r="M97" s="141">
        <v>45</v>
      </c>
      <c r="N97" s="151">
        <f>Diario!I253</f>
        <v>150000</v>
      </c>
      <c r="O97" s="154"/>
      <c r="Q97" s="141">
        <v>45</v>
      </c>
      <c r="R97" s="151">
        <f>Diario!I249</f>
        <v>45000</v>
      </c>
      <c r="S97" s="154"/>
      <c r="U97" s="141">
        <v>59</v>
      </c>
      <c r="V97" s="151">
        <f>Diario!I338</f>
        <v>54000</v>
      </c>
      <c r="W97" s="154"/>
      <c r="Y97" s="141">
        <v>38</v>
      </c>
      <c r="Z97" s="151">
        <f>Diario!I208</f>
        <v>123750</v>
      </c>
      <c r="AA97" s="154"/>
    </row>
    <row r="98" spans="1:28" ht="39.950000000000003" customHeight="1">
      <c r="A98" s="141">
        <v>59</v>
      </c>
      <c r="B98" s="151">
        <f>Diario!I335</f>
        <v>9000</v>
      </c>
      <c r="C98" s="154"/>
      <c r="D98" s="147"/>
      <c r="F98" s="153"/>
      <c r="G98" s="154"/>
      <c r="J98" s="153"/>
      <c r="K98" s="154"/>
      <c r="L98" s="147"/>
      <c r="M98" s="141">
        <v>59</v>
      </c>
      <c r="N98" s="151">
        <f>Diario!I337</f>
        <v>150000</v>
      </c>
      <c r="O98" s="154"/>
      <c r="Q98" s="141">
        <v>59</v>
      </c>
      <c r="R98" s="151">
        <f>Diario!I333</f>
        <v>30000</v>
      </c>
      <c r="S98" s="154"/>
      <c r="V98" s="153"/>
      <c r="W98" s="154"/>
      <c r="Y98" s="141">
        <v>48</v>
      </c>
      <c r="Z98" s="151">
        <f>Z94</f>
        <v>299250</v>
      </c>
      <c r="AA98" s="154"/>
    </row>
    <row r="99" spans="1:28" ht="39.950000000000003" customHeight="1">
      <c r="B99" s="153"/>
      <c r="C99" s="154"/>
      <c r="D99" s="147"/>
      <c r="F99" s="153"/>
      <c r="G99" s="154"/>
      <c r="J99" s="153"/>
      <c r="K99" s="154"/>
      <c r="L99" s="147"/>
      <c r="N99" s="153"/>
      <c r="O99" s="154"/>
      <c r="R99" s="153"/>
      <c r="S99" s="154"/>
      <c r="V99" s="153"/>
      <c r="W99" s="154"/>
      <c r="Y99" s="141">
        <v>50</v>
      </c>
      <c r="Z99" s="151">
        <f>Z97</f>
        <v>123750</v>
      </c>
      <c r="AA99" s="154"/>
    </row>
    <row r="100" spans="1:28" ht="39.950000000000003" customHeight="1">
      <c r="B100" s="176"/>
      <c r="D100" s="147"/>
      <c r="F100" s="153"/>
      <c r="G100" s="154"/>
      <c r="J100" s="153"/>
      <c r="K100" s="154"/>
      <c r="L100" s="147"/>
      <c r="N100" s="153"/>
      <c r="O100" s="154"/>
      <c r="R100" s="153"/>
      <c r="S100" s="154"/>
      <c r="V100" s="153"/>
      <c r="W100" s="154"/>
      <c r="Y100" s="141">
        <v>62</v>
      </c>
      <c r="Z100" s="151">
        <f>Z98</f>
        <v>299250</v>
      </c>
      <c r="AA100" s="154"/>
    </row>
    <row r="101" spans="1:28" ht="39.950000000000003" customHeight="1" thickBot="1">
      <c r="A101" s="147"/>
      <c r="B101" s="176"/>
      <c r="C101" s="156"/>
      <c r="D101" s="147"/>
      <c r="F101" s="153"/>
      <c r="G101" s="154"/>
      <c r="J101" s="153"/>
      <c r="K101" s="154"/>
      <c r="L101" s="147"/>
      <c r="N101" s="153"/>
      <c r="O101" s="154"/>
      <c r="R101" s="153"/>
      <c r="S101" s="154"/>
      <c r="V101" s="153"/>
      <c r="W101" s="154"/>
      <c r="Y101" s="141">
        <v>64</v>
      </c>
      <c r="Z101" s="151">
        <f>Diario!I364</f>
        <v>123750</v>
      </c>
      <c r="AA101" s="154"/>
    </row>
    <row r="102" spans="1:28" ht="39.950000000000003" customHeight="1" thickBot="1">
      <c r="A102" s="147"/>
      <c r="B102" s="163">
        <f>SUM(B94:B101)</f>
        <v>52600</v>
      </c>
      <c r="C102" s="177">
        <f>B102</f>
        <v>52600</v>
      </c>
      <c r="D102" s="147">
        <v>76</v>
      </c>
      <c r="F102" s="169">
        <f>SUM(F94:F101)</f>
        <v>180000</v>
      </c>
      <c r="G102" s="169">
        <f>SUM(G94:G101)</f>
        <v>180000</v>
      </c>
      <c r="J102" s="169">
        <f>SUM(J94:J101)</f>
        <v>4347.826086956522</v>
      </c>
      <c r="K102" s="169">
        <f>J102</f>
        <v>4347.826086956522</v>
      </c>
      <c r="L102" s="147">
        <v>76</v>
      </c>
      <c r="N102" s="169">
        <f>SUM(N94:N101)</f>
        <v>600000</v>
      </c>
      <c r="O102" s="169">
        <f>N102</f>
        <v>600000</v>
      </c>
      <c r="P102" s="141">
        <v>76</v>
      </c>
      <c r="R102" s="169">
        <f>SUM(R94:R101)</f>
        <v>150250</v>
      </c>
      <c r="S102" s="169">
        <f>R102</f>
        <v>150250</v>
      </c>
      <c r="T102" s="141">
        <v>76</v>
      </c>
      <c r="V102" s="169">
        <f>SUM(V94:V101)</f>
        <v>216000</v>
      </c>
      <c r="W102" s="169">
        <f>V102</f>
        <v>216000</v>
      </c>
      <c r="X102" s="141">
        <v>76</v>
      </c>
      <c r="Z102" s="169">
        <f>SUM(Z94:Z101)</f>
        <v>1692000</v>
      </c>
      <c r="AA102" s="169">
        <f>Z102</f>
        <v>1692000</v>
      </c>
      <c r="AB102" s="141">
        <v>76</v>
      </c>
    </row>
    <row r="103" spans="1:28" ht="39.950000000000003" customHeight="1">
      <c r="A103" s="147"/>
      <c r="B103" s="157"/>
      <c r="C103" s="157"/>
      <c r="G103" s="169">
        <f>F102-G102</f>
        <v>0</v>
      </c>
    </row>
    <row r="104" spans="1:28" ht="39.950000000000003" customHeight="1">
      <c r="A104" s="147"/>
      <c r="B104" s="157"/>
      <c r="C104" s="157"/>
      <c r="F104" s="157"/>
    </row>
    <row r="106" spans="1:28" ht="39.950000000000003" customHeight="1" thickBot="1">
      <c r="B106" s="632" t="str">
        <f>Diario!H52</f>
        <v>6217001-Publicidade e Propagandas</v>
      </c>
      <c r="C106" s="632"/>
      <c r="D106" s="143"/>
      <c r="E106" s="173"/>
      <c r="F106" s="632" t="str">
        <f>Diario!H57</f>
        <v>62138001- Outros Combustiveis</v>
      </c>
      <c r="G106" s="632"/>
      <c r="J106" s="633" t="str">
        <f>Diario!H62</f>
        <v>6298001- Outros forn. e serviços</v>
      </c>
      <c r="K106" s="633"/>
      <c r="L106" s="147"/>
      <c r="N106" s="633" t="str">
        <f>Diario!H75</f>
        <v>3611001-Compra de Materias pri. e Subsidiária</v>
      </c>
      <c r="O106" s="633"/>
      <c r="R106" s="633" t="str">
        <f>Diario!H71</f>
        <v>6212001- Electricidade</v>
      </c>
      <c r="S106" s="633"/>
      <c r="V106" s="636" t="str">
        <f>Diario!H119</f>
        <v>631001- Remunerações dos Orgão Sociais</v>
      </c>
      <c r="W106" s="633"/>
      <c r="Z106" s="636" t="str">
        <f>Diario!H120</f>
        <v>271101- Remunerações a Pagar Orgão Sociais</v>
      </c>
      <c r="AA106" s="633"/>
    </row>
    <row r="107" spans="1:28" ht="39.950000000000003" customHeight="1" thickTop="1">
      <c r="A107" s="141">
        <v>13</v>
      </c>
      <c r="B107" s="145">
        <f>Diario!I52</f>
        <v>4347.826086956522</v>
      </c>
      <c r="C107" s="168"/>
      <c r="D107" s="147"/>
      <c r="E107" s="141">
        <v>14</v>
      </c>
      <c r="F107" s="145">
        <f>Diario!I57</f>
        <v>17391.304347826088</v>
      </c>
      <c r="I107" s="141">
        <v>15</v>
      </c>
      <c r="J107" s="145">
        <f>Diario!I62</f>
        <v>8250</v>
      </c>
      <c r="K107" s="168"/>
      <c r="L107" s="147"/>
      <c r="M107" s="141">
        <v>18</v>
      </c>
      <c r="N107" s="145">
        <f>Diario!I75</f>
        <v>6942104.3478260878</v>
      </c>
      <c r="O107" s="146">
        <f>DRE!C53</f>
        <v>3166284</v>
      </c>
      <c r="Q107" s="141">
        <v>17</v>
      </c>
      <c r="R107" s="145">
        <f>Diario!I71</f>
        <v>250</v>
      </c>
      <c r="S107" s="168"/>
      <c r="U107" s="141">
        <v>25</v>
      </c>
      <c r="V107" s="145">
        <f>Diario!I119</f>
        <v>961050</v>
      </c>
      <c r="W107" s="168"/>
      <c r="Y107" s="141">
        <v>29</v>
      </c>
      <c r="Z107" s="145">
        <f>AA107</f>
        <v>825000</v>
      </c>
      <c r="AA107" s="146">
        <f>Diario!J120</f>
        <v>825000</v>
      </c>
      <c r="AB107" s="141">
        <v>25</v>
      </c>
    </row>
    <row r="108" spans="1:28" ht="39.950000000000003" customHeight="1">
      <c r="B108" s="153"/>
      <c r="C108" s="154"/>
      <c r="D108" s="147"/>
      <c r="F108" s="153"/>
      <c r="G108" s="154"/>
      <c r="I108" s="141">
        <v>21</v>
      </c>
      <c r="J108" s="151">
        <f>Diario!I101</f>
        <v>24750</v>
      </c>
      <c r="K108" s="154"/>
      <c r="L108" s="147"/>
      <c r="M108" s="141" t="s">
        <v>184</v>
      </c>
      <c r="N108" s="151">
        <f>Diario!I163</f>
        <v>6323770.4347826093</v>
      </c>
      <c r="O108" s="154"/>
      <c r="Q108" s="141">
        <v>21</v>
      </c>
      <c r="R108" s="151">
        <f>Diario!I95</f>
        <v>90000</v>
      </c>
      <c r="S108" s="154"/>
      <c r="U108" s="141">
        <v>37</v>
      </c>
      <c r="V108" s="151">
        <f>Diario!I202</f>
        <v>961050</v>
      </c>
      <c r="W108" s="154"/>
      <c r="Y108" s="141">
        <v>41</v>
      </c>
      <c r="Z108" s="151">
        <f>Diario!I222</f>
        <v>825000</v>
      </c>
      <c r="AA108" s="152">
        <f>Diario!J203</f>
        <v>825000</v>
      </c>
      <c r="AB108" s="141">
        <v>37</v>
      </c>
    </row>
    <row r="109" spans="1:28" ht="39.950000000000003" customHeight="1">
      <c r="B109" s="153"/>
      <c r="C109" s="154"/>
      <c r="D109" s="147"/>
      <c r="F109" s="153"/>
      <c r="G109" s="154"/>
      <c r="I109" s="141" t="s">
        <v>187</v>
      </c>
      <c r="J109" s="151">
        <f>Diario!I184</f>
        <v>22125</v>
      </c>
      <c r="K109" s="154"/>
      <c r="L109" s="147"/>
      <c r="M109" s="141" t="s">
        <v>188</v>
      </c>
      <c r="N109" s="151">
        <f>Diario!I235</f>
        <v>6323770.4347826093</v>
      </c>
      <c r="O109" s="154"/>
      <c r="Q109" s="141">
        <v>33</v>
      </c>
      <c r="R109" s="151">
        <f>Diario!I178</f>
        <v>75000</v>
      </c>
      <c r="S109" s="154"/>
      <c r="U109" s="141">
        <v>49</v>
      </c>
      <c r="V109" s="151">
        <f>V107</f>
        <v>961050</v>
      </c>
      <c r="W109" s="154"/>
      <c r="Y109" s="141">
        <v>53</v>
      </c>
      <c r="Z109" s="151">
        <f>AA109</f>
        <v>825000</v>
      </c>
      <c r="AA109" s="152">
        <f>AA107</f>
        <v>825000</v>
      </c>
      <c r="AB109" s="141">
        <v>49</v>
      </c>
    </row>
    <row r="110" spans="1:28" ht="39.950000000000003" customHeight="1">
      <c r="B110" s="153"/>
      <c r="C110" s="154"/>
      <c r="D110" s="147"/>
      <c r="F110" s="153"/>
      <c r="G110" s="154"/>
      <c r="I110" s="141">
        <v>45</v>
      </c>
      <c r="J110" s="151">
        <f>Diario!I256</f>
        <v>24750</v>
      </c>
      <c r="K110" s="154"/>
      <c r="L110" s="147"/>
      <c r="M110" s="141">
        <v>56</v>
      </c>
      <c r="N110" s="151">
        <f>Diario!I318</f>
        <v>6330031.3043478262</v>
      </c>
      <c r="O110" s="154"/>
      <c r="Q110" s="141">
        <v>45</v>
      </c>
      <c r="R110" s="151">
        <f>Diario!I250</f>
        <v>90000</v>
      </c>
      <c r="S110" s="154"/>
      <c r="U110" s="141">
        <v>63</v>
      </c>
      <c r="V110" s="151">
        <f>V109</f>
        <v>961050</v>
      </c>
      <c r="W110" s="154"/>
      <c r="Y110" s="141">
        <v>67</v>
      </c>
      <c r="Z110" s="151">
        <f>Diario!I378</f>
        <v>825000</v>
      </c>
      <c r="AA110" s="152">
        <f>Diario!J359</f>
        <v>825000</v>
      </c>
      <c r="AB110" s="141">
        <v>63</v>
      </c>
    </row>
    <row r="111" spans="1:28" ht="39.950000000000003" customHeight="1">
      <c r="B111" s="153"/>
      <c r="C111" s="154"/>
      <c r="D111" s="147"/>
      <c r="F111" s="153"/>
      <c r="G111" s="154"/>
      <c r="I111" s="141">
        <v>59</v>
      </c>
      <c r="J111" s="151">
        <f>Diario!I340</f>
        <v>22125</v>
      </c>
      <c r="K111" s="154"/>
      <c r="L111" s="147"/>
      <c r="N111" s="153"/>
      <c r="O111" s="154"/>
      <c r="Q111" s="141">
        <v>59</v>
      </c>
      <c r="R111" s="151">
        <f>Diario!I334</f>
        <v>75000</v>
      </c>
      <c r="S111" s="154"/>
      <c r="V111" s="153"/>
      <c r="W111" s="154"/>
      <c r="Z111" s="153"/>
      <c r="AA111" s="154"/>
    </row>
    <row r="112" spans="1:28" ht="39.950000000000003" customHeight="1">
      <c r="B112" s="153"/>
      <c r="C112" s="154"/>
      <c r="D112" s="147"/>
      <c r="F112" s="153"/>
      <c r="G112" s="154"/>
      <c r="J112" s="153"/>
      <c r="K112" s="154"/>
      <c r="L112" s="147"/>
      <c r="N112" s="153"/>
      <c r="O112" s="154"/>
      <c r="R112" s="153"/>
      <c r="S112" s="154"/>
      <c r="V112" s="153"/>
      <c r="W112" s="154"/>
      <c r="Z112" s="153"/>
      <c r="AA112" s="154"/>
    </row>
    <row r="113" spans="1:27" ht="39.950000000000003" customHeight="1">
      <c r="B113" s="153"/>
      <c r="C113" s="154"/>
      <c r="D113" s="147"/>
      <c r="F113" s="153"/>
      <c r="G113" s="154"/>
      <c r="J113" s="153"/>
      <c r="K113" s="154"/>
      <c r="L113" s="147"/>
      <c r="N113" s="153"/>
      <c r="O113" s="154"/>
      <c r="R113" s="153"/>
      <c r="S113" s="154"/>
      <c r="V113" s="153"/>
      <c r="W113" s="154"/>
      <c r="Z113" s="153"/>
      <c r="AA113" s="154"/>
    </row>
    <row r="114" spans="1:27" ht="39.950000000000003" customHeight="1" thickBot="1">
      <c r="B114" s="153"/>
      <c r="C114" s="154"/>
      <c r="D114" s="147"/>
      <c r="F114" s="153"/>
      <c r="G114" s="154"/>
      <c r="J114" s="153"/>
      <c r="K114" s="154"/>
      <c r="L114" s="147"/>
      <c r="N114" s="153"/>
      <c r="O114" s="154"/>
      <c r="R114" s="153"/>
      <c r="S114" s="154"/>
      <c r="V114" s="153"/>
      <c r="W114" s="154"/>
      <c r="Z114" s="153"/>
      <c r="AA114" s="154"/>
    </row>
    <row r="115" spans="1:27" ht="39.950000000000003" customHeight="1" thickBot="1">
      <c r="B115" s="164">
        <f>SUM(B107:B114)</f>
        <v>4347.826086956522</v>
      </c>
      <c r="C115" s="165">
        <f>B115</f>
        <v>4347.826086956522</v>
      </c>
      <c r="D115" s="147">
        <v>76</v>
      </c>
      <c r="F115" s="163">
        <f>SUM(F107:F114)</f>
        <v>17391.304347826088</v>
      </c>
      <c r="G115" s="163">
        <f>F115</f>
        <v>17391.304347826088</v>
      </c>
      <c r="H115" s="141">
        <v>76</v>
      </c>
      <c r="J115" s="164">
        <f>SUM(J107:J114)</f>
        <v>102000</v>
      </c>
      <c r="K115" s="165">
        <f>J115</f>
        <v>102000</v>
      </c>
      <c r="L115" s="147">
        <v>76</v>
      </c>
      <c r="N115" s="169">
        <f>SUM(N107:N114)</f>
        <v>25919676.521739133</v>
      </c>
      <c r="O115" s="169">
        <f>SUM(O107:O114)</f>
        <v>3166284</v>
      </c>
      <c r="P115" s="141">
        <v>74</v>
      </c>
      <c r="R115" s="169">
        <f>SUM(R107:R114)</f>
        <v>330250</v>
      </c>
      <c r="S115" s="169">
        <f>R115</f>
        <v>330250</v>
      </c>
      <c r="T115" s="141">
        <v>76</v>
      </c>
      <c r="V115" s="164">
        <f>SUM(V107:V114)</f>
        <v>3844200</v>
      </c>
      <c r="W115" s="165">
        <f>V115</f>
        <v>3844200</v>
      </c>
      <c r="X115" s="141">
        <v>76</v>
      </c>
      <c r="Z115" s="164">
        <f>SUM(Z107:Z114)</f>
        <v>3300000</v>
      </c>
      <c r="AA115" s="164">
        <f>SUM(AA107:AA114)</f>
        <v>3300000</v>
      </c>
    </row>
    <row r="116" spans="1:27" ht="39.950000000000003" customHeight="1" thickBot="1">
      <c r="N116" s="169">
        <f>N115-O115</f>
        <v>22753392.521739133</v>
      </c>
      <c r="O116" s="149">
        <f>N116</f>
        <v>22753392.521739133</v>
      </c>
      <c r="P116" s="141">
        <v>75</v>
      </c>
      <c r="AA116" s="163">
        <f>AA115-Z115</f>
        <v>0</v>
      </c>
    </row>
    <row r="118" spans="1:27" ht="39.950000000000003" customHeight="1" thickBot="1">
      <c r="B118" s="632" t="s">
        <v>254</v>
      </c>
      <c r="C118" s="632"/>
      <c r="F118" s="632" t="s">
        <v>842</v>
      </c>
      <c r="G118" s="632"/>
      <c r="J118" s="632" t="s">
        <v>257</v>
      </c>
      <c r="K118" s="632"/>
      <c r="N118" s="632" t="s">
        <v>258</v>
      </c>
      <c r="O118" s="632"/>
      <c r="R118" s="632" t="s">
        <v>265</v>
      </c>
      <c r="S118" s="632"/>
      <c r="V118" s="631" t="s">
        <v>266</v>
      </c>
      <c r="W118" s="631"/>
    </row>
    <row r="119" spans="1:27" ht="39.950000000000003" customHeight="1" thickTop="1" thickBot="1">
      <c r="A119" s="141">
        <v>70</v>
      </c>
      <c r="B119" s="145">
        <f>C89</f>
        <v>3891864.5217391308</v>
      </c>
      <c r="C119" s="178">
        <f>R41</f>
        <v>8201721.2869565217</v>
      </c>
      <c r="D119" s="141">
        <v>71</v>
      </c>
      <c r="F119" s="145"/>
      <c r="G119" s="178">
        <f>B149</f>
        <v>4309856.7652173908</v>
      </c>
      <c r="H119" s="141">
        <v>72</v>
      </c>
      <c r="I119" s="141">
        <v>75</v>
      </c>
      <c r="J119" s="145">
        <f>O116</f>
        <v>22753392.521739133</v>
      </c>
      <c r="K119" s="149">
        <f>K41</f>
        <v>50291174.713043481</v>
      </c>
      <c r="L119" s="141">
        <v>73</v>
      </c>
      <c r="M119" s="141">
        <v>74</v>
      </c>
      <c r="N119" s="145">
        <f>O115</f>
        <v>3166284</v>
      </c>
      <c r="Q119" s="141">
        <v>80</v>
      </c>
      <c r="R119" s="145">
        <f>S119*0.05</f>
        <v>355556.72323333332</v>
      </c>
      <c r="S119" s="145">
        <f>J150</f>
        <v>7111134.4646666665</v>
      </c>
      <c r="T119" s="141">
        <v>79</v>
      </c>
      <c r="V119" s="145"/>
      <c r="W119" s="178">
        <f>R119</f>
        <v>355556.72323333332</v>
      </c>
      <c r="X119" s="147">
        <v>80</v>
      </c>
    </row>
    <row r="120" spans="1:27" ht="39.950000000000003" customHeight="1" thickTop="1">
      <c r="B120" s="151"/>
      <c r="C120" s="157"/>
      <c r="F120" s="151"/>
      <c r="G120" s="157"/>
      <c r="I120" s="141">
        <v>76</v>
      </c>
      <c r="J120" s="179">
        <f>S102</f>
        <v>150250</v>
      </c>
      <c r="K120" s="180"/>
      <c r="N120" s="176"/>
      <c r="O120" s="156"/>
      <c r="Q120" s="141">
        <v>81</v>
      </c>
      <c r="R120" s="181">
        <f>R119</f>
        <v>355556.72323333332</v>
      </c>
      <c r="S120" s="156"/>
      <c r="V120" s="176"/>
      <c r="W120" s="156"/>
      <c r="X120" s="147"/>
    </row>
    <row r="121" spans="1:27" ht="39.950000000000003" customHeight="1">
      <c r="B121" s="151"/>
      <c r="C121" s="157"/>
      <c r="F121" s="151"/>
      <c r="G121" s="157"/>
      <c r="I121" s="141">
        <v>76</v>
      </c>
      <c r="J121" s="182">
        <f>W102</f>
        <v>216000</v>
      </c>
      <c r="K121" s="180"/>
      <c r="L121" s="147"/>
      <c r="N121" s="151"/>
      <c r="O121" s="154"/>
      <c r="R121" s="181"/>
      <c r="S121" s="156"/>
      <c r="V121" s="181"/>
      <c r="W121" s="156"/>
    </row>
    <row r="122" spans="1:27" ht="39.950000000000003" customHeight="1">
      <c r="B122" s="151"/>
      <c r="C122" s="157"/>
      <c r="F122" s="151"/>
      <c r="G122" s="157"/>
      <c r="I122" s="141">
        <v>76</v>
      </c>
      <c r="J122" s="183">
        <f>S115</f>
        <v>330250</v>
      </c>
      <c r="K122" s="157"/>
      <c r="L122" s="147"/>
      <c r="N122" s="151"/>
      <c r="O122" s="154"/>
      <c r="R122" s="181"/>
      <c r="S122" s="156"/>
      <c r="V122" s="181"/>
      <c r="W122" s="156"/>
    </row>
    <row r="123" spans="1:27" ht="39.950000000000003" customHeight="1">
      <c r="A123" s="144"/>
      <c r="B123" s="151"/>
      <c r="C123" s="157"/>
      <c r="F123" s="151"/>
      <c r="G123" s="157"/>
      <c r="I123" s="141">
        <v>76</v>
      </c>
      <c r="J123" s="183">
        <f>K115</f>
        <v>102000</v>
      </c>
      <c r="K123" s="157"/>
      <c r="L123" s="147"/>
      <c r="N123" s="151"/>
      <c r="O123" s="154"/>
      <c r="R123" s="181"/>
      <c r="S123" s="156"/>
      <c r="V123" s="181"/>
      <c r="W123" s="156"/>
    </row>
    <row r="124" spans="1:27" ht="39.950000000000003" customHeight="1">
      <c r="A124" s="144"/>
      <c r="B124" s="151"/>
      <c r="C124" s="157"/>
      <c r="F124" s="151"/>
      <c r="G124" s="157"/>
      <c r="I124" s="141">
        <v>76</v>
      </c>
      <c r="J124" s="183">
        <f>G115</f>
        <v>17391.304347826088</v>
      </c>
      <c r="K124" s="157"/>
      <c r="N124" s="151"/>
      <c r="O124" s="154"/>
      <c r="R124" s="181"/>
      <c r="S124" s="156"/>
      <c r="V124" s="181"/>
      <c r="W124" s="156"/>
    </row>
    <row r="125" spans="1:27" ht="39.950000000000003" customHeight="1">
      <c r="A125" s="144"/>
      <c r="B125" s="151"/>
      <c r="C125" s="157"/>
      <c r="F125" s="151"/>
      <c r="G125" s="157"/>
      <c r="I125" s="141">
        <v>76</v>
      </c>
      <c r="J125" s="183">
        <f>O102</f>
        <v>600000</v>
      </c>
      <c r="K125" s="157"/>
      <c r="N125" s="153"/>
      <c r="O125" s="154"/>
      <c r="R125" s="176"/>
      <c r="S125" s="156"/>
      <c r="V125" s="176"/>
      <c r="W125" s="156"/>
    </row>
    <row r="126" spans="1:27" ht="39.950000000000003" customHeight="1">
      <c r="A126" s="144"/>
      <c r="B126" s="151"/>
      <c r="C126" s="149"/>
      <c r="F126" s="151"/>
      <c r="G126" s="149"/>
      <c r="I126" s="141">
        <v>76</v>
      </c>
      <c r="J126" s="183">
        <f>S90</f>
        <v>180000</v>
      </c>
      <c r="K126" s="149"/>
      <c r="N126" s="153"/>
      <c r="O126" s="154"/>
      <c r="R126" s="176"/>
      <c r="S126" s="156"/>
      <c r="V126" s="176"/>
      <c r="W126" s="156"/>
    </row>
    <row r="127" spans="1:27" ht="39.950000000000003" customHeight="1">
      <c r="A127" s="144"/>
      <c r="B127" s="151"/>
      <c r="C127" s="149"/>
      <c r="F127" s="151"/>
      <c r="G127" s="149"/>
      <c r="I127" s="141">
        <v>76</v>
      </c>
      <c r="J127" s="183">
        <f>W90</f>
        <v>140700</v>
      </c>
      <c r="K127" s="149"/>
      <c r="N127" s="153"/>
      <c r="O127" s="154"/>
      <c r="R127" s="184"/>
      <c r="S127" s="156"/>
      <c r="V127" s="184"/>
      <c r="W127" s="156"/>
    </row>
    <row r="128" spans="1:27" ht="39.950000000000003" customHeight="1">
      <c r="A128" s="144"/>
      <c r="B128" s="151"/>
      <c r="C128" s="149"/>
      <c r="F128" s="151"/>
      <c r="G128" s="149"/>
      <c r="I128" s="141">
        <v>76</v>
      </c>
      <c r="J128" s="185">
        <f>G63</f>
        <v>25826.720679669197</v>
      </c>
      <c r="K128" s="149"/>
      <c r="N128" s="169">
        <f>SUM(N119:N127)</f>
        <v>3166284</v>
      </c>
      <c r="O128" s="169"/>
      <c r="R128" s="186">
        <f>SUM(R119:R127)</f>
        <v>711113.44646666665</v>
      </c>
      <c r="S128" s="186">
        <f>S119</f>
        <v>7111134.4646666665</v>
      </c>
      <c r="V128" s="169">
        <f>SUM(V119:V127)</f>
        <v>0</v>
      </c>
      <c r="W128" s="169">
        <f>W119</f>
        <v>355556.72323333332</v>
      </c>
    </row>
    <row r="129" spans="1:28" ht="39.950000000000003" customHeight="1">
      <c r="A129" s="144"/>
      <c r="B129" s="151"/>
      <c r="C129" s="157"/>
      <c r="F129" s="151"/>
      <c r="G129" s="157"/>
      <c r="I129" s="141">
        <v>76</v>
      </c>
      <c r="J129" s="183">
        <f>C115</f>
        <v>4347.826086956522</v>
      </c>
      <c r="K129" s="157"/>
      <c r="R129" s="186"/>
      <c r="S129" s="169">
        <f>S128-R128</f>
        <v>6400021.0181999998</v>
      </c>
    </row>
    <row r="130" spans="1:28" ht="39.950000000000003" customHeight="1">
      <c r="A130" s="144"/>
      <c r="B130" s="151"/>
      <c r="C130" s="157"/>
      <c r="F130" s="151"/>
      <c r="G130" s="157"/>
      <c r="I130" s="141">
        <v>76</v>
      </c>
      <c r="J130" s="151">
        <f>W115</f>
        <v>3844200</v>
      </c>
      <c r="K130" s="157"/>
    </row>
    <row r="131" spans="1:28" ht="39.950000000000003" customHeight="1">
      <c r="A131" s="144"/>
      <c r="B131" s="151"/>
      <c r="C131" s="157"/>
      <c r="F131" s="151"/>
      <c r="G131" s="157"/>
      <c r="I131" s="141">
        <v>76</v>
      </c>
      <c r="J131" s="151">
        <f>AA102</f>
        <v>1692000</v>
      </c>
      <c r="K131" s="157"/>
    </row>
    <row r="132" spans="1:28" ht="39.950000000000003" customHeight="1" thickBot="1">
      <c r="A132" s="144"/>
      <c r="B132" s="151"/>
      <c r="C132" s="157"/>
      <c r="F132" s="151"/>
      <c r="G132" s="157"/>
      <c r="I132" s="141">
        <v>76</v>
      </c>
      <c r="J132" s="185">
        <f>AA90</f>
        <v>419122.95148738776</v>
      </c>
      <c r="K132" s="157"/>
      <c r="N132" s="632" t="s">
        <v>263</v>
      </c>
      <c r="O132" s="632"/>
      <c r="R132" s="632" t="s">
        <v>264</v>
      </c>
      <c r="S132" s="632"/>
      <c r="Z132" s="156"/>
      <c r="AA132" s="156"/>
      <c r="AB132" s="147"/>
    </row>
    <row r="133" spans="1:28" ht="39.950000000000003" customHeight="1" thickTop="1" thickBot="1">
      <c r="A133" s="144"/>
      <c r="B133" s="151"/>
      <c r="C133" s="157"/>
      <c r="F133" s="151"/>
      <c r="G133" s="157"/>
      <c r="I133" s="141">
        <v>76</v>
      </c>
      <c r="J133" s="151">
        <f>W41</f>
        <v>8714400</v>
      </c>
      <c r="K133" s="157"/>
      <c r="M133" s="141">
        <v>77</v>
      </c>
      <c r="N133" s="151">
        <f>C45</f>
        <v>1136320.44306</v>
      </c>
      <c r="O133" s="168"/>
      <c r="R133" s="145"/>
      <c r="S133" s="146">
        <f>J149</f>
        <v>2370378.1548888888</v>
      </c>
      <c r="T133" s="141">
        <v>79</v>
      </c>
      <c r="V133" s="631" t="s">
        <v>253</v>
      </c>
      <c r="W133" s="631"/>
      <c r="Z133" s="631"/>
      <c r="AA133" s="631"/>
      <c r="AB133" s="147"/>
    </row>
    <row r="134" spans="1:28" ht="39.950000000000003" customHeight="1" thickTop="1">
      <c r="A134" s="144"/>
      <c r="B134" s="151"/>
      <c r="C134" s="157"/>
      <c r="F134" s="151"/>
      <c r="G134" s="157"/>
      <c r="I134" s="141">
        <v>76</v>
      </c>
      <c r="J134" s="183">
        <f>S62</f>
        <v>180000</v>
      </c>
      <c r="K134" s="157"/>
      <c r="M134" s="141">
        <v>77</v>
      </c>
      <c r="N134" s="151">
        <f>G90</f>
        <v>187500</v>
      </c>
      <c r="O134" s="154"/>
      <c r="R134" s="153"/>
      <c r="S134" s="154"/>
      <c r="V134" s="145"/>
      <c r="W134" s="178">
        <f>R120</f>
        <v>355556.72323333332</v>
      </c>
      <c r="X134" s="141">
        <v>81</v>
      </c>
      <c r="Z134" s="157"/>
      <c r="AA134" s="157"/>
      <c r="AB134" s="147"/>
    </row>
    <row r="135" spans="1:28" ht="39.950000000000003" customHeight="1">
      <c r="A135" s="144"/>
      <c r="B135" s="151"/>
      <c r="C135" s="157"/>
      <c r="F135" s="151"/>
      <c r="G135" s="157"/>
      <c r="I135" s="141">
        <v>76</v>
      </c>
      <c r="J135" s="185">
        <f>O90</f>
        <v>10600</v>
      </c>
      <c r="K135" s="157"/>
      <c r="M135" s="141">
        <v>77</v>
      </c>
      <c r="N135" s="151">
        <f>K90</f>
        <v>48412.5</v>
      </c>
      <c r="O135" s="154"/>
      <c r="R135" s="153"/>
      <c r="S135" s="154"/>
      <c r="V135" s="176"/>
      <c r="W135" s="156"/>
      <c r="Z135" s="156"/>
      <c r="AA135" s="156"/>
      <c r="AB135" s="147"/>
    </row>
    <row r="136" spans="1:28" ht="39.950000000000003" customHeight="1">
      <c r="A136" s="144"/>
      <c r="B136" s="151"/>
      <c r="C136" s="157"/>
      <c r="F136" s="151"/>
      <c r="G136" s="157"/>
      <c r="I136" s="141">
        <v>76</v>
      </c>
      <c r="J136" s="183">
        <f>K102</f>
        <v>4347.826086956522</v>
      </c>
      <c r="K136" s="157"/>
      <c r="N136" s="153"/>
      <c r="O136" s="154"/>
      <c r="R136" s="153"/>
      <c r="S136" s="154"/>
      <c r="V136" s="181"/>
      <c r="W136" s="156"/>
      <c r="Z136" s="157"/>
      <c r="AA136" s="156"/>
      <c r="AB136" s="147"/>
    </row>
    <row r="137" spans="1:28" ht="39.950000000000003" customHeight="1">
      <c r="A137" s="144"/>
      <c r="B137" s="151"/>
      <c r="C137" s="157"/>
      <c r="F137" s="151"/>
      <c r="G137" s="157"/>
      <c r="I137" s="141">
        <v>78</v>
      </c>
      <c r="J137" s="151">
        <f>O147</f>
        <v>1372232.94306</v>
      </c>
      <c r="K137" s="157"/>
      <c r="N137" s="153"/>
      <c r="O137" s="154"/>
      <c r="R137" s="153"/>
      <c r="S137" s="154"/>
      <c r="V137" s="181"/>
      <c r="W137" s="156"/>
      <c r="Z137" s="157"/>
      <c r="AA137" s="156"/>
      <c r="AB137" s="147"/>
    </row>
    <row r="138" spans="1:28" ht="39.950000000000003" customHeight="1">
      <c r="A138" s="144"/>
      <c r="B138" s="151"/>
      <c r="C138" s="157"/>
      <c r="F138" s="151"/>
      <c r="G138" s="157"/>
      <c r="I138" s="141">
        <v>76</v>
      </c>
      <c r="J138" s="183">
        <f>C102</f>
        <v>52600</v>
      </c>
      <c r="K138" s="157"/>
      <c r="N138" s="153"/>
      <c r="O138" s="154"/>
      <c r="R138" s="153"/>
      <c r="S138" s="154"/>
      <c r="V138" s="181"/>
      <c r="W138" s="156"/>
      <c r="Z138" s="157"/>
      <c r="AA138" s="156"/>
      <c r="AB138" s="147"/>
    </row>
    <row r="139" spans="1:28" ht="39.950000000000003" customHeight="1">
      <c r="B139" s="151"/>
      <c r="C139" s="157"/>
      <c r="F139" s="151"/>
      <c r="G139" s="157"/>
      <c r="J139" s="151"/>
      <c r="K139" s="157"/>
      <c r="N139" s="153"/>
      <c r="O139" s="154"/>
      <c r="R139" s="153"/>
      <c r="S139" s="154"/>
      <c r="V139" s="181"/>
      <c r="W139" s="156"/>
      <c r="Z139" s="157"/>
      <c r="AA139" s="156"/>
      <c r="AB139" s="147"/>
    </row>
    <row r="140" spans="1:28" ht="39.950000000000003" customHeight="1">
      <c r="B140" s="151"/>
      <c r="C140" s="157"/>
      <c r="F140" s="151"/>
      <c r="G140" s="157"/>
      <c r="J140" s="151"/>
      <c r="K140" s="157"/>
      <c r="N140" s="153"/>
      <c r="O140" s="154"/>
      <c r="R140" s="153"/>
      <c r="S140" s="154"/>
      <c r="V140" s="176"/>
      <c r="W140" s="156"/>
      <c r="Z140" s="156"/>
      <c r="AA140" s="156"/>
      <c r="AB140" s="147"/>
    </row>
    <row r="141" spans="1:28" ht="39.950000000000003" customHeight="1">
      <c r="B141" s="151"/>
      <c r="C141" s="157"/>
      <c r="F141" s="151"/>
      <c r="G141" s="157"/>
      <c r="J141" s="151"/>
      <c r="K141" s="157"/>
      <c r="N141" s="153"/>
      <c r="O141" s="154"/>
      <c r="R141" s="153"/>
      <c r="S141" s="154"/>
      <c r="V141" s="176"/>
      <c r="W141" s="156"/>
      <c r="Z141" s="156"/>
      <c r="AA141" s="156"/>
      <c r="AB141" s="147"/>
    </row>
    <row r="142" spans="1:28" ht="39.950000000000003" customHeight="1">
      <c r="B142" s="151"/>
      <c r="C142" s="157"/>
      <c r="F142" s="151"/>
      <c r="G142" s="157"/>
      <c r="J142" s="151"/>
      <c r="K142" s="157"/>
      <c r="N142" s="153"/>
      <c r="O142" s="154"/>
      <c r="R142" s="153"/>
      <c r="S142" s="154"/>
      <c r="V142" s="184"/>
      <c r="W142" s="156"/>
      <c r="Z142" s="156"/>
      <c r="AA142" s="156"/>
      <c r="AB142" s="147"/>
    </row>
    <row r="143" spans="1:28" ht="39.950000000000003" customHeight="1">
      <c r="B143" s="151"/>
      <c r="C143" s="157"/>
      <c r="F143" s="151"/>
      <c r="G143" s="157"/>
      <c r="J143" s="151"/>
      <c r="K143" s="157"/>
      <c r="N143" s="153"/>
      <c r="O143" s="154"/>
      <c r="R143" s="153"/>
      <c r="S143" s="154"/>
      <c r="V143" s="169">
        <f>SUM(V134:V142)</f>
        <v>0</v>
      </c>
      <c r="W143" s="169">
        <f>W134</f>
        <v>355556.72323333332</v>
      </c>
      <c r="Z143" s="157"/>
      <c r="AA143" s="157"/>
      <c r="AB143" s="147"/>
    </row>
    <row r="144" spans="1:28" ht="39.950000000000003" customHeight="1" thickBot="1">
      <c r="B144" s="151"/>
      <c r="C144" s="157"/>
      <c r="F144" s="151"/>
      <c r="G144" s="157"/>
      <c r="J144" s="151"/>
      <c r="K144" s="157"/>
      <c r="N144" s="153"/>
      <c r="O144" s="154"/>
      <c r="R144" s="153"/>
      <c r="S144" s="154"/>
      <c r="V144" s="629" t="str">
        <f>Diario!H324</f>
        <v>211001- Cliente</v>
      </c>
      <c r="W144" s="630"/>
      <c r="Z144" s="156"/>
      <c r="AA144" s="156"/>
      <c r="AB144" s="147"/>
    </row>
    <row r="145" spans="1:23" ht="39.950000000000003" customHeight="1" thickTop="1">
      <c r="B145" s="151"/>
      <c r="C145" s="157"/>
      <c r="F145" s="151"/>
      <c r="G145" s="157"/>
      <c r="J145" s="151"/>
      <c r="K145" s="157"/>
      <c r="N145" s="153"/>
      <c r="O145" s="154"/>
      <c r="R145" s="153"/>
      <c r="S145" s="154"/>
      <c r="U145" s="141">
        <v>57</v>
      </c>
      <c r="V145" s="145">
        <f>Diario!I324</f>
        <v>4623224</v>
      </c>
      <c r="W145" s="178">
        <f>R131</f>
        <v>0</v>
      </c>
    </row>
    <row r="146" spans="1:23" ht="39.950000000000003" customHeight="1" thickBot="1">
      <c r="B146" s="151"/>
      <c r="C146" s="157"/>
      <c r="F146" s="151"/>
      <c r="G146" s="157"/>
      <c r="J146" s="151"/>
      <c r="K146" s="157"/>
      <c r="N146" s="153"/>
      <c r="O146" s="154"/>
      <c r="R146" s="153"/>
      <c r="S146" s="154"/>
      <c r="V146" s="176"/>
      <c r="W146" s="156"/>
    </row>
    <row r="147" spans="1:23" ht="39.950000000000003" customHeight="1" thickBot="1">
      <c r="A147" s="144"/>
      <c r="B147" s="187"/>
      <c r="F147" s="187"/>
      <c r="J147" s="187"/>
      <c r="N147" s="169">
        <f>SUM(N133:N146)</f>
        <v>1372232.94306</v>
      </c>
      <c r="O147" s="169">
        <f>N147</f>
        <v>1372232.94306</v>
      </c>
      <c r="P147" s="141">
        <v>78</v>
      </c>
      <c r="R147" s="188">
        <f>SUM(R133:R146)</f>
        <v>0</v>
      </c>
      <c r="S147" s="165">
        <f>S133</f>
        <v>2370378.1548888888</v>
      </c>
      <c r="V147" s="181"/>
      <c r="W147" s="156"/>
    </row>
    <row r="148" spans="1:23" ht="39.950000000000003" customHeight="1" thickBot="1">
      <c r="A148" s="144"/>
      <c r="B148" s="169">
        <f>SUM(B119:B147)</f>
        <v>3891864.5217391308</v>
      </c>
      <c r="C148" s="169">
        <f>SUM(C119:C147)</f>
        <v>8201721.2869565217</v>
      </c>
      <c r="F148" s="169">
        <f>SUM(F119:F147)</f>
        <v>0</v>
      </c>
      <c r="G148" s="169">
        <f>SUM(G119:G147)</f>
        <v>4309856.7652173908</v>
      </c>
      <c r="J148" s="169">
        <f>SUM(J119:J147)</f>
        <v>40809662.093487926</v>
      </c>
      <c r="K148" s="189">
        <f>SUM(K119:K147)</f>
        <v>50291174.713043481</v>
      </c>
      <c r="V148" s="181"/>
      <c r="W148" s="156"/>
    </row>
    <row r="149" spans="1:23" ht="39.950000000000003" customHeight="1" thickBot="1">
      <c r="A149" s="141">
        <v>72</v>
      </c>
      <c r="B149" s="149">
        <f>C149</f>
        <v>4309856.7652173908</v>
      </c>
      <c r="C149" s="169">
        <f>C148-B148</f>
        <v>4309856.7652173908</v>
      </c>
      <c r="G149" s="169">
        <f>G148-F148</f>
        <v>4309856.7652173908</v>
      </c>
      <c r="I149" s="141">
        <v>79</v>
      </c>
      <c r="J149" s="190">
        <f>K149*0.25</f>
        <v>2370378.1548888888</v>
      </c>
      <c r="K149" s="163">
        <f>K148-J148</f>
        <v>9481512.6195555553</v>
      </c>
      <c r="V149" s="181"/>
      <c r="W149" s="156"/>
    </row>
    <row r="150" spans="1:23" ht="39.950000000000003" customHeight="1" thickBot="1">
      <c r="I150" s="141">
        <v>79</v>
      </c>
      <c r="J150" s="163">
        <f>K150</f>
        <v>7111134.4646666665</v>
      </c>
      <c r="K150" s="172">
        <f>K149-J149</f>
        <v>7111134.4646666665</v>
      </c>
      <c r="O150" s="149">
        <f>K149-DRE!C32</f>
        <v>0</v>
      </c>
      <c r="V150" s="181"/>
      <c r="W150" s="156"/>
    </row>
    <row r="151" spans="1:23" ht="39.950000000000003" customHeight="1">
      <c r="O151" s="149"/>
      <c r="V151" s="176"/>
      <c r="W151" s="156"/>
    </row>
    <row r="152" spans="1:23" ht="39.950000000000003" customHeight="1">
      <c r="N152" s="149">
        <f>SUM(J120,J121,J122,J123,J124,J125,J126,J127,J129,J134,J136,J138)</f>
        <v>1977886.9565217393</v>
      </c>
      <c r="V152" s="176"/>
      <c r="W152" s="156"/>
    </row>
    <row r="153" spans="1:23" ht="39.950000000000003" customHeight="1">
      <c r="V153" s="184"/>
      <c r="W153" s="156"/>
    </row>
    <row r="154" spans="1:23" ht="39.950000000000003" customHeight="1">
      <c r="V154" s="169">
        <f>SUM(V145:V153)</f>
        <v>4623224</v>
      </c>
      <c r="W154" s="169">
        <f>W145</f>
        <v>0</v>
      </c>
    </row>
    <row r="155" spans="1:23" ht="39.950000000000003" customHeight="1">
      <c r="V155" s="169">
        <f>V154-W154</f>
        <v>4623224</v>
      </c>
    </row>
  </sheetData>
  <mergeCells count="46">
    <mergeCell ref="Z106:AA106"/>
    <mergeCell ref="Z81:AA81"/>
    <mergeCell ref="V44:W44"/>
    <mergeCell ref="V1:W1"/>
    <mergeCell ref="Z1:AA1"/>
    <mergeCell ref="Z44:AA44"/>
    <mergeCell ref="Z93:AA93"/>
    <mergeCell ref="V106:W106"/>
    <mergeCell ref="V93:W93"/>
    <mergeCell ref="V81:W81"/>
    <mergeCell ref="R106:S106"/>
    <mergeCell ref="R93:S93"/>
    <mergeCell ref="R81:S81"/>
    <mergeCell ref="B106:C106"/>
    <mergeCell ref="F106:G106"/>
    <mergeCell ref="B81:C81"/>
    <mergeCell ref="F81:G81"/>
    <mergeCell ref="J81:K81"/>
    <mergeCell ref="N81:O81"/>
    <mergeCell ref="B93:C93"/>
    <mergeCell ref="F93:G93"/>
    <mergeCell ref="J93:K93"/>
    <mergeCell ref="N93:O93"/>
    <mergeCell ref="B118:C118"/>
    <mergeCell ref="F118:G118"/>
    <mergeCell ref="J118:K118"/>
    <mergeCell ref="N118:O118"/>
    <mergeCell ref="R1:S1"/>
    <mergeCell ref="R44:S44"/>
    <mergeCell ref="B1:C1"/>
    <mergeCell ref="F1:G1"/>
    <mergeCell ref="J1:K1"/>
    <mergeCell ref="N1:O1"/>
    <mergeCell ref="B44:C44"/>
    <mergeCell ref="F44:G44"/>
    <mergeCell ref="J44:K44"/>
    <mergeCell ref="N44:O44"/>
    <mergeCell ref="J106:K106"/>
    <mergeCell ref="N106:O106"/>
    <mergeCell ref="V144:W144"/>
    <mergeCell ref="Z133:AA133"/>
    <mergeCell ref="N132:O132"/>
    <mergeCell ref="R132:S132"/>
    <mergeCell ref="R118:S118"/>
    <mergeCell ref="V118:W118"/>
    <mergeCell ref="V133:W133"/>
  </mergeCells>
  <printOptions horizontalCentered="1"/>
  <pageMargins left="0.49375000000000002" right="0.70866141732283472" top="0.74803149606299213" bottom="0.74803149606299213" header="0.31496062992125984" footer="0.31496062992125984"/>
  <pageSetup paperSize="9" scale="16" fitToHeight="2" orientation="landscape" r:id="rId1"/>
  <headerFooter>
    <oddHeader xml:space="preserve">&amp;L&amp;"Times New Roman,Normal"&amp;12 Restaurante Bar Calhau&amp;C&amp;"Times New Roman,Normal"&amp;12RAZONETE&amp;"-,Normal"&amp;11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E1:M131"/>
  <sheetViews>
    <sheetView view="pageBreakPreview" topLeftCell="J28" zoomScaleNormal="100" zoomScaleSheetLayoutView="100" zoomScalePageLayoutView="80" workbookViewId="0">
      <pane xSplit="1" topLeftCell="K1" activePane="topRight" state="frozen"/>
      <selection activeCell="S75" sqref="S75"/>
      <selection pane="topRight" activeCell="K35" sqref="K35"/>
    </sheetView>
  </sheetViews>
  <sheetFormatPr defaultRowHeight="80.099999999999994" customHeight="1"/>
  <cols>
    <col min="1" max="4" width="0" style="71" hidden="1" customWidth="1"/>
    <col min="5" max="6" width="0" style="74" hidden="1" customWidth="1"/>
    <col min="7" max="7" width="0" style="71" hidden="1" customWidth="1"/>
    <col min="8" max="9" width="8.85546875" style="71" hidden="1" customWidth="1"/>
    <col min="10" max="10" width="59.140625" style="71" customWidth="1"/>
    <col min="11" max="11" width="27.85546875" style="525" customWidth="1"/>
    <col min="12" max="12" width="31.85546875" style="525" customWidth="1"/>
    <col min="13" max="13" width="10.140625" style="71" bestFit="1" customWidth="1"/>
    <col min="14" max="16384" width="9.140625" style="71"/>
  </cols>
  <sheetData>
    <row r="1" spans="5:13" ht="19.5" thickBot="1">
      <c r="E1" s="71"/>
      <c r="F1" s="71"/>
      <c r="G1" s="72"/>
      <c r="H1" s="72" t="s">
        <v>146</v>
      </c>
      <c r="I1" s="72"/>
      <c r="J1" s="223" t="s">
        <v>147</v>
      </c>
      <c r="K1" s="517" t="s">
        <v>204</v>
      </c>
      <c r="L1" s="517" t="s">
        <v>205</v>
      </c>
    </row>
    <row r="2" spans="5:13" ht="18.75">
      <c r="E2" s="71"/>
      <c r="F2" s="71"/>
      <c r="G2" s="70"/>
      <c r="H2" s="70" t="s">
        <v>148</v>
      </c>
      <c r="I2" s="70"/>
      <c r="J2" s="224" t="str">
        <f>'Pesquisar Contas'!G37</f>
        <v>1100001-Caixa</v>
      </c>
      <c r="K2" s="518">
        <f>Razão!B42</f>
        <v>25000</v>
      </c>
      <c r="L2" s="518"/>
    </row>
    <row r="3" spans="5:13" ht="18.75">
      <c r="E3" s="71"/>
      <c r="F3" s="71"/>
      <c r="G3" s="73"/>
      <c r="H3" s="73" t="s">
        <v>149</v>
      </c>
      <c r="I3" s="73"/>
      <c r="J3" s="224" t="str">
        <f>'Pesquisar Contas'!G9</f>
        <v>1210001- Do BKK</v>
      </c>
      <c r="K3" s="519">
        <f>Razão!F42</f>
        <v>9983889.8561625481</v>
      </c>
      <c r="L3" s="519"/>
    </row>
    <row r="4" spans="5:13" ht="18.75">
      <c r="E4" s="71"/>
      <c r="F4" s="71"/>
      <c r="G4" s="73"/>
      <c r="H4" s="73"/>
      <c r="I4" s="73"/>
      <c r="J4" s="227" t="str">
        <f>Razão!V144</f>
        <v>211001- Cliente</v>
      </c>
      <c r="K4" s="526">
        <f>Razão!V155</f>
        <v>4623224</v>
      </c>
      <c r="L4" s="519"/>
    </row>
    <row r="5" spans="5:13" ht="18.75">
      <c r="E5" s="71"/>
      <c r="F5" s="71"/>
      <c r="G5" s="73"/>
      <c r="H5" s="73" t="s">
        <v>150</v>
      </c>
      <c r="I5" s="73"/>
      <c r="J5" s="224" t="str">
        <f>'Pesquisar Contas'!G20</f>
        <v>231101-Emprestimo Bancario</v>
      </c>
      <c r="K5" s="520"/>
      <c r="L5" s="519">
        <f>Razão!K63</f>
        <v>5701377.3005695967</v>
      </c>
    </row>
    <row r="6" spans="5:13" ht="18.75">
      <c r="E6" s="71"/>
      <c r="F6" s="71"/>
      <c r="G6" s="72"/>
      <c r="H6" s="72" t="s">
        <v>151</v>
      </c>
      <c r="I6" s="72"/>
      <c r="J6" s="226" t="str">
        <f>'Pesquisar Contas'!G108</f>
        <v>2412001-  Retenção do IUR-Trabalhador dependente</v>
      </c>
      <c r="K6" s="521"/>
      <c r="L6" s="521">
        <f>Razão!W63</f>
        <v>31350</v>
      </c>
    </row>
    <row r="7" spans="5:13" ht="18.75">
      <c r="E7" s="71"/>
      <c r="F7" s="71"/>
      <c r="G7" s="70"/>
      <c r="H7" s="70" t="s">
        <v>152</v>
      </c>
      <c r="I7" s="70"/>
      <c r="J7" s="224" t="str">
        <f>'Pesquisar Contas'!G46</f>
        <v>2442301- Iva Dedutivel</v>
      </c>
      <c r="K7" s="522">
        <f>Razão!B89</f>
        <v>3891864.5217391308</v>
      </c>
      <c r="L7" s="522"/>
    </row>
    <row r="8" spans="5:13" ht="18.75">
      <c r="E8" s="71"/>
      <c r="F8" s="71"/>
      <c r="G8" s="73"/>
      <c r="H8" s="73" t="s">
        <v>153</v>
      </c>
      <c r="I8" s="73"/>
      <c r="J8" s="224" t="str">
        <f>'Pesquisar Contas'!G83</f>
        <v>2443001-Iva Liquidado</v>
      </c>
      <c r="K8" s="519"/>
      <c r="L8" s="519">
        <f>Razão!S41</f>
        <v>8201721.2869565217</v>
      </c>
      <c r="M8" s="229"/>
    </row>
    <row r="9" spans="5:13" ht="18.75">
      <c r="E9" s="71"/>
      <c r="F9" s="71"/>
      <c r="G9" s="72"/>
      <c r="H9" s="72" t="s">
        <v>154</v>
      </c>
      <c r="I9" s="72"/>
      <c r="J9" s="226" t="str">
        <f>'Pesquisar Contas'!G109</f>
        <v>248001-Segurança Social</v>
      </c>
      <c r="K9" s="520"/>
      <c r="L9" s="521">
        <f>Razão!AA63</f>
        <v>141000</v>
      </c>
    </row>
    <row r="10" spans="5:13" ht="18.75">
      <c r="E10" s="71"/>
      <c r="F10" s="71"/>
      <c r="G10" s="70"/>
      <c r="H10" s="70" t="s">
        <v>155</v>
      </c>
      <c r="I10" s="70"/>
      <c r="J10" s="226" t="s">
        <v>206</v>
      </c>
      <c r="K10" s="522">
        <f>Razão!N63</f>
        <v>0</v>
      </c>
      <c r="L10" s="520"/>
    </row>
    <row r="11" spans="5:13" ht="18.75">
      <c r="E11" s="71"/>
      <c r="F11" s="71"/>
      <c r="G11" s="73"/>
      <c r="H11" s="73" t="s">
        <v>156</v>
      </c>
      <c r="I11" s="73"/>
      <c r="J11" s="226" t="str">
        <f>'Pesquisar Contas'!G41</f>
        <v>2622001-Credores por Acrescimo de Gasto</v>
      </c>
      <c r="K11" s="519"/>
      <c r="L11" s="519">
        <f>Razão!G103</f>
        <v>0</v>
      </c>
    </row>
    <row r="12" spans="5:13" ht="18.75">
      <c r="E12" s="71"/>
      <c r="F12" s="71"/>
      <c r="G12" s="72"/>
      <c r="H12" s="72" t="s">
        <v>157</v>
      </c>
      <c r="I12" s="72"/>
      <c r="J12" s="226" t="str">
        <f>'Pesquisar Contas'!G117</f>
        <v>271101- Remunerações a Pagar Orgão Sociais</v>
      </c>
      <c r="K12" s="521"/>
      <c r="L12" s="521">
        <f>Razão!AA116</f>
        <v>0</v>
      </c>
    </row>
    <row r="13" spans="5:13" ht="18.75">
      <c r="E13" s="71"/>
      <c r="F13" s="71"/>
      <c r="G13" s="70"/>
      <c r="H13" s="70" t="s">
        <v>158</v>
      </c>
      <c r="I13" s="70"/>
      <c r="J13" s="224" t="str">
        <f>'Pesquisar Contas'!G107</f>
        <v>271201- Remunerações a Pagar Ao Pesoal</v>
      </c>
      <c r="K13" s="522"/>
      <c r="L13" s="522">
        <f>Razão!AA42</f>
        <v>0</v>
      </c>
    </row>
    <row r="14" spans="5:13" ht="18.75">
      <c r="E14" s="71"/>
      <c r="F14" s="71"/>
      <c r="G14" s="73"/>
      <c r="H14" s="73" t="s">
        <v>159</v>
      </c>
      <c r="I14" s="73"/>
      <c r="J14" s="224" t="str">
        <f>'Pesquisar Contas'!G75</f>
        <v>3611001-Compra de Materias pri. e Subsidiária</v>
      </c>
      <c r="K14" s="519">
        <f>Razão!N115</f>
        <v>25919676.521739133</v>
      </c>
      <c r="L14" s="520"/>
    </row>
    <row r="15" spans="5:13" ht="18.75">
      <c r="E15" s="71"/>
      <c r="F15" s="71"/>
      <c r="G15" s="72"/>
      <c r="H15" s="72" t="s">
        <v>160</v>
      </c>
      <c r="I15" s="72"/>
      <c r="J15" s="224" t="str">
        <f>'Pesquisar Contas'!G27</f>
        <v>433001 -  Equipamentos Basicos</v>
      </c>
      <c r="K15" s="521">
        <f>Razão!B63</f>
        <v>4545281.7722399998</v>
      </c>
      <c r="L15" s="521"/>
    </row>
    <row r="16" spans="5:13" ht="18.75">
      <c r="E16" s="71"/>
      <c r="F16" s="71"/>
      <c r="G16" s="70"/>
      <c r="H16" s="70" t="s">
        <v>161</v>
      </c>
      <c r="I16" s="70"/>
      <c r="J16" s="224" t="str">
        <f>'Pesquisar Contas'!G31</f>
        <v xml:space="preserve">434001 - Eq.Transporte </v>
      </c>
      <c r="K16" s="523">
        <f>Razão!F90</f>
        <v>1500000</v>
      </c>
      <c r="L16" s="522"/>
    </row>
    <row r="17" spans="5:12" ht="18.75">
      <c r="E17" s="71"/>
      <c r="F17" s="71"/>
      <c r="G17" s="73"/>
      <c r="H17" s="73" t="s">
        <v>162</v>
      </c>
      <c r="I17" s="73"/>
      <c r="J17" s="224" t="str">
        <f>'Pesquisar Contas'!G34</f>
        <v>435001 - Eq.Administrativo</v>
      </c>
      <c r="K17" s="522">
        <f>Razão!J90</f>
        <v>193650</v>
      </c>
      <c r="L17" s="519"/>
    </row>
    <row r="18" spans="5:12" ht="18.75">
      <c r="E18" s="71"/>
      <c r="F18" s="71"/>
      <c r="G18" s="72"/>
      <c r="H18" s="72" t="s">
        <v>163</v>
      </c>
      <c r="I18" s="72"/>
      <c r="J18" s="224" t="str">
        <f>'Pesquisar Contas'!G6</f>
        <v>5210001- Capital Social</v>
      </c>
      <c r="K18" s="521"/>
      <c r="L18" s="521">
        <f>Razão!O41</f>
        <v>3000000</v>
      </c>
    </row>
    <row r="19" spans="5:12" ht="18.75">
      <c r="E19" s="71"/>
      <c r="F19" s="71"/>
      <c r="G19" s="70"/>
      <c r="H19" s="70" t="s">
        <v>164</v>
      </c>
      <c r="I19" s="70"/>
      <c r="J19" s="224" t="str">
        <f>'Pesquisar Contas'!G70</f>
        <v>6211001- Agua</v>
      </c>
      <c r="K19" s="522">
        <f>Razão!R102</f>
        <v>150250</v>
      </c>
      <c r="L19" s="522"/>
    </row>
    <row r="20" spans="5:12" ht="18.75">
      <c r="E20" s="71"/>
      <c r="F20" s="71"/>
      <c r="G20" s="73"/>
      <c r="H20" s="73" t="s">
        <v>165</v>
      </c>
      <c r="I20" s="73"/>
      <c r="J20" s="224" t="str">
        <f>'Pesquisar Contas'!G92</f>
        <v>6212001- Electricidade</v>
      </c>
      <c r="K20" s="519">
        <f>Razão!R115</f>
        <v>330250</v>
      </c>
      <c r="L20" s="519"/>
    </row>
    <row r="21" spans="5:12" ht="18.75">
      <c r="E21" s="71"/>
      <c r="F21" s="71"/>
      <c r="G21" s="70"/>
      <c r="H21" s="70"/>
      <c r="I21" s="70"/>
      <c r="J21" s="549" t="str">
        <f>Razão!V81</f>
        <v>62138- Botijão de Gas</v>
      </c>
      <c r="K21" s="521">
        <f>Razão!V90</f>
        <v>140700</v>
      </c>
      <c r="L21" s="522"/>
    </row>
    <row r="22" spans="5:12" ht="18.75">
      <c r="E22" s="71"/>
      <c r="F22" s="71"/>
      <c r="G22" s="73"/>
      <c r="H22" s="73" t="s">
        <v>166</v>
      </c>
      <c r="I22" s="73"/>
      <c r="J22" s="224" t="str">
        <f>'Pesquisar Contas'!G54</f>
        <v>6217001-Publicidade e Propagandas</v>
      </c>
      <c r="K22" s="519">
        <f>Razão!B115</f>
        <v>4347.826086956522</v>
      </c>
      <c r="L22" s="519"/>
    </row>
    <row r="23" spans="5:12" ht="18.75">
      <c r="E23" s="71"/>
      <c r="F23" s="71"/>
      <c r="G23" s="73"/>
      <c r="H23" s="73" t="s">
        <v>167</v>
      </c>
      <c r="I23" s="73"/>
      <c r="J23" s="224" t="str">
        <f>'Pesquisar Contas'!G45</f>
        <v>6218001-Livros e Doc. Tecnicas</v>
      </c>
      <c r="K23" s="519">
        <f>Razão!J102</f>
        <v>4347.826086956522</v>
      </c>
      <c r="L23" s="519"/>
    </row>
    <row r="24" spans="5:12" ht="18.75">
      <c r="E24" s="71"/>
      <c r="F24" s="71"/>
      <c r="G24" s="72"/>
      <c r="H24" s="72" t="s">
        <v>168</v>
      </c>
      <c r="I24" s="72"/>
      <c r="J24" s="224" t="str">
        <f>'Pesquisar Contas'!G170</f>
        <v>6219001- Lipenza, Higiene e Conforto</v>
      </c>
      <c r="K24" s="521">
        <f>Razão!R62</f>
        <v>180000</v>
      </c>
      <c r="L24" s="521"/>
    </row>
    <row r="25" spans="5:12" ht="18.75">
      <c r="E25" s="71"/>
      <c r="F25" s="71"/>
      <c r="G25" s="70"/>
      <c r="H25" s="70" t="s">
        <v>169</v>
      </c>
      <c r="I25" s="70"/>
      <c r="J25" s="224" t="str">
        <f>'Pesquisar Contas'!G95</f>
        <v>6221001- Renda e Aluguer</v>
      </c>
      <c r="K25" s="522">
        <f>Razão!N102</f>
        <v>600000</v>
      </c>
      <c r="L25" s="522"/>
    </row>
    <row r="26" spans="5:12" ht="18.75">
      <c r="E26" s="71"/>
      <c r="F26" s="71"/>
      <c r="G26" s="73"/>
      <c r="H26" s="73" t="s">
        <v>170</v>
      </c>
      <c r="I26" s="73"/>
      <c r="J26" s="224" t="str">
        <f>'Pesquisar Contas'!G66</f>
        <v>6224001-Comuniçao</v>
      </c>
      <c r="K26" s="519">
        <f>Razão!B102</f>
        <v>52600</v>
      </c>
      <c r="L26" s="519"/>
    </row>
    <row r="27" spans="5:12" ht="18.75">
      <c r="E27" s="71"/>
      <c r="F27" s="71"/>
      <c r="G27" s="72"/>
      <c r="H27" s="72" t="s">
        <v>171</v>
      </c>
      <c r="I27" s="72"/>
      <c r="J27" s="224" t="str">
        <f>'Pesquisar Contas'!G102</f>
        <v>6225001- Seguros</v>
      </c>
      <c r="K27" s="521">
        <f>Razão!R62</f>
        <v>180000</v>
      </c>
      <c r="L27" s="521"/>
    </row>
    <row r="28" spans="5:12" ht="18.75">
      <c r="E28" s="71"/>
      <c r="F28" s="71"/>
      <c r="G28" s="73"/>
      <c r="H28" s="73" t="s">
        <v>172</v>
      </c>
      <c r="I28" s="73"/>
      <c r="J28" s="224" t="str">
        <f>'Pesquisar Contas'!G96</f>
        <v>6227001-Segurança</v>
      </c>
      <c r="K28" s="519">
        <f>Razão!V102</f>
        <v>216000</v>
      </c>
      <c r="L28" s="519"/>
    </row>
    <row r="29" spans="5:12" ht="18.75">
      <c r="E29" s="71"/>
      <c r="F29" s="71"/>
      <c r="G29" s="73"/>
      <c r="H29" s="73"/>
      <c r="I29" s="73"/>
      <c r="J29" s="548" t="s">
        <v>105</v>
      </c>
      <c r="K29" s="519">
        <f>Razão!F115</f>
        <v>17391.304347826088</v>
      </c>
      <c r="L29" s="519"/>
    </row>
    <row r="30" spans="5:12" ht="18.75">
      <c r="E30" s="71"/>
      <c r="F30" s="71"/>
      <c r="G30" s="72"/>
      <c r="H30" s="72" t="s">
        <v>173</v>
      </c>
      <c r="I30" s="72"/>
      <c r="J30" s="224" t="str">
        <f>'Pesquisar Contas'!G98</f>
        <v>6298- Outros FSE</v>
      </c>
      <c r="K30" s="521">
        <f>Razão!J115</f>
        <v>102000</v>
      </c>
      <c r="L30" s="521"/>
    </row>
    <row r="31" spans="5:12" ht="18.75">
      <c r="E31" s="71"/>
      <c r="F31" s="71"/>
      <c r="G31" s="70"/>
      <c r="H31" s="70" t="s">
        <v>174</v>
      </c>
      <c r="I31" s="70"/>
      <c r="J31" s="224" t="str">
        <f>'Pesquisar Contas'!G116</f>
        <v>631001- Remunerações dos Orgão Sociais</v>
      </c>
      <c r="K31" s="522">
        <f>Razão!V115</f>
        <v>3844200</v>
      </c>
      <c r="L31" s="522"/>
    </row>
    <row r="32" spans="5:12" ht="18.75">
      <c r="E32" s="71"/>
      <c r="F32" s="71"/>
      <c r="G32" s="73"/>
      <c r="H32" s="73" t="s">
        <v>175</v>
      </c>
      <c r="I32" s="73"/>
      <c r="J32" s="225" t="str">
        <f>'Pesquisar Contas'!G106</f>
        <v>632001-Remunerações do Pesoal</v>
      </c>
      <c r="K32" s="519">
        <f>Razão!V41</f>
        <v>8714400</v>
      </c>
      <c r="L32" s="519"/>
    </row>
    <row r="33" spans="5:12" ht="18.75">
      <c r="E33" s="71"/>
      <c r="F33" s="71"/>
      <c r="G33" s="72"/>
      <c r="H33" s="72" t="s">
        <v>176</v>
      </c>
      <c r="I33" s="72"/>
      <c r="J33" s="224" t="str">
        <f>'Pesquisar Contas'!G112</f>
        <v>635001-Encargos sobre remunerações</v>
      </c>
      <c r="K33" s="521">
        <f>Razão!Z102</f>
        <v>1692000</v>
      </c>
      <c r="L33" s="521"/>
    </row>
    <row r="34" spans="5:12" ht="18.75">
      <c r="E34" s="71"/>
      <c r="F34" s="71"/>
      <c r="G34" s="70"/>
      <c r="H34" s="70" t="s">
        <v>177</v>
      </c>
      <c r="I34" s="70"/>
      <c r="J34" s="224" t="str">
        <f>'Pesquisar Contas'!G23</f>
        <v>6640004 - Despesas com Seviços Bancarios</v>
      </c>
      <c r="K34" s="522">
        <f>Razão!F63</f>
        <v>25826.720679669197</v>
      </c>
      <c r="L34" s="522"/>
    </row>
    <row r="35" spans="5:12" ht="18.75">
      <c r="E35" s="71"/>
      <c r="F35" s="71"/>
      <c r="G35" s="73"/>
      <c r="H35" s="73" t="s">
        <v>178</v>
      </c>
      <c r="I35" s="73"/>
      <c r="J35" s="224" t="str">
        <f>'Pesquisar Contas'!G16</f>
        <v>6888001-Outros Gastos</v>
      </c>
      <c r="K35" s="519">
        <f>Razão!N90</f>
        <v>10600</v>
      </c>
      <c r="L35" s="519"/>
    </row>
    <row r="36" spans="5:12" ht="18.75">
      <c r="E36" s="71"/>
      <c r="F36" s="71"/>
      <c r="G36" s="72"/>
      <c r="H36" s="72" t="s">
        <v>179</v>
      </c>
      <c r="I36" s="72"/>
      <c r="J36" s="224" t="str">
        <f>'Pesquisar Contas'!G147</f>
        <v xml:space="preserve">691101-Juros Suportado F. Obitidos </v>
      </c>
      <c r="K36" s="521">
        <f>Razão!Z90</f>
        <v>419122.95148738776</v>
      </c>
      <c r="L36" s="521"/>
    </row>
    <row r="37" spans="5:12" ht="18.75">
      <c r="E37" s="71"/>
      <c r="F37" s="71"/>
      <c r="G37" s="70"/>
      <c r="H37" s="70" t="s">
        <v>180</v>
      </c>
      <c r="I37" s="70"/>
      <c r="J37" s="224" t="str">
        <f>'Pesquisar Contas'!G84</f>
        <v>712001-Vendas de Produtos</v>
      </c>
      <c r="K37" s="522"/>
      <c r="L37" s="522">
        <f>Razão!K41</f>
        <v>50291174.713043481</v>
      </c>
    </row>
    <row r="38" spans="5:12" ht="18.75">
      <c r="E38" s="71"/>
      <c r="F38" s="71"/>
      <c r="J38" s="228" t="s">
        <v>192</v>
      </c>
      <c r="K38" s="524">
        <f>SUM(K2:K37)</f>
        <v>67366623.300569609</v>
      </c>
      <c r="L38" s="524">
        <f>SUM(L2:L37)</f>
        <v>67366623.300569594</v>
      </c>
    </row>
    <row r="39" spans="5:12" ht="18.75">
      <c r="E39" s="71"/>
      <c r="F39" s="71"/>
      <c r="J39" s="225"/>
      <c r="K39" s="520"/>
      <c r="L39" s="523">
        <f>L38-K38</f>
        <v>0</v>
      </c>
    </row>
    <row r="40" spans="5:12" ht="80.099999999999994" customHeight="1">
      <c r="E40" s="71"/>
      <c r="F40" s="71"/>
    </row>
    <row r="41" spans="5:12" ht="80.099999999999994" customHeight="1">
      <c r="E41" s="71"/>
      <c r="F41" s="71"/>
    </row>
    <row r="42" spans="5:12" ht="80.099999999999994" customHeight="1">
      <c r="E42" s="71"/>
      <c r="F42" s="71"/>
    </row>
    <row r="43" spans="5:12" ht="80.099999999999994" customHeight="1">
      <c r="E43" s="71"/>
      <c r="F43" s="71"/>
    </row>
    <row r="44" spans="5:12" ht="80.099999999999994" customHeight="1">
      <c r="E44" s="71"/>
      <c r="F44" s="71"/>
    </row>
    <row r="45" spans="5:12" ht="80.099999999999994" customHeight="1">
      <c r="E45" s="71"/>
      <c r="F45" s="71"/>
    </row>
    <row r="46" spans="5:12" ht="80.099999999999994" customHeight="1">
      <c r="E46" s="71"/>
      <c r="F46" s="71"/>
    </row>
    <row r="47" spans="5:12" ht="80.099999999999994" customHeight="1">
      <c r="E47" s="71"/>
      <c r="F47" s="71"/>
    </row>
    <row r="48" spans="5:12" ht="80.099999999999994" customHeight="1">
      <c r="E48" s="71"/>
      <c r="F48" s="71"/>
    </row>
    <row r="49" spans="5:6" ht="80.099999999999994" customHeight="1">
      <c r="E49" s="71"/>
      <c r="F49" s="71"/>
    </row>
    <row r="50" spans="5:6" ht="80.099999999999994" customHeight="1">
      <c r="E50" s="71"/>
      <c r="F50" s="71"/>
    </row>
    <row r="51" spans="5:6" ht="80.099999999999994" customHeight="1">
      <c r="E51" s="71"/>
      <c r="F51" s="71"/>
    </row>
    <row r="52" spans="5:6" ht="80.099999999999994" customHeight="1">
      <c r="E52" s="71"/>
      <c r="F52" s="71"/>
    </row>
    <row r="53" spans="5:6" ht="80.099999999999994" customHeight="1">
      <c r="E53" s="71"/>
      <c r="F53" s="71"/>
    </row>
    <row r="54" spans="5:6" ht="80.099999999999994" customHeight="1">
      <c r="E54" s="71"/>
      <c r="F54" s="71"/>
    </row>
    <row r="55" spans="5:6" ht="80.099999999999994" customHeight="1">
      <c r="E55" s="71"/>
      <c r="F55" s="71"/>
    </row>
    <row r="56" spans="5:6" ht="80.099999999999994" customHeight="1">
      <c r="E56" s="71"/>
      <c r="F56" s="71"/>
    </row>
    <row r="57" spans="5:6" ht="80.099999999999994" customHeight="1">
      <c r="E57" s="71"/>
      <c r="F57" s="71"/>
    </row>
    <row r="58" spans="5:6" ht="80.099999999999994" customHeight="1">
      <c r="E58" s="71"/>
      <c r="F58" s="71"/>
    </row>
    <row r="59" spans="5:6" ht="80.099999999999994" customHeight="1">
      <c r="E59" s="71"/>
      <c r="F59" s="71"/>
    </row>
    <row r="60" spans="5:6" ht="80.099999999999994" customHeight="1">
      <c r="E60" s="71"/>
      <c r="F60" s="71"/>
    </row>
    <row r="61" spans="5:6" ht="80.099999999999994" customHeight="1">
      <c r="E61" s="71"/>
      <c r="F61" s="71"/>
    </row>
    <row r="62" spans="5:6" ht="80.099999999999994" customHeight="1">
      <c r="E62" s="71"/>
      <c r="F62" s="71"/>
    </row>
    <row r="63" spans="5:6" ht="80.099999999999994" customHeight="1">
      <c r="E63" s="71"/>
      <c r="F63" s="71"/>
    </row>
    <row r="64" spans="5:6" ht="80.099999999999994" customHeight="1">
      <c r="E64" s="71"/>
      <c r="F64" s="71"/>
    </row>
    <row r="65" spans="5:6" ht="80.099999999999994" customHeight="1">
      <c r="E65" s="71"/>
      <c r="F65" s="71"/>
    </row>
    <row r="66" spans="5:6" ht="80.099999999999994" customHeight="1">
      <c r="E66" s="71"/>
      <c r="F66" s="71"/>
    </row>
    <row r="67" spans="5:6" ht="80.099999999999994" customHeight="1">
      <c r="E67" s="71"/>
      <c r="F67" s="71"/>
    </row>
    <row r="68" spans="5:6" ht="80.099999999999994" customHeight="1">
      <c r="E68" s="71"/>
      <c r="F68" s="71"/>
    </row>
    <row r="69" spans="5:6" ht="80.099999999999994" customHeight="1">
      <c r="E69" s="71"/>
      <c r="F69" s="71"/>
    </row>
    <row r="70" spans="5:6" ht="80.099999999999994" customHeight="1">
      <c r="E70" s="71"/>
      <c r="F70" s="71"/>
    </row>
    <row r="71" spans="5:6" ht="80.099999999999994" customHeight="1">
      <c r="E71" s="71"/>
      <c r="F71" s="71"/>
    </row>
    <row r="72" spans="5:6" ht="80.099999999999994" customHeight="1">
      <c r="E72" s="71"/>
      <c r="F72" s="71"/>
    </row>
    <row r="73" spans="5:6" ht="80.099999999999994" customHeight="1">
      <c r="E73" s="71"/>
      <c r="F73" s="71"/>
    </row>
    <row r="74" spans="5:6" ht="80.099999999999994" customHeight="1">
      <c r="E74" s="71"/>
      <c r="F74" s="71"/>
    </row>
    <row r="75" spans="5:6" ht="80.099999999999994" customHeight="1">
      <c r="E75" s="71"/>
      <c r="F75" s="71"/>
    </row>
    <row r="76" spans="5:6" ht="80.099999999999994" customHeight="1">
      <c r="E76" s="71"/>
      <c r="F76" s="71"/>
    </row>
    <row r="77" spans="5:6" ht="80.099999999999994" customHeight="1">
      <c r="E77" s="71"/>
      <c r="F77" s="71"/>
    </row>
    <row r="78" spans="5:6" ht="80.099999999999994" customHeight="1">
      <c r="E78" s="71"/>
      <c r="F78" s="71"/>
    </row>
    <row r="79" spans="5:6" ht="80.099999999999994" customHeight="1">
      <c r="E79" s="71"/>
      <c r="F79" s="71"/>
    </row>
    <row r="80" spans="5:6" ht="80.099999999999994" customHeight="1">
      <c r="E80" s="71"/>
      <c r="F80" s="71"/>
    </row>
    <row r="81" spans="5:6" ht="80.099999999999994" customHeight="1">
      <c r="E81" s="71"/>
      <c r="F81" s="71"/>
    </row>
    <row r="82" spans="5:6" ht="80.099999999999994" customHeight="1">
      <c r="E82" s="71"/>
      <c r="F82" s="71"/>
    </row>
    <row r="83" spans="5:6" ht="80.099999999999994" customHeight="1">
      <c r="E83" s="71"/>
      <c r="F83" s="71"/>
    </row>
    <row r="84" spans="5:6" ht="80.099999999999994" customHeight="1">
      <c r="E84" s="71"/>
      <c r="F84" s="71"/>
    </row>
    <row r="85" spans="5:6" ht="80.099999999999994" customHeight="1">
      <c r="E85" s="71"/>
      <c r="F85" s="71"/>
    </row>
    <row r="86" spans="5:6" ht="80.099999999999994" customHeight="1">
      <c r="E86" s="71"/>
      <c r="F86" s="71"/>
    </row>
    <row r="87" spans="5:6" ht="80.099999999999994" customHeight="1">
      <c r="E87" s="71"/>
      <c r="F87" s="71"/>
    </row>
    <row r="88" spans="5:6" ht="80.099999999999994" customHeight="1">
      <c r="E88" s="71"/>
      <c r="F88" s="71"/>
    </row>
    <row r="89" spans="5:6" ht="80.099999999999994" customHeight="1">
      <c r="E89" s="71"/>
      <c r="F89" s="71"/>
    </row>
    <row r="90" spans="5:6" ht="80.099999999999994" customHeight="1">
      <c r="E90" s="71"/>
      <c r="F90" s="71"/>
    </row>
    <row r="91" spans="5:6" ht="80.099999999999994" customHeight="1">
      <c r="E91" s="71"/>
      <c r="F91" s="71"/>
    </row>
    <row r="92" spans="5:6" ht="80.099999999999994" customHeight="1">
      <c r="E92" s="71"/>
      <c r="F92" s="71"/>
    </row>
    <row r="93" spans="5:6" ht="80.099999999999994" customHeight="1">
      <c r="E93" s="71"/>
      <c r="F93" s="71"/>
    </row>
    <row r="94" spans="5:6" ht="80.099999999999994" customHeight="1">
      <c r="E94" s="71"/>
      <c r="F94" s="71"/>
    </row>
    <row r="95" spans="5:6" ht="80.099999999999994" customHeight="1">
      <c r="E95" s="71"/>
      <c r="F95" s="71"/>
    </row>
    <row r="96" spans="5:6" ht="80.099999999999994" customHeight="1">
      <c r="E96" s="71"/>
      <c r="F96" s="71"/>
    </row>
    <row r="97" spans="5:6" ht="80.099999999999994" customHeight="1">
      <c r="E97" s="71"/>
      <c r="F97" s="71"/>
    </row>
    <row r="98" spans="5:6" ht="80.099999999999994" customHeight="1">
      <c r="E98" s="71"/>
      <c r="F98" s="71"/>
    </row>
    <row r="99" spans="5:6" ht="80.099999999999994" customHeight="1">
      <c r="E99" s="71"/>
      <c r="F99" s="71"/>
    </row>
    <row r="100" spans="5:6" ht="80.099999999999994" customHeight="1">
      <c r="E100" s="71"/>
      <c r="F100" s="71"/>
    </row>
    <row r="101" spans="5:6" ht="80.099999999999994" customHeight="1">
      <c r="E101" s="71"/>
      <c r="F101" s="71"/>
    </row>
    <row r="102" spans="5:6" ht="80.099999999999994" customHeight="1">
      <c r="E102" s="71"/>
      <c r="F102" s="71"/>
    </row>
    <row r="103" spans="5:6" ht="80.099999999999994" customHeight="1">
      <c r="E103" s="71"/>
      <c r="F103" s="71"/>
    </row>
    <row r="104" spans="5:6" ht="80.099999999999994" customHeight="1">
      <c r="E104" s="71"/>
      <c r="F104" s="71"/>
    </row>
    <row r="105" spans="5:6" ht="80.099999999999994" customHeight="1">
      <c r="E105" s="71"/>
      <c r="F105" s="71"/>
    </row>
    <row r="106" spans="5:6" ht="80.099999999999994" customHeight="1">
      <c r="E106" s="71"/>
      <c r="F106" s="71"/>
    </row>
    <row r="107" spans="5:6" ht="80.099999999999994" customHeight="1">
      <c r="E107" s="71"/>
      <c r="F107" s="71"/>
    </row>
    <row r="108" spans="5:6" ht="80.099999999999994" customHeight="1">
      <c r="E108" s="71"/>
      <c r="F108" s="71"/>
    </row>
    <row r="109" spans="5:6" ht="80.099999999999994" customHeight="1">
      <c r="E109" s="71"/>
      <c r="F109" s="71"/>
    </row>
    <row r="110" spans="5:6" ht="80.099999999999994" customHeight="1">
      <c r="E110" s="71"/>
      <c r="F110" s="71"/>
    </row>
    <row r="111" spans="5:6" ht="80.099999999999994" customHeight="1">
      <c r="E111" s="71"/>
      <c r="F111" s="71"/>
    </row>
    <row r="112" spans="5:6" ht="80.099999999999994" customHeight="1">
      <c r="E112" s="71"/>
      <c r="F112" s="71"/>
    </row>
    <row r="113" spans="5:6" ht="80.099999999999994" customHeight="1">
      <c r="E113" s="71"/>
      <c r="F113" s="71"/>
    </row>
    <row r="114" spans="5:6" ht="80.099999999999994" customHeight="1">
      <c r="E114" s="71"/>
      <c r="F114" s="71"/>
    </row>
    <row r="115" spans="5:6" ht="80.099999999999994" customHeight="1">
      <c r="E115" s="71"/>
      <c r="F115" s="71"/>
    </row>
    <row r="116" spans="5:6" ht="80.099999999999994" customHeight="1">
      <c r="E116" s="71"/>
      <c r="F116" s="71"/>
    </row>
    <row r="117" spans="5:6" ht="80.099999999999994" customHeight="1">
      <c r="E117" s="71"/>
      <c r="F117" s="71"/>
    </row>
    <row r="118" spans="5:6" ht="80.099999999999994" customHeight="1">
      <c r="E118" s="71"/>
      <c r="F118" s="71"/>
    </row>
    <row r="119" spans="5:6" ht="80.099999999999994" customHeight="1">
      <c r="E119" s="71"/>
      <c r="F119" s="71"/>
    </row>
    <row r="120" spans="5:6" ht="80.099999999999994" customHeight="1">
      <c r="E120" s="71"/>
      <c r="F120" s="71"/>
    </row>
    <row r="121" spans="5:6" ht="80.099999999999994" customHeight="1">
      <c r="E121" s="71"/>
      <c r="F121" s="71"/>
    </row>
    <row r="122" spans="5:6" ht="80.099999999999994" customHeight="1">
      <c r="E122" s="71"/>
      <c r="F122" s="71"/>
    </row>
    <row r="123" spans="5:6" ht="80.099999999999994" customHeight="1">
      <c r="E123" s="71"/>
      <c r="F123" s="71"/>
    </row>
    <row r="124" spans="5:6" ht="80.099999999999994" customHeight="1">
      <c r="E124" s="71"/>
      <c r="F124" s="71"/>
    </row>
    <row r="125" spans="5:6" ht="80.099999999999994" customHeight="1">
      <c r="E125" s="71"/>
      <c r="F125" s="71"/>
    </row>
    <row r="126" spans="5:6" ht="80.099999999999994" customHeight="1">
      <c r="E126" s="71"/>
      <c r="F126" s="71"/>
    </row>
    <row r="127" spans="5:6" ht="80.099999999999994" customHeight="1">
      <c r="E127" s="71"/>
      <c r="F127" s="71"/>
    </row>
    <row r="128" spans="5:6" ht="80.099999999999994" customHeight="1">
      <c r="E128" s="71"/>
      <c r="F128" s="71"/>
    </row>
    <row r="129" spans="5:6" ht="80.099999999999994" customHeight="1">
      <c r="E129" s="71"/>
      <c r="F129" s="71"/>
    </row>
    <row r="130" spans="5:6" ht="80.099999999999994" customHeight="1">
      <c r="E130" s="71"/>
      <c r="F130" s="71"/>
    </row>
    <row r="131" spans="5:6" ht="80.099999999999994" customHeight="1">
      <c r="E131" s="71"/>
      <c r="F131" s="71"/>
    </row>
  </sheetData>
  <sheetProtection password="ED12" sheet="1" objects="1" sort="0" autoFilter="0" pivotTables="0"/>
  <autoFilter ref="E1:L131"/>
  <pageMargins left="0.31496062992125984" right="0.70866141732283472" top="0.48841145833333333" bottom="0.74803149606299213" header="0.31496062992125984" footer="0.31496062992125984"/>
  <pageSetup paperSize="9" scale="66" orientation="portrait" r:id="rId1"/>
  <headerFooter>
    <oddHeader xml:space="preserve">&amp;LRESTAURANTE BAR CALHAU&amp;CBALANÇETE </oddHeader>
    <oddFooter>&amp;CPágina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2"/>
  <sheetViews>
    <sheetView topLeftCell="A25" workbookViewId="0">
      <selection activeCell="C33" sqref="C33"/>
    </sheetView>
  </sheetViews>
  <sheetFormatPr defaultRowHeight="18.75"/>
  <cols>
    <col min="1" max="1" width="94.85546875" style="296" customWidth="1"/>
    <col min="2" max="2" width="14.7109375" style="296" customWidth="1"/>
    <col min="3" max="3" width="21.5703125" style="296" bestFit="1" customWidth="1"/>
    <col min="4" max="4" width="15.5703125" style="296" customWidth="1"/>
    <col min="5" max="5" width="13.5703125" style="296" bestFit="1" customWidth="1"/>
    <col min="6" max="16384" width="9.140625" style="296"/>
  </cols>
  <sheetData>
    <row r="1" spans="1:5">
      <c r="A1" s="293" t="s">
        <v>345</v>
      </c>
      <c r="B1" s="294"/>
      <c r="C1" s="294"/>
      <c r="D1" s="294"/>
      <c r="E1" s="295"/>
    </row>
    <row r="2" spans="1:5">
      <c r="A2" s="293" t="s">
        <v>211</v>
      </c>
      <c r="B2" s="294"/>
      <c r="C2" s="297"/>
      <c r="D2" s="294"/>
      <c r="E2" s="294"/>
    </row>
    <row r="3" spans="1:5">
      <c r="A3" s="293" t="s">
        <v>252</v>
      </c>
      <c r="B3" s="294"/>
      <c r="C3" s="294"/>
      <c r="D3" s="294"/>
      <c r="E3" s="294"/>
    </row>
    <row r="4" spans="1:5">
      <c r="A4" s="637" t="s">
        <v>212</v>
      </c>
      <c r="B4" s="637"/>
      <c r="C4" s="639" t="s">
        <v>213</v>
      </c>
      <c r="D4" s="640"/>
      <c r="E4" s="294"/>
    </row>
    <row r="5" spans="1:5">
      <c r="A5" s="638"/>
      <c r="B5" s="638"/>
      <c r="C5" s="298">
        <v>41244</v>
      </c>
      <c r="D5" s="298">
        <v>40878</v>
      </c>
    </row>
    <row r="6" spans="1:5">
      <c r="A6" s="299" t="s">
        <v>214</v>
      </c>
      <c r="B6" s="300"/>
      <c r="C6" s="301">
        <f>Balancete!L37</f>
        <v>50291174.713043481</v>
      </c>
      <c r="D6" s="301"/>
    </row>
    <row r="7" spans="1:5">
      <c r="A7" s="302" t="s">
        <v>215</v>
      </c>
      <c r="B7" s="303"/>
      <c r="C7" s="304">
        <v>0</v>
      </c>
      <c r="D7" s="304"/>
    </row>
    <row r="8" spans="1:5">
      <c r="A8" s="302" t="s">
        <v>216</v>
      </c>
      <c r="B8" s="303"/>
      <c r="C8" s="304">
        <v>0</v>
      </c>
      <c r="D8" s="304"/>
    </row>
    <row r="9" spans="1:5">
      <c r="A9" s="302" t="s">
        <v>217</v>
      </c>
      <c r="B9" s="303"/>
      <c r="C9" s="304">
        <v>0</v>
      </c>
      <c r="D9" s="304"/>
    </row>
    <row r="10" spans="1:5">
      <c r="A10" s="302" t="s">
        <v>218</v>
      </c>
      <c r="B10" s="303"/>
      <c r="C10" s="304">
        <v>0</v>
      </c>
      <c r="D10" s="304"/>
    </row>
    <row r="11" spans="1:5">
      <c r="A11" s="302" t="s">
        <v>219</v>
      </c>
      <c r="B11" s="303"/>
      <c r="C11" s="304">
        <f>-C55</f>
        <v>-22753392.521739133</v>
      </c>
      <c r="D11" s="304"/>
    </row>
    <row r="12" spans="1:5">
      <c r="A12" s="302" t="s">
        <v>220</v>
      </c>
      <c r="B12" s="303"/>
      <c r="C12" s="304">
        <f>-(SUM(Razão!J120:J127,Razão!J129,Razão!J134,Razão!J136,Razão!J138))</f>
        <v>-1977886.9565217393</v>
      </c>
      <c r="D12" s="304"/>
    </row>
    <row r="13" spans="1:5">
      <c r="A13" s="302" t="s">
        <v>221</v>
      </c>
      <c r="B13" s="303"/>
      <c r="C13" s="304">
        <f>-SUM(Razão!J130,Razão!J131,Razão!J133)</f>
        <v>-14250600</v>
      </c>
      <c r="D13" s="304"/>
      <c r="E13" s="305"/>
    </row>
    <row r="14" spans="1:5">
      <c r="A14" s="302" t="s">
        <v>222</v>
      </c>
      <c r="B14" s="303"/>
      <c r="C14" s="304">
        <v>0</v>
      </c>
      <c r="D14" s="304"/>
    </row>
    <row r="15" spans="1:5">
      <c r="A15" s="302" t="s">
        <v>223</v>
      </c>
      <c r="B15" s="303"/>
      <c r="C15" s="304">
        <v>0</v>
      </c>
      <c r="D15" s="304"/>
      <c r="E15" s="305"/>
    </row>
    <row r="16" spans="1:5">
      <c r="A16" s="302" t="s">
        <v>224</v>
      </c>
      <c r="B16" s="303"/>
      <c r="C16" s="304">
        <v>0</v>
      </c>
      <c r="D16" s="304"/>
    </row>
    <row r="17" spans="1:4">
      <c r="A17" s="302" t="s">
        <v>225</v>
      </c>
      <c r="B17" s="303"/>
      <c r="C17" s="304">
        <v>0</v>
      </c>
      <c r="D17" s="304"/>
    </row>
    <row r="18" spans="1:4">
      <c r="A18" s="302" t="s">
        <v>226</v>
      </c>
      <c r="B18" s="303"/>
      <c r="C18" s="304">
        <v>0</v>
      </c>
      <c r="D18" s="304"/>
    </row>
    <row r="19" spans="1:4">
      <c r="A19" s="302" t="s">
        <v>227</v>
      </c>
      <c r="B19" s="303"/>
      <c r="C19" s="304">
        <v>0</v>
      </c>
      <c r="D19" s="304"/>
    </row>
    <row r="20" spans="1:4">
      <c r="A20" s="302" t="s">
        <v>228</v>
      </c>
      <c r="B20" s="303"/>
      <c r="C20" s="304">
        <f>-(Razão!N90)</f>
        <v>-10600</v>
      </c>
      <c r="D20" s="304"/>
    </row>
    <row r="21" spans="1:4">
      <c r="A21" s="302"/>
      <c r="B21" s="303"/>
      <c r="D21" s="306"/>
    </row>
    <row r="22" spans="1:4">
      <c r="A22" s="307" t="s">
        <v>229</v>
      </c>
      <c r="B22" s="303"/>
      <c r="C22" s="308">
        <f>SUM(C6:C20)</f>
        <v>11298695.23478261</v>
      </c>
      <c r="D22" s="308"/>
    </row>
    <row r="23" spans="1:4">
      <c r="A23" s="302"/>
      <c r="B23" s="303"/>
      <c r="C23" s="301"/>
      <c r="D23" s="301"/>
    </row>
    <row r="24" spans="1:4">
      <c r="A24" s="302" t="s">
        <v>230</v>
      </c>
      <c r="B24" s="303"/>
      <c r="C24" s="304">
        <f>Razão!N147</f>
        <v>1372232.94306</v>
      </c>
      <c r="D24" s="304"/>
    </row>
    <row r="25" spans="1:4">
      <c r="A25" s="302" t="s">
        <v>231</v>
      </c>
      <c r="B25" s="303"/>
      <c r="C25" s="304">
        <v>0</v>
      </c>
      <c r="D25" s="304"/>
    </row>
    <row r="26" spans="1:4">
      <c r="A26" s="302"/>
      <c r="B26" s="303"/>
      <c r="C26" s="306"/>
      <c r="D26" s="306"/>
    </row>
    <row r="27" spans="1:4">
      <c r="A27" s="307" t="s">
        <v>232</v>
      </c>
      <c r="B27" s="303"/>
      <c r="C27" s="308">
        <f>C22-C24</f>
        <v>9926462.2917226106</v>
      </c>
      <c r="D27" s="308"/>
    </row>
    <row r="28" spans="1:4">
      <c r="A28" s="302"/>
      <c r="B28" s="303"/>
      <c r="C28" s="301"/>
      <c r="D28" s="301"/>
    </row>
    <row r="29" spans="1:4">
      <c r="A29" s="302" t="s">
        <v>233</v>
      </c>
      <c r="B29" s="303"/>
      <c r="C29" s="304"/>
      <c r="D29" s="304"/>
    </row>
    <row r="30" spans="1:4">
      <c r="A30" s="302" t="s">
        <v>234</v>
      </c>
      <c r="B30" s="303"/>
      <c r="C30" s="304">
        <f>SUM(Balancete!K36,Balancete!K34)</f>
        <v>444949.67216705694</v>
      </c>
      <c r="D30" s="304"/>
    </row>
    <row r="31" spans="1:4">
      <c r="A31" s="302"/>
      <c r="B31" s="303"/>
      <c r="D31" s="306"/>
    </row>
    <row r="32" spans="1:4">
      <c r="A32" s="307" t="s">
        <v>235</v>
      </c>
      <c r="B32" s="303"/>
      <c r="C32" s="308">
        <f>C27-SUM(C28:C31)</f>
        <v>9481512.6195555534</v>
      </c>
      <c r="D32" s="308"/>
    </row>
    <row r="33" spans="1:4">
      <c r="A33" s="302"/>
      <c r="B33" s="303"/>
      <c r="C33" s="301"/>
      <c r="D33" s="301"/>
    </row>
    <row r="34" spans="1:4">
      <c r="A34" s="302" t="s">
        <v>236</v>
      </c>
      <c r="B34" s="303"/>
      <c r="C34" s="304">
        <f>C32*0.25</f>
        <v>2370378.1548888884</v>
      </c>
      <c r="D34" s="304"/>
    </row>
    <row r="35" spans="1:4">
      <c r="A35" s="302"/>
      <c r="B35" s="303"/>
      <c r="C35" s="306"/>
      <c r="D35" s="306"/>
    </row>
    <row r="36" spans="1:4">
      <c r="A36" s="309" t="s">
        <v>84</v>
      </c>
      <c r="B36" s="303"/>
      <c r="C36" s="308">
        <f>C32-C34</f>
        <v>7111134.4646666646</v>
      </c>
      <c r="D36" s="308"/>
    </row>
    <row r="37" spans="1:4">
      <c r="A37" s="310"/>
      <c r="B37" s="311"/>
      <c r="C37" s="312"/>
      <c r="D37" s="312"/>
    </row>
    <row r="38" spans="1:4">
      <c r="A38" s="313"/>
      <c r="B38" s="294"/>
      <c r="C38" s="314"/>
      <c r="D38" s="314"/>
    </row>
    <row r="39" spans="1:4">
      <c r="A39" s="299" t="s">
        <v>237</v>
      </c>
      <c r="B39" s="641"/>
      <c r="C39" s="643">
        <v>0</v>
      </c>
      <c r="D39" s="643"/>
    </row>
    <row r="40" spans="1:4">
      <c r="A40" s="315" t="s">
        <v>238</v>
      </c>
      <c r="B40" s="642"/>
      <c r="C40" s="644"/>
      <c r="D40" s="644"/>
    </row>
    <row r="41" spans="1:4">
      <c r="A41" s="294"/>
      <c r="B41" s="294"/>
      <c r="C41" s="314"/>
      <c r="D41" s="314"/>
    </row>
    <row r="42" spans="1:4">
      <c r="A42" s="294"/>
      <c r="B42" s="294"/>
      <c r="C42" s="314"/>
      <c r="D42" s="314"/>
    </row>
    <row r="43" spans="1:4">
      <c r="A43" s="294"/>
      <c r="B43" s="294"/>
      <c r="C43" s="314"/>
      <c r="D43" s="314"/>
    </row>
    <row r="44" spans="1:4">
      <c r="A44" s="498" t="s">
        <v>239</v>
      </c>
      <c r="B44" s="499"/>
      <c r="C44" s="500">
        <v>41244</v>
      </c>
      <c r="D44" s="316"/>
    </row>
    <row r="45" spans="1:4">
      <c r="A45" s="474" t="s">
        <v>240</v>
      </c>
      <c r="B45" s="474"/>
      <c r="C45" s="240">
        <v>0</v>
      </c>
      <c r="D45" s="240"/>
    </row>
    <row r="46" spans="1:4">
      <c r="A46" s="474" t="s">
        <v>241</v>
      </c>
      <c r="B46" s="474"/>
      <c r="C46" s="240">
        <v>0</v>
      </c>
      <c r="D46" s="240"/>
    </row>
    <row r="47" spans="1:4">
      <c r="A47" s="474" t="s">
        <v>242</v>
      </c>
      <c r="B47" s="474"/>
      <c r="C47" s="240">
        <v>0</v>
      </c>
      <c r="D47" s="240"/>
    </row>
    <row r="48" spans="1:4">
      <c r="A48" s="474" t="s">
        <v>243</v>
      </c>
      <c r="B48" s="474"/>
      <c r="C48" s="240">
        <v>0</v>
      </c>
      <c r="D48" s="240"/>
    </row>
    <row r="49" spans="1:4">
      <c r="A49" s="474" t="s">
        <v>241</v>
      </c>
      <c r="B49" s="474"/>
      <c r="C49" s="240">
        <v>0</v>
      </c>
      <c r="D49" s="240"/>
    </row>
    <row r="50" spans="1:4">
      <c r="A50" s="474" t="s">
        <v>242</v>
      </c>
      <c r="B50" s="474"/>
      <c r="C50" s="240">
        <f>Balancete!K14</f>
        <v>25919676.521739133</v>
      </c>
      <c r="D50" s="240"/>
    </row>
    <row r="51" spans="1:4">
      <c r="A51" s="474" t="s">
        <v>244</v>
      </c>
      <c r="B51" s="474"/>
      <c r="C51" s="240">
        <v>0</v>
      </c>
      <c r="D51" s="240"/>
    </row>
    <row r="52" spans="1:4">
      <c r="A52" s="474" t="s">
        <v>241</v>
      </c>
      <c r="B52" s="474"/>
      <c r="C52" s="240">
        <v>0</v>
      </c>
      <c r="D52" s="240"/>
    </row>
    <row r="53" spans="1:4">
      <c r="A53" s="474" t="s">
        <v>242</v>
      </c>
      <c r="B53" s="474"/>
      <c r="C53" s="240">
        <f>'[5]Orçamento de compra'!$H$66</f>
        <v>3166284</v>
      </c>
      <c r="D53" s="240"/>
    </row>
    <row r="54" spans="1:4">
      <c r="A54" s="474" t="s">
        <v>245</v>
      </c>
      <c r="B54" s="474"/>
      <c r="C54" s="240">
        <v>0</v>
      </c>
      <c r="D54" s="240"/>
    </row>
    <row r="55" spans="1:4">
      <c r="A55" s="474" t="s">
        <v>246</v>
      </c>
      <c r="B55" s="474"/>
      <c r="C55" s="240">
        <f>C50-C53</f>
        <v>22753392.521739133</v>
      </c>
      <c r="D55" s="240"/>
    </row>
    <row r="56" spans="1:4">
      <c r="A56" s="294"/>
      <c r="B56" s="294"/>
      <c r="C56" s="314"/>
      <c r="D56" s="314"/>
    </row>
    <row r="57" spans="1:4" s="409" customFormat="1">
      <c r="A57" s="407"/>
      <c r="B57" s="407"/>
      <c r="C57" s="408"/>
      <c r="D57" s="408"/>
    </row>
    <row r="58" spans="1:4" s="413" customFormat="1">
      <c r="A58" s="410" t="s">
        <v>247</v>
      </c>
      <c r="B58" s="411"/>
      <c r="C58" s="412">
        <f>C44</f>
        <v>41244</v>
      </c>
      <c r="D58" s="412"/>
    </row>
    <row r="59" spans="1:4" s="413" customFormat="1">
      <c r="A59" s="410" t="s">
        <v>244</v>
      </c>
      <c r="B59" s="411"/>
      <c r="C59" s="414">
        <v>0</v>
      </c>
      <c r="D59" s="414"/>
    </row>
    <row r="60" spans="1:4" s="413" customFormat="1">
      <c r="A60" s="411" t="s">
        <v>248</v>
      </c>
      <c r="B60" s="411"/>
      <c r="C60" s="415">
        <v>0</v>
      </c>
      <c r="D60" s="415"/>
    </row>
    <row r="61" spans="1:4" s="413" customFormat="1">
      <c r="A61" s="411" t="s">
        <v>249</v>
      </c>
      <c r="B61" s="411"/>
      <c r="C61" s="415">
        <v>0</v>
      </c>
      <c r="D61" s="415"/>
    </row>
    <row r="62" spans="1:4" s="413" customFormat="1">
      <c r="A62" s="411" t="s">
        <v>250</v>
      </c>
      <c r="B62" s="411"/>
      <c r="C62" s="415">
        <v>0</v>
      </c>
      <c r="D62" s="415"/>
    </row>
    <row r="63" spans="1:4" s="413" customFormat="1">
      <c r="A63" s="410" t="s">
        <v>240</v>
      </c>
      <c r="B63" s="411"/>
      <c r="C63" s="414">
        <v>0</v>
      </c>
      <c r="D63" s="414"/>
    </row>
    <row r="64" spans="1:4" s="413" customFormat="1">
      <c r="A64" s="411" t="s">
        <v>248</v>
      </c>
      <c r="B64" s="411"/>
      <c r="C64" s="415">
        <v>0</v>
      </c>
      <c r="D64" s="415"/>
    </row>
    <row r="65" spans="1:4" s="413" customFormat="1">
      <c r="A65" s="411" t="s">
        <v>249</v>
      </c>
      <c r="B65" s="411"/>
      <c r="C65" s="415">
        <v>0</v>
      </c>
      <c r="D65" s="415"/>
    </row>
    <row r="66" spans="1:4" s="413" customFormat="1">
      <c r="A66" s="411" t="s">
        <v>250</v>
      </c>
      <c r="B66" s="411"/>
      <c r="C66" s="415">
        <v>0</v>
      </c>
      <c r="D66" s="415"/>
    </row>
    <row r="67" spans="1:4" s="413" customFormat="1">
      <c r="A67" s="410" t="s">
        <v>245</v>
      </c>
      <c r="B67" s="411"/>
      <c r="C67" s="415">
        <v>0</v>
      </c>
      <c r="D67" s="415"/>
    </row>
    <row r="68" spans="1:4" s="413" customFormat="1">
      <c r="A68" s="410" t="s">
        <v>251</v>
      </c>
      <c r="B68" s="411"/>
      <c r="C68" s="414">
        <v>0</v>
      </c>
      <c r="D68" s="414"/>
    </row>
    <row r="69" spans="1:4" s="413" customFormat="1">
      <c r="A69" s="411"/>
      <c r="B69" s="411"/>
      <c r="C69" s="415"/>
      <c r="D69" s="415"/>
    </row>
    <row r="70" spans="1:4" s="413" customFormat="1">
      <c r="A70" s="411"/>
      <c r="B70" s="416"/>
      <c r="C70" s="416"/>
      <c r="D70" s="417"/>
    </row>
    <row r="71" spans="1:4" s="413" customFormat="1"/>
    <row r="72" spans="1:4" s="406" customFormat="1"/>
  </sheetData>
  <mergeCells count="6">
    <mergeCell ref="A4:A5"/>
    <mergeCell ref="B4:B5"/>
    <mergeCell ref="C4:D4"/>
    <mergeCell ref="B39:B40"/>
    <mergeCell ref="C39:C40"/>
    <mergeCell ref="D39:D40"/>
  </mergeCells>
  <pageMargins left="0.7" right="0.7" top="0.75" bottom="0.75" header="0.3" footer="0.3"/>
  <pageSetup paperSize="9" scale="57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C1:H80"/>
  <sheetViews>
    <sheetView view="pageBreakPreview" topLeftCell="A13" zoomScaleNormal="100" zoomScaleSheetLayoutView="100" workbookViewId="0">
      <selection activeCell="B22" sqref="B22"/>
    </sheetView>
  </sheetViews>
  <sheetFormatPr defaultRowHeight="15.75"/>
  <cols>
    <col min="1" max="3" width="9.140625" style="43"/>
    <col min="4" max="4" width="58" style="65" bestFit="1" customWidth="1"/>
    <col min="5" max="5" width="9.140625" style="43"/>
    <col min="6" max="6" width="14.85546875" style="43" bestFit="1" customWidth="1"/>
    <col min="7" max="7" width="9.28515625" style="43" bestFit="1" customWidth="1"/>
    <col min="8" max="8" width="15.140625" style="43" bestFit="1" customWidth="1"/>
    <col min="9" max="16384" width="9.140625" style="43"/>
  </cols>
  <sheetData>
    <row r="1" spans="3:8">
      <c r="C1" s="39"/>
      <c r="D1" s="40"/>
      <c r="E1" s="41"/>
      <c r="F1" s="42"/>
      <c r="G1" s="41"/>
      <c r="H1" s="41"/>
    </row>
    <row r="2" spans="3:8">
      <c r="C2" s="39"/>
      <c r="D2" s="40" t="s">
        <v>345</v>
      </c>
      <c r="E2" s="41"/>
      <c r="F2" s="42"/>
      <c r="G2" s="41"/>
      <c r="H2" s="41"/>
    </row>
    <row r="3" spans="3:8">
      <c r="C3" s="39"/>
      <c r="D3" s="40" t="s">
        <v>62</v>
      </c>
      <c r="E3" s="41"/>
      <c r="F3" s="42"/>
      <c r="G3" s="41"/>
      <c r="H3" s="41"/>
    </row>
    <row r="4" spans="3:8">
      <c r="C4" s="39"/>
      <c r="D4" s="40"/>
      <c r="E4" s="41"/>
      <c r="F4" s="42"/>
      <c r="G4" s="41" t="s">
        <v>63</v>
      </c>
      <c r="H4" s="41"/>
    </row>
    <row r="5" spans="3:8">
      <c r="C5" s="39"/>
      <c r="D5" s="645" t="s">
        <v>64</v>
      </c>
      <c r="E5" s="647" t="s">
        <v>65</v>
      </c>
      <c r="F5" s="649" t="s">
        <v>66</v>
      </c>
      <c r="G5" s="650"/>
      <c r="H5" s="39"/>
    </row>
    <row r="6" spans="3:8">
      <c r="C6" s="39"/>
      <c r="D6" s="646"/>
      <c r="E6" s="648"/>
      <c r="F6" s="44" t="s">
        <v>67</v>
      </c>
      <c r="G6" s="44" t="s">
        <v>68</v>
      </c>
      <c r="H6" s="39"/>
    </row>
    <row r="7" spans="3:8">
      <c r="C7" s="39"/>
      <c r="D7" s="45" t="s">
        <v>69</v>
      </c>
      <c r="E7" s="46"/>
      <c r="F7" s="39"/>
      <c r="G7" s="47"/>
      <c r="H7" s="39"/>
    </row>
    <row r="8" spans="3:8">
      <c r="C8" s="39"/>
      <c r="D8" s="48" t="s">
        <v>70</v>
      </c>
      <c r="E8" s="49"/>
      <c r="F8" s="50"/>
      <c r="G8" s="51"/>
      <c r="H8" s="39"/>
    </row>
    <row r="9" spans="3:8">
      <c r="C9" s="39"/>
      <c r="D9" s="52" t="s">
        <v>46</v>
      </c>
      <c r="E9" s="49"/>
      <c r="F9" s="134">
        <f>'BALANÇO INCIAL'!F7-DRE!C24</f>
        <v>4866698.8291800003</v>
      </c>
      <c r="G9" s="53">
        <v>0</v>
      </c>
      <c r="H9" s="39"/>
    </row>
    <row r="10" spans="3:8">
      <c r="C10" s="39"/>
      <c r="D10" s="52" t="s">
        <v>45</v>
      </c>
      <c r="E10" s="49"/>
      <c r="F10" s="53">
        <v>0</v>
      </c>
      <c r="G10" s="53">
        <v>0</v>
      </c>
      <c r="H10" s="39"/>
    </row>
    <row r="11" spans="3:8">
      <c r="C11" s="39"/>
      <c r="D11" s="52" t="s">
        <v>48</v>
      </c>
      <c r="E11" s="49"/>
      <c r="F11" s="53">
        <v>0</v>
      </c>
      <c r="G11" s="53">
        <v>0</v>
      </c>
      <c r="H11" s="39"/>
    </row>
    <row r="12" spans="3:8">
      <c r="C12" s="39"/>
      <c r="D12" s="52" t="s">
        <v>47</v>
      </c>
      <c r="E12" s="49"/>
      <c r="F12" s="53">
        <f>'[3]Activos Tangiveis'!E51</f>
        <v>0</v>
      </c>
      <c r="G12" s="53">
        <v>0</v>
      </c>
      <c r="H12" s="39"/>
    </row>
    <row r="13" spans="3:8">
      <c r="C13" s="39"/>
      <c r="D13" s="52" t="s">
        <v>44</v>
      </c>
      <c r="E13" s="49"/>
      <c r="F13" s="53">
        <v>0</v>
      </c>
      <c r="G13" s="53">
        <v>0</v>
      </c>
      <c r="H13" s="39"/>
    </row>
    <row r="14" spans="3:8">
      <c r="C14" s="39"/>
      <c r="D14" s="52" t="s">
        <v>71</v>
      </c>
      <c r="E14" s="49"/>
      <c r="F14" s="53">
        <v>0</v>
      </c>
      <c r="G14" s="53">
        <v>0</v>
      </c>
      <c r="H14" s="39"/>
    </row>
    <row r="15" spans="3:8">
      <c r="C15" s="39"/>
      <c r="D15" s="52" t="s">
        <v>72</v>
      </c>
      <c r="E15" s="49"/>
      <c r="F15" s="53">
        <v>0</v>
      </c>
      <c r="G15" s="53">
        <v>0</v>
      </c>
      <c r="H15" s="39"/>
    </row>
    <row r="16" spans="3:8">
      <c r="C16" s="39"/>
      <c r="D16" s="52" t="s">
        <v>39</v>
      </c>
      <c r="E16" s="49"/>
      <c r="F16" s="53">
        <v>0</v>
      </c>
      <c r="G16" s="53">
        <v>0</v>
      </c>
      <c r="H16" s="39"/>
    </row>
    <row r="17" spans="3:8">
      <c r="C17" s="39"/>
      <c r="D17" s="52" t="s">
        <v>73</v>
      </c>
      <c r="E17" s="49"/>
      <c r="F17" s="53"/>
      <c r="G17" s="53">
        <v>0</v>
      </c>
      <c r="H17" s="39"/>
    </row>
    <row r="18" spans="3:8">
      <c r="C18" s="39"/>
      <c r="D18" s="52" t="s">
        <v>31</v>
      </c>
      <c r="E18" s="49"/>
      <c r="F18" s="53">
        <v>0</v>
      </c>
      <c r="G18" s="53">
        <v>0</v>
      </c>
      <c r="H18" s="39"/>
    </row>
    <row r="19" spans="3:8">
      <c r="C19" s="39"/>
      <c r="D19" s="52" t="s">
        <v>40</v>
      </c>
      <c r="E19" s="49"/>
      <c r="F19" s="54">
        <v>0</v>
      </c>
      <c r="G19" s="54">
        <v>0</v>
      </c>
      <c r="H19" s="39"/>
    </row>
    <row r="20" spans="3:8">
      <c r="C20" s="39"/>
      <c r="D20" s="55" t="s">
        <v>74</v>
      </c>
      <c r="E20" s="56"/>
      <c r="F20" s="135">
        <f>SUM(F9:F19)</f>
        <v>4866698.8291800003</v>
      </c>
      <c r="G20" s="57">
        <v>0</v>
      </c>
      <c r="H20" s="39"/>
    </row>
    <row r="21" spans="3:8">
      <c r="C21" s="39"/>
      <c r="D21" s="48" t="s">
        <v>75</v>
      </c>
      <c r="E21" s="49"/>
      <c r="F21" s="58"/>
      <c r="G21" s="58"/>
      <c r="H21" s="39"/>
    </row>
    <row r="22" spans="3:8">
      <c r="C22" s="39"/>
      <c r="D22" s="52" t="s">
        <v>76</v>
      </c>
      <c r="E22" s="49"/>
      <c r="F22" s="136">
        <f>DRE!C53</f>
        <v>3166284</v>
      </c>
      <c r="G22" s="53">
        <v>0</v>
      </c>
      <c r="H22" s="39"/>
    </row>
    <row r="23" spans="3:8">
      <c r="C23" s="39"/>
      <c r="D23" s="52" t="s">
        <v>44</v>
      </c>
      <c r="E23" s="49"/>
      <c r="F23" s="53">
        <v>0</v>
      </c>
      <c r="G23" s="53">
        <v>0</v>
      </c>
      <c r="H23" s="39"/>
    </row>
    <row r="24" spans="3:8">
      <c r="C24" s="39"/>
      <c r="D24" s="52" t="s">
        <v>33</v>
      </c>
      <c r="E24" s="49"/>
      <c r="F24" s="53">
        <v>0</v>
      </c>
      <c r="G24" s="53">
        <v>0</v>
      </c>
      <c r="H24" s="39"/>
    </row>
    <row r="25" spans="3:8">
      <c r="C25" s="39"/>
      <c r="D25" s="52" t="s">
        <v>36</v>
      </c>
      <c r="E25" s="49"/>
      <c r="F25" s="53">
        <v>0</v>
      </c>
      <c r="G25" s="53">
        <v>0</v>
      </c>
      <c r="H25" s="39"/>
    </row>
    <row r="26" spans="3:8">
      <c r="C26" s="39"/>
      <c r="D26" s="52" t="s">
        <v>37</v>
      </c>
      <c r="E26" s="49"/>
      <c r="F26" s="53"/>
      <c r="G26" s="53">
        <v>0</v>
      </c>
      <c r="H26" s="39"/>
    </row>
    <row r="27" spans="3:8">
      <c r="C27" s="39"/>
      <c r="D27" s="52" t="s">
        <v>39</v>
      </c>
      <c r="E27" s="49"/>
      <c r="F27" s="53">
        <v>0</v>
      </c>
      <c r="G27" s="53">
        <v>0</v>
      </c>
      <c r="H27" s="39"/>
    </row>
    <row r="28" spans="3:8">
      <c r="C28" s="39"/>
      <c r="D28" s="52" t="s">
        <v>73</v>
      </c>
      <c r="E28" s="49"/>
      <c r="F28" s="53">
        <v>0</v>
      </c>
      <c r="G28" s="53">
        <v>0</v>
      </c>
      <c r="H28" s="39"/>
    </row>
    <row r="29" spans="3:8">
      <c r="C29" s="39"/>
      <c r="D29" s="52" t="s">
        <v>42</v>
      </c>
      <c r="E29" s="49"/>
      <c r="F29" s="53">
        <f>Razão!G103</f>
        <v>0</v>
      </c>
      <c r="G29" s="53">
        <v>0</v>
      </c>
      <c r="H29" s="39"/>
    </row>
    <row r="30" spans="3:8">
      <c r="C30" s="39"/>
      <c r="D30" s="52" t="s">
        <v>77</v>
      </c>
      <c r="E30" s="49"/>
      <c r="F30" s="53">
        <v>0</v>
      </c>
      <c r="G30" s="53">
        <v>0</v>
      </c>
      <c r="H30" s="39"/>
    </row>
    <row r="31" spans="3:8">
      <c r="C31" s="39"/>
      <c r="D31" s="52" t="s">
        <v>31</v>
      </c>
      <c r="E31" s="49"/>
      <c r="F31" s="53">
        <v>0</v>
      </c>
      <c r="G31" s="53">
        <v>0</v>
      </c>
      <c r="H31" s="39"/>
    </row>
    <row r="32" spans="3:8">
      <c r="C32" s="39"/>
      <c r="D32" s="52" t="s">
        <v>49</v>
      </c>
      <c r="E32" s="49"/>
      <c r="F32" s="53">
        <v>0</v>
      </c>
      <c r="G32" s="53">
        <v>0</v>
      </c>
      <c r="H32" s="39"/>
    </row>
    <row r="33" spans="3:8">
      <c r="C33" s="39"/>
      <c r="D33" s="52" t="s">
        <v>78</v>
      </c>
      <c r="E33" s="49"/>
      <c r="F33" s="137">
        <f>SUM(Balancete!K2:K3)</f>
        <v>10008889.856162548</v>
      </c>
      <c r="G33" s="54">
        <v>0</v>
      </c>
      <c r="H33" s="39"/>
    </row>
    <row r="34" spans="3:8">
      <c r="C34" s="39"/>
      <c r="D34" s="52" t="s">
        <v>74</v>
      </c>
      <c r="E34" s="49"/>
      <c r="F34" s="57">
        <f>SUM(F22:F33)</f>
        <v>13175173.856162548</v>
      </c>
      <c r="G34" s="57">
        <v>0</v>
      </c>
      <c r="H34" s="39"/>
    </row>
    <row r="35" spans="3:8" ht="16.5" thickBot="1">
      <c r="C35" s="39"/>
      <c r="D35" s="48" t="s">
        <v>79</v>
      </c>
      <c r="E35" s="49"/>
      <c r="F35" s="59">
        <f>SUM(F34,F20)</f>
        <v>18041872.68534255</v>
      </c>
      <c r="G35" s="59">
        <v>0</v>
      </c>
      <c r="H35" s="39"/>
    </row>
    <row r="36" spans="3:8" ht="16.5" thickTop="1">
      <c r="C36" s="39"/>
      <c r="D36" s="48" t="s">
        <v>80</v>
      </c>
      <c r="E36" s="49"/>
      <c r="F36" s="53"/>
      <c r="G36" s="53"/>
      <c r="H36" s="39"/>
    </row>
    <row r="37" spans="3:8">
      <c r="C37" s="39"/>
      <c r="D37" s="48" t="s">
        <v>81</v>
      </c>
      <c r="E37" s="49"/>
      <c r="F37" s="39"/>
      <c r="G37" s="53"/>
      <c r="H37" s="39"/>
    </row>
    <row r="38" spans="3:8">
      <c r="C38" s="39"/>
      <c r="D38" s="52" t="s">
        <v>82</v>
      </c>
      <c r="E38" s="49"/>
      <c r="F38" s="53">
        <f>Balancete!L18</f>
        <v>3000000</v>
      </c>
      <c r="G38" s="53">
        <v>0</v>
      </c>
      <c r="H38" s="39"/>
    </row>
    <row r="39" spans="3:8">
      <c r="C39" s="39"/>
      <c r="D39" s="52" t="s">
        <v>50</v>
      </c>
      <c r="E39" s="49"/>
      <c r="F39" s="53">
        <v>0</v>
      </c>
      <c r="G39" s="53">
        <v>0</v>
      </c>
      <c r="H39" s="39"/>
    </row>
    <row r="40" spans="3:8">
      <c r="C40" s="39"/>
      <c r="D40" s="52" t="s">
        <v>51</v>
      </c>
      <c r="E40" s="49"/>
      <c r="F40" s="53">
        <v>0</v>
      </c>
      <c r="G40" s="53">
        <v>0</v>
      </c>
    </row>
    <row r="41" spans="3:8">
      <c r="C41" s="39"/>
      <c r="D41" s="52" t="s">
        <v>52</v>
      </c>
      <c r="E41" s="49"/>
      <c r="F41" s="53">
        <v>0</v>
      </c>
      <c r="G41" s="53">
        <v>0</v>
      </c>
      <c r="H41" s="39"/>
    </row>
    <row r="42" spans="3:8">
      <c r="C42" s="39"/>
      <c r="D42" s="52" t="s">
        <v>53</v>
      </c>
      <c r="E42" s="49"/>
      <c r="F42" s="53">
        <f>Razão!W128</f>
        <v>355556.72323333332</v>
      </c>
      <c r="G42" s="53">
        <v>0</v>
      </c>
      <c r="H42" s="39"/>
    </row>
    <row r="43" spans="3:8">
      <c r="C43" s="39"/>
      <c r="D43" s="52" t="s">
        <v>54</v>
      </c>
      <c r="E43" s="49"/>
      <c r="F43" s="53">
        <f>Razão!W143</f>
        <v>355556.72323333332</v>
      </c>
      <c r="G43" s="53">
        <v>0</v>
      </c>
      <c r="H43" s="39"/>
    </row>
    <row r="44" spans="3:8">
      <c r="C44" s="39"/>
      <c r="D44" s="52" t="s">
        <v>55</v>
      </c>
      <c r="E44" s="49"/>
      <c r="F44" s="53">
        <f>Razão!AA143</f>
        <v>0</v>
      </c>
      <c r="G44" s="53">
        <v>0</v>
      </c>
      <c r="H44" s="39"/>
    </row>
    <row r="45" spans="3:8">
      <c r="C45" s="39"/>
      <c r="D45" s="52" t="s">
        <v>56</v>
      </c>
      <c r="E45" s="49"/>
      <c r="F45" s="53">
        <v>0</v>
      </c>
      <c r="G45" s="53">
        <v>0</v>
      </c>
      <c r="H45" s="39"/>
    </row>
    <row r="46" spans="3:8">
      <c r="C46" s="39"/>
      <c r="D46" s="52" t="s">
        <v>83</v>
      </c>
      <c r="E46" s="49"/>
      <c r="F46" s="53">
        <v>0</v>
      </c>
      <c r="G46" s="53">
        <v>0</v>
      </c>
      <c r="H46" s="39"/>
    </row>
    <row r="47" spans="3:8">
      <c r="C47" s="39"/>
      <c r="D47" s="52" t="s">
        <v>57</v>
      </c>
      <c r="E47" s="49"/>
      <c r="F47" s="54">
        <v>0</v>
      </c>
      <c r="G47" s="54">
        <v>0</v>
      </c>
      <c r="H47" s="39"/>
    </row>
    <row r="48" spans="3:8">
      <c r="C48" s="39"/>
      <c r="D48" s="52" t="s">
        <v>84</v>
      </c>
      <c r="E48" s="49"/>
      <c r="F48" s="60">
        <f>Razão!S129</f>
        <v>6400021.0181999998</v>
      </c>
      <c r="G48" s="60">
        <v>0</v>
      </c>
      <c r="H48" s="39"/>
    </row>
    <row r="49" spans="3:8">
      <c r="C49" s="39"/>
      <c r="D49" s="52" t="s">
        <v>85</v>
      </c>
      <c r="E49" s="49"/>
      <c r="F49" s="60">
        <v>0</v>
      </c>
      <c r="G49" s="60">
        <v>0</v>
      </c>
      <c r="H49" s="39"/>
    </row>
    <row r="50" spans="3:8">
      <c r="C50" s="39"/>
      <c r="D50" s="48" t="s">
        <v>86</v>
      </c>
      <c r="E50" s="49"/>
      <c r="F50" s="57">
        <f>SUM(F36:F48)</f>
        <v>10111134.464666666</v>
      </c>
      <c r="G50" s="57">
        <v>0</v>
      </c>
      <c r="H50" s="39"/>
    </row>
    <row r="51" spans="3:8">
      <c r="C51" s="39"/>
      <c r="D51" s="48" t="s">
        <v>87</v>
      </c>
      <c r="E51" s="49"/>
      <c r="F51" s="58"/>
      <c r="G51" s="58"/>
      <c r="H51" s="39"/>
    </row>
    <row r="52" spans="3:8">
      <c r="C52" s="39"/>
      <c r="D52" s="48" t="s">
        <v>88</v>
      </c>
      <c r="E52" s="49"/>
      <c r="F52" s="39"/>
      <c r="G52" s="53"/>
      <c r="H52" s="39"/>
    </row>
    <row r="53" spans="3:8">
      <c r="C53" s="39"/>
      <c r="D53" s="52" t="s">
        <v>43</v>
      </c>
      <c r="E53" s="49"/>
      <c r="G53" s="53">
        <v>0</v>
      </c>
      <c r="H53" s="39"/>
    </row>
    <row r="54" spans="3:8">
      <c r="C54" s="39"/>
      <c r="D54" s="52" t="s">
        <v>38</v>
      </c>
      <c r="E54" s="49"/>
      <c r="F54" s="53">
        <f>Balancete!L5</f>
        <v>5701377.3005695967</v>
      </c>
      <c r="G54" s="53">
        <v>0</v>
      </c>
      <c r="H54" s="132">
        <f>F74-F35</f>
        <v>4623223.9999999925</v>
      </c>
    </row>
    <row r="55" spans="3:8">
      <c r="C55" s="39"/>
      <c r="D55" s="52" t="s">
        <v>89</v>
      </c>
      <c r="E55" s="49"/>
      <c r="F55" s="53">
        <v>0</v>
      </c>
      <c r="G55" s="53">
        <v>0</v>
      </c>
      <c r="H55" s="39"/>
    </row>
    <row r="56" spans="3:8">
      <c r="C56" s="39"/>
      <c r="D56" s="52" t="s">
        <v>37</v>
      </c>
      <c r="E56" s="49"/>
      <c r="F56" s="53">
        <v>0</v>
      </c>
      <c r="G56" s="53">
        <v>0</v>
      </c>
      <c r="H56" s="39"/>
    </row>
    <row r="57" spans="3:8">
      <c r="C57" s="39"/>
      <c r="D57" s="52" t="s">
        <v>39</v>
      </c>
      <c r="E57" s="49"/>
      <c r="F57" s="53">
        <v>0</v>
      </c>
      <c r="G57" s="53">
        <v>0</v>
      </c>
      <c r="H57" s="39"/>
    </row>
    <row r="58" spans="3:8">
      <c r="C58" s="39"/>
      <c r="D58" s="52" t="s">
        <v>41</v>
      </c>
      <c r="E58" s="49"/>
      <c r="F58" s="53">
        <v>0</v>
      </c>
      <c r="G58" s="53">
        <v>0</v>
      </c>
      <c r="H58" s="39"/>
    </row>
    <row r="59" spans="3:8">
      <c r="C59" s="39"/>
      <c r="D59" s="52" t="s">
        <v>90</v>
      </c>
      <c r="E59" s="49"/>
      <c r="F59" s="54"/>
      <c r="G59" s="54">
        <v>0</v>
      </c>
      <c r="H59" s="39"/>
    </row>
    <row r="60" spans="3:8">
      <c r="C60" s="39"/>
      <c r="D60" s="55" t="s">
        <v>74</v>
      </c>
      <c r="E60" s="49"/>
      <c r="F60" s="57">
        <f>SUM(F51:F59)</f>
        <v>5701377.3005695967</v>
      </c>
      <c r="G60" s="57">
        <v>0</v>
      </c>
      <c r="H60" s="39"/>
    </row>
    <row r="61" spans="3:8">
      <c r="C61" s="39"/>
      <c r="D61" s="48" t="s">
        <v>91</v>
      </c>
      <c r="E61" s="49"/>
      <c r="F61" s="58"/>
      <c r="G61" s="58"/>
      <c r="H61" s="39"/>
    </row>
    <row r="62" spans="3:8">
      <c r="C62" s="39"/>
      <c r="D62" s="52" t="s">
        <v>35</v>
      </c>
      <c r="E62" s="49"/>
      <c r="F62" s="53">
        <v>0</v>
      </c>
      <c r="G62" s="53">
        <v>0</v>
      </c>
      <c r="H62" s="39"/>
    </row>
    <row r="63" spans="3:8">
      <c r="C63" s="39"/>
      <c r="D63" s="52" t="s">
        <v>34</v>
      </c>
      <c r="E63" s="49"/>
      <c r="G63" s="53">
        <v>0</v>
      </c>
      <c r="H63" s="39"/>
    </row>
    <row r="64" spans="3:8">
      <c r="C64" s="39"/>
      <c r="D64" s="52" t="s">
        <v>37</v>
      </c>
      <c r="E64" s="49"/>
      <c r="F64" s="133">
        <f>SUM(Razão!W63,Razão!AA63)+Razão!G149</f>
        <v>4482206.7652173908</v>
      </c>
      <c r="G64" s="53">
        <v>0</v>
      </c>
      <c r="H64" s="39"/>
    </row>
    <row r="65" spans="3:8">
      <c r="C65" s="39"/>
      <c r="D65" s="52" t="s">
        <v>39</v>
      </c>
      <c r="E65" s="49"/>
      <c r="F65" s="53"/>
      <c r="G65" s="53">
        <v>0</v>
      </c>
      <c r="H65" s="39"/>
    </row>
    <row r="66" spans="3:8">
      <c r="C66" s="39"/>
      <c r="D66" s="52" t="s">
        <v>38</v>
      </c>
      <c r="E66" s="49"/>
      <c r="F66" s="53"/>
      <c r="G66" s="53">
        <v>0</v>
      </c>
      <c r="H66" s="39"/>
    </row>
    <row r="67" spans="3:8">
      <c r="C67" s="39"/>
      <c r="D67" s="52" t="s">
        <v>90</v>
      </c>
      <c r="E67" s="49"/>
      <c r="F67" s="53">
        <f>SUM(DRE!C139,DRE!C34)+SUM(Razão!AA116,Razão!AA42)</f>
        <v>2370378.1548888884</v>
      </c>
      <c r="G67" s="53">
        <v>0</v>
      </c>
      <c r="H67" s="39"/>
    </row>
    <row r="68" spans="3:8">
      <c r="C68" s="39"/>
      <c r="D68" s="52" t="s">
        <v>42</v>
      </c>
      <c r="E68" s="49"/>
      <c r="F68" s="53"/>
      <c r="G68" s="53">
        <v>0</v>
      </c>
      <c r="H68" s="39"/>
    </row>
    <row r="69" spans="3:8">
      <c r="C69" s="39"/>
      <c r="D69" s="52" t="s">
        <v>92</v>
      </c>
      <c r="E69" s="49"/>
      <c r="F69" s="53">
        <v>0</v>
      </c>
      <c r="G69" s="53">
        <v>0</v>
      </c>
      <c r="H69" s="39"/>
    </row>
    <row r="70" spans="3:8">
      <c r="C70" s="39"/>
      <c r="D70" s="52" t="s">
        <v>32</v>
      </c>
      <c r="E70" s="49"/>
      <c r="F70" s="53">
        <v>0</v>
      </c>
      <c r="G70" s="53">
        <v>0</v>
      </c>
      <c r="H70" s="39"/>
    </row>
    <row r="71" spans="3:8">
      <c r="C71" s="39"/>
      <c r="D71" s="52" t="s">
        <v>93</v>
      </c>
      <c r="E71" s="49"/>
      <c r="F71" s="54"/>
      <c r="G71" s="54"/>
      <c r="H71" s="39"/>
    </row>
    <row r="72" spans="3:8">
      <c r="C72" s="39"/>
      <c r="D72" s="55" t="s">
        <v>94</v>
      </c>
      <c r="E72" s="56"/>
      <c r="F72" s="57">
        <f>SUM(F61:F71)</f>
        <v>6852584.9201062787</v>
      </c>
      <c r="G72" s="57">
        <v>0</v>
      </c>
      <c r="H72" s="39"/>
    </row>
    <row r="73" spans="3:8" ht="16.5" thickBot="1">
      <c r="C73" s="39"/>
      <c r="D73" s="48" t="s">
        <v>95</v>
      </c>
      <c r="E73" s="49"/>
      <c r="F73" s="131">
        <f>SUM(F60,F72)</f>
        <v>12553962.220675875</v>
      </c>
      <c r="G73" s="57">
        <v>0</v>
      </c>
      <c r="H73" s="39"/>
    </row>
    <row r="74" spans="3:8" ht="16.5" thickBot="1">
      <c r="C74" s="39"/>
      <c r="D74" s="67" t="s">
        <v>96</v>
      </c>
      <c r="E74" s="68"/>
      <c r="F74" s="69">
        <f>SUM(F50,F73)</f>
        <v>22665096.685342543</v>
      </c>
      <c r="G74" s="66">
        <v>0</v>
      </c>
      <c r="H74" s="39"/>
    </row>
    <row r="75" spans="3:8">
      <c r="C75" s="39"/>
      <c r="D75" s="61"/>
      <c r="E75" s="41"/>
      <c r="F75" s="42"/>
      <c r="G75" s="41"/>
      <c r="H75" s="39"/>
    </row>
    <row r="76" spans="3:8">
      <c r="C76" s="39"/>
      <c r="D76" s="61"/>
      <c r="E76" s="41"/>
      <c r="F76" s="42"/>
      <c r="G76" s="41"/>
      <c r="H76" s="39"/>
    </row>
    <row r="77" spans="3:8">
      <c r="C77" s="39"/>
      <c r="D77" s="61"/>
      <c r="E77" s="651"/>
      <c r="F77" s="651"/>
      <c r="G77" s="41"/>
      <c r="H77" s="39"/>
    </row>
    <row r="78" spans="3:8">
      <c r="D78" s="61"/>
      <c r="E78" s="62"/>
      <c r="F78" s="63">
        <v>0</v>
      </c>
      <c r="G78" s="63">
        <v>0</v>
      </c>
    </row>
    <row r="79" spans="3:8">
      <c r="D79" s="61"/>
      <c r="E79" s="62"/>
      <c r="F79" s="64"/>
      <c r="G79" s="64"/>
    </row>
    <row r="80" spans="3:8">
      <c r="D80" s="61"/>
      <c r="E80" s="62"/>
      <c r="F80" s="64"/>
      <c r="G80" s="64"/>
    </row>
  </sheetData>
  <mergeCells count="4">
    <mergeCell ref="D5:D6"/>
    <mergeCell ref="E5:E6"/>
    <mergeCell ref="F5:G5"/>
    <mergeCell ref="E77:F77"/>
  </mergeCells>
  <pageMargins left="0.7" right="0.7" top="0.75" bottom="0.75" header="0.3" footer="0.3"/>
  <pageSetup paperSize="9" scale="60" orientation="portrait" r:id="rId1"/>
  <headerFooter>
    <oddHeader xml:space="preserve">&amp;LEntidade: Restaurante Bar Calhau, SA
BALANÇO INICAL&amp;C
BALANÇO INICIAL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3"/>
  <sheetViews>
    <sheetView view="pageBreakPreview" zoomScale="60" zoomScaleNormal="100" workbookViewId="0">
      <selection activeCell="S75" sqref="S75"/>
    </sheetView>
  </sheetViews>
  <sheetFormatPr defaultRowHeight="30" customHeight="1"/>
  <cols>
    <col min="1" max="1" width="9.140625" style="191"/>
    <col min="2" max="2" width="101.28515625" style="191" customWidth="1"/>
    <col min="3" max="3" width="9.140625" style="191"/>
    <col min="4" max="4" width="38.85546875" style="191" customWidth="1"/>
    <col min="5" max="5" width="15" style="191" bestFit="1" customWidth="1"/>
    <col min="6" max="6" width="12.42578125" style="191" bestFit="1" customWidth="1"/>
    <col min="7" max="7" width="35.28515625" style="191" customWidth="1"/>
    <col min="8" max="16384" width="9.140625" style="191"/>
  </cols>
  <sheetData>
    <row r="1" spans="2:7" ht="30" customHeight="1">
      <c r="B1" s="192" t="s">
        <v>61</v>
      </c>
      <c r="C1" s="193"/>
      <c r="D1" s="193"/>
      <c r="E1" s="193"/>
      <c r="F1" s="193"/>
    </row>
    <row r="2" spans="2:7" ht="30" customHeight="1">
      <c r="B2" s="192" t="s">
        <v>267</v>
      </c>
      <c r="C2" s="193"/>
      <c r="D2" s="193"/>
      <c r="E2" s="194"/>
      <c r="F2" s="193"/>
    </row>
    <row r="3" spans="2:7" ht="30" customHeight="1">
      <c r="B3" s="192" t="s">
        <v>298</v>
      </c>
      <c r="C3" s="193"/>
      <c r="D3" s="193"/>
      <c r="E3" s="193"/>
      <c r="F3" s="193"/>
    </row>
    <row r="4" spans="2:7" ht="30" customHeight="1">
      <c r="B4" s="192"/>
      <c r="C4" s="193"/>
      <c r="D4" s="193"/>
      <c r="E4" s="193"/>
      <c r="F4" s="193"/>
    </row>
    <row r="5" spans="2:7" ht="30" customHeight="1">
      <c r="B5" s="652" t="s">
        <v>268</v>
      </c>
      <c r="C5" s="652" t="s">
        <v>65</v>
      </c>
      <c r="D5" s="654" t="s">
        <v>213</v>
      </c>
      <c r="E5" s="655"/>
      <c r="F5" s="193"/>
    </row>
    <row r="6" spans="2:7" ht="30" customHeight="1">
      <c r="B6" s="653"/>
      <c r="C6" s="653"/>
      <c r="D6" s="195">
        <v>41244</v>
      </c>
      <c r="E6" s="195">
        <v>40878</v>
      </c>
      <c r="F6" s="193"/>
    </row>
    <row r="7" spans="2:7" ht="30" customHeight="1">
      <c r="B7" s="196" t="s">
        <v>269</v>
      </c>
      <c r="C7" s="197"/>
      <c r="D7" s="198"/>
      <c r="E7" s="198"/>
      <c r="F7" s="193"/>
    </row>
    <row r="8" spans="2:7" ht="30" customHeight="1">
      <c r="B8" s="199" t="s">
        <v>270</v>
      </c>
      <c r="C8" s="200"/>
      <c r="D8" s="201">
        <f>Balancete!L37</f>
        <v>50291174.713043481</v>
      </c>
      <c r="E8" s="202">
        <v>0</v>
      </c>
      <c r="F8" s="193"/>
    </row>
    <row r="9" spans="2:7" ht="30" customHeight="1">
      <c r="B9" s="199" t="s">
        <v>271</v>
      </c>
      <c r="C9" s="200"/>
      <c r="D9" s="201">
        <f>-SUM(DRE!C55)+DRE!C12+126886.72</f>
        <v>-24604392.758260872</v>
      </c>
      <c r="E9" s="202">
        <v>0</v>
      </c>
      <c r="F9" s="203"/>
      <c r="G9" s="204"/>
    </row>
    <row r="10" spans="2:7" ht="30" customHeight="1">
      <c r="B10" s="199" t="s">
        <v>272</v>
      </c>
      <c r="C10" s="200"/>
      <c r="D10" s="205">
        <f>DRE!C13</f>
        <v>-14250600</v>
      </c>
      <c r="E10" s="206">
        <v>0</v>
      </c>
      <c r="F10" s="203"/>
    </row>
    <row r="11" spans="2:7" ht="30" customHeight="1">
      <c r="B11" s="207" t="s">
        <v>273</v>
      </c>
      <c r="C11" s="200"/>
      <c r="D11" s="208">
        <f>SUM(D8:D10)</f>
        <v>11436181.954782609</v>
      </c>
      <c r="E11" s="209">
        <f>E8-E9-E10</f>
        <v>0</v>
      </c>
      <c r="F11" s="193"/>
    </row>
    <row r="12" spans="2:7" ht="30" customHeight="1">
      <c r="B12" s="199" t="s">
        <v>274</v>
      </c>
      <c r="C12" s="200"/>
      <c r="D12" s="201"/>
      <c r="E12" s="202">
        <v>0</v>
      </c>
      <c r="F12" s="193"/>
    </row>
    <row r="13" spans="2:7" ht="30" customHeight="1">
      <c r="B13" s="199" t="s">
        <v>275</v>
      </c>
      <c r="C13" s="200"/>
      <c r="D13" s="205">
        <v>-126886.72</v>
      </c>
      <c r="E13" s="206">
        <v>0</v>
      </c>
      <c r="F13" s="193"/>
    </row>
    <row r="14" spans="2:7" ht="30" customHeight="1" thickBot="1">
      <c r="B14" s="207" t="s">
        <v>276</v>
      </c>
      <c r="C14" s="200"/>
      <c r="D14" s="210">
        <f>SUM(D11:D13)</f>
        <v>11309295.234782608</v>
      </c>
      <c r="E14" s="211">
        <v>0</v>
      </c>
      <c r="F14" s="193"/>
      <c r="G14" s="204"/>
    </row>
    <row r="15" spans="2:7" ht="30" customHeight="1" thickTop="1">
      <c r="B15" s="212" t="s">
        <v>277</v>
      </c>
      <c r="C15" s="200"/>
      <c r="D15" s="201"/>
      <c r="E15" s="201"/>
      <c r="F15" s="193"/>
      <c r="G15" s="204"/>
    </row>
    <row r="16" spans="2:7" ht="30" customHeight="1">
      <c r="B16" s="199" t="s">
        <v>278</v>
      </c>
      <c r="C16" s="200"/>
      <c r="D16" s="201"/>
      <c r="E16" s="213"/>
      <c r="F16" s="193"/>
      <c r="G16" s="204"/>
    </row>
    <row r="17" spans="2:7" ht="30" customHeight="1">
      <c r="B17" s="214" t="s">
        <v>46</v>
      </c>
      <c r="C17" s="200"/>
      <c r="D17" s="201"/>
      <c r="E17" s="202">
        <v>0</v>
      </c>
      <c r="F17" s="193"/>
    </row>
    <row r="18" spans="2:7" ht="30" customHeight="1">
      <c r="B18" s="214" t="s">
        <v>47</v>
      </c>
      <c r="C18" s="200"/>
      <c r="D18" s="201">
        <v>0</v>
      </c>
      <c r="E18" s="202">
        <v>0</v>
      </c>
      <c r="F18" s="193"/>
    </row>
    <row r="19" spans="2:7" ht="30" customHeight="1">
      <c r="B19" s="214" t="s">
        <v>279</v>
      </c>
      <c r="C19" s="200"/>
      <c r="D19" s="201">
        <v>0</v>
      </c>
      <c r="E19" s="202">
        <v>0</v>
      </c>
      <c r="F19" s="193"/>
    </row>
    <row r="20" spans="2:7" ht="30" customHeight="1">
      <c r="B20" s="214" t="s">
        <v>280</v>
      </c>
      <c r="C20" s="200"/>
      <c r="D20" s="201">
        <v>0</v>
      </c>
      <c r="E20" s="202">
        <v>0</v>
      </c>
      <c r="F20" s="193"/>
    </row>
    <row r="21" spans="2:7" ht="30" customHeight="1">
      <c r="B21" s="199" t="s">
        <v>281</v>
      </c>
      <c r="C21" s="200"/>
      <c r="D21" s="201"/>
      <c r="E21" s="213"/>
      <c r="F21" s="193"/>
    </row>
    <row r="22" spans="2:7" ht="30" customHeight="1">
      <c r="B22" s="214" t="s">
        <v>46</v>
      </c>
      <c r="C22" s="200"/>
      <c r="D22" s="201">
        <v>0</v>
      </c>
      <c r="E22" s="202">
        <v>0</v>
      </c>
      <c r="F22" s="193"/>
    </row>
    <row r="23" spans="2:7" ht="30" customHeight="1">
      <c r="B23" s="214" t="s">
        <v>47</v>
      </c>
      <c r="C23" s="200"/>
      <c r="D23" s="201">
        <v>0</v>
      </c>
      <c r="E23" s="202">
        <v>0</v>
      </c>
      <c r="F23" s="193"/>
      <c r="G23" s="204"/>
    </row>
    <row r="24" spans="2:7" ht="30" customHeight="1">
      <c r="B24" s="214" t="s">
        <v>279</v>
      </c>
      <c r="C24" s="200"/>
      <c r="D24" s="201">
        <v>0</v>
      </c>
      <c r="E24" s="202">
        <v>0</v>
      </c>
      <c r="F24" s="193"/>
    </row>
    <row r="25" spans="2:7" ht="30" customHeight="1">
      <c r="B25" s="214" t="s">
        <v>280</v>
      </c>
      <c r="C25" s="200"/>
      <c r="D25" s="201">
        <v>0</v>
      </c>
      <c r="E25" s="202">
        <v>0</v>
      </c>
      <c r="F25" s="193"/>
    </row>
    <row r="26" spans="2:7" ht="30" customHeight="1">
      <c r="B26" s="214" t="s">
        <v>282</v>
      </c>
      <c r="C26" s="200"/>
      <c r="D26" s="201">
        <v>0</v>
      </c>
      <c r="E26" s="202">
        <v>0</v>
      </c>
      <c r="F26" s="193"/>
    </row>
    <row r="27" spans="2:7" ht="30" customHeight="1">
      <c r="B27" s="214" t="s">
        <v>283</v>
      </c>
      <c r="C27" s="200"/>
      <c r="D27" s="201">
        <v>0</v>
      </c>
      <c r="E27" s="202">
        <v>0</v>
      </c>
      <c r="F27" s="193"/>
    </row>
    <row r="28" spans="2:7" ht="30" customHeight="1">
      <c r="B28" s="214" t="s">
        <v>284</v>
      </c>
      <c r="C28" s="200"/>
      <c r="D28" s="205">
        <v>0</v>
      </c>
      <c r="E28" s="206">
        <v>0</v>
      </c>
      <c r="F28" s="193"/>
    </row>
    <row r="29" spans="2:7" ht="30" customHeight="1" thickBot="1">
      <c r="B29" s="214" t="s">
        <v>285</v>
      </c>
      <c r="C29" s="200"/>
      <c r="D29" s="211">
        <f>D17</f>
        <v>0</v>
      </c>
      <c r="E29" s="215">
        <v>0</v>
      </c>
      <c r="F29" s="193"/>
    </row>
    <row r="30" spans="2:7" ht="30" customHeight="1" thickTop="1">
      <c r="B30" s="212" t="s">
        <v>286</v>
      </c>
      <c r="C30" s="200"/>
      <c r="D30" s="201"/>
      <c r="E30" s="201"/>
      <c r="F30" s="193"/>
    </row>
    <row r="31" spans="2:7" ht="30" customHeight="1">
      <c r="B31" s="199" t="s">
        <v>281</v>
      </c>
      <c r="C31" s="200"/>
      <c r="D31" s="201"/>
      <c r="E31" s="213"/>
      <c r="F31" s="193"/>
    </row>
    <row r="32" spans="2:7" ht="30" customHeight="1">
      <c r="B32" s="214" t="s">
        <v>38</v>
      </c>
      <c r="C32" s="200"/>
      <c r="D32" s="201"/>
      <c r="E32" s="202">
        <v>0</v>
      </c>
      <c r="F32" s="193"/>
      <c r="G32" s="204"/>
    </row>
    <row r="33" spans="2:7" ht="30" customHeight="1">
      <c r="B33" s="214" t="s">
        <v>287</v>
      </c>
      <c r="C33" s="200"/>
      <c r="D33" s="201"/>
      <c r="E33" s="202">
        <v>0</v>
      </c>
      <c r="F33" s="193"/>
    </row>
    <row r="34" spans="2:7" ht="30" customHeight="1">
      <c r="B34" s="214" t="s">
        <v>288</v>
      </c>
      <c r="C34" s="200"/>
      <c r="D34" s="201">
        <v>0</v>
      </c>
      <c r="E34" s="202">
        <v>0</v>
      </c>
      <c r="F34" s="193"/>
    </row>
    <row r="35" spans="2:7" ht="30" customHeight="1">
      <c r="B35" s="214" t="s">
        <v>289</v>
      </c>
      <c r="C35" s="200"/>
      <c r="D35" s="201">
        <v>0</v>
      </c>
      <c r="E35" s="202">
        <v>0</v>
      </c>
      <c r="F35" s="193"/>
    </row>
    <row r="36" spans="2:7" ht="30" customHeight="1">
      <c r="B36" s="214" t="s">
        <v>290</v>
      </c>
      <c r="C36" s="200"/>
      <c r="D36" s="201">
        <v>0</v>
      </c>
      <c r="E36" s="202">
        <v>0</v>
      </c>
      <c r="F36" s="193"/>
    </row>
    <row r="37" spans="2:7" ht="30" customHeight="1">
      <c r="B37" s="199" t="s">
        <v>278</v>
      </c>
      <c r="C37" s="200"/>
      <c r="D37" s="201"/>
      <c r="E37" s="202">
        <v>0</v>
      </c>
      <c r="F37" s="193"/>
    </row>
    <row r="38" spans="2:7" ht="30" customHeight="1">
      <c r="B38" s="214" t="s">
        <v>38</v>
      </c>
      <c r="C38" s="200"/>
      <c r="D38" s="201">
        <f>-Razão!J62</f>
        <v>-1298622.6994304035</v>
      </c>
      <c r="E38" s="202">
        <v>0</v>
      </c>
      <c r="F38" s="193"/>
    </row>
    <row r="39" spans="2:7" ht="30" customHeight="1">
      <c r="B39" s="214" t="s">
        <v>291</v>
      </c>
      <c r="C39" s="200"/>
      <c r="D39" s="201">
        <f>-SUM(Balancete!K36,Balancete!K34)</f>
        <v>-444949.67216705694</v>
      </c>
      <c r="E39" s="202">
        <v>0</v>
      </c>
      <c r="F39" s="203"/>
    </row>
    <row r="40" spans="2:7" ht="30" customHeight="1">
      <c r="B40" s="214" t="s">
        <v>284</v>
      </c>
      <c r="C40" s="200"/>
      <c r="D40" s="201">
        <v>0</v>
      </c>
      <c r="E40" s="202">
        <v>0</v>
      </c>
      <c r="F40" s="193"/>
    </row>
    <row r="41" spans="2:7" ht="30" customHeight="1">
      <c r="B41" s="214" t="s">
        <v>292</v>
      </c>
      <c r="C41" s="200"/>
      <c r="D41" s="201">
        <v>0</v>
      </c>
      <c r="E41" s="202">
        <v>0</v>
      </c>
      <c r="F41" s="193"/>
    </row>
    <row r="42" spans="2:7" ht="30" customHeight="1">
      <c r="B42" s="214" t="s">
        <v>290</v>
      </c>
      <c r="C42" s="200"/>
      <c r="D42" s="205">
        <v>0</v>
      </c>
      <c r="E42" s="206">
        <v>0</v>
      </c>
      <c r="F42" s="193"/>
      <c r="G42" s="216"/>
    </row>
    <row r="43" spans="2:7" ht="30" customHeight="1" thickBot="1">
      <c r="B43" s="207" t="s">
        <v>293</v>
      </c>
      <c r="C43" s="200"/>
      <c r="D43" s="211">
        <f>SUM(D31:D42)</f>
        <v>-1743572.3715974605</v>
      </c>
      <c r="E43" s="211">
        <v>0</v>
      </c>
      <c r="F43" s="203"/>
    </row>
    <row r="44" spans="2:7" ht="30" customHeight="1" thickTop="1">
      <c r="B44" s="207"/>
      <c r="C44" s="200"/>
      <c r="D44" s="205"/>
      <c r="E44" s="205"/>
      <c r="F44" s="193"/>
      <c r="G44" s="204"/>
    </row>
    <row r="45" spans="2:7" ht="30" customHeight="1">
      <c r="B45" s="199" t="s">
        <v>294</v>
      </c>
      <c r="C45" s="200"/>
      <c r="D45" s="217">
        <f>D14+D43</f>
        <v>9565722.8631851487</v>
      </c>
      <c r="E45" s="217">
        <v>0</v>
      </c>
      <c r="F45" s="218"/>
    </row>
    <row r="46" spans="2:7" ht="30" customHeight="1">
      <c r="B46" s="199" t="s">
        <v>295</v>
      </c>
      <c r="C46" s="200"/>
      <c r="D46" s="217">
        <v>0</v>
      </c>
      <c r="E46" s="219">
        <v>0</v>
      </c>
      <c r="F46" s="193"/>
    </row>
    <row r="47" spans="2:7" ht="30" customHeight="1">
      <c r="B47" s="199" t="s">
        <v>296</v>
      </c>
      <c r="C47" s="200"/>
      <c r="D47" s="217">
        <f>'BALANÇO INCIAL'!F31</f>
        <v>3761068.2277600002</v>
      </c>
      <c r="E47" s="219">
        <v>0</v>
      </c>
      <c r="F47" s="193"/>
    </row>
    <row r="48" spans="2:7" ht="30" customHeight="1">
      <c r="B48" s="199" t="s">
        <v>297</v>
      </c>
      <c r="C48" s="200"/>
      <c r="D48" s="217">
        <v>8056904.3099999996</v>
      </c>
      <c r="E48" s="217">
        <v>0</v>
      </c>
      <c r="F48" s="193"/>
    </row>
    <row r="49" spans="2:6" ht="30" customHeight="1">
      <c r="B49" s="220"/>
      <c r="C49" s="221"/>
      <c r="D49" s="217"/>
      <c r="E49" s="217"/>
      <c r="F49" s="193"/>
    </row>
    <row r="50" spans="2:6" ht="30" customHeight="1">
      <c r="B50" s="193"/>
      <c r="C50" s="193"/>
      <c r="D50" s="222"/>
      <c r="E50" s="222"/>
      <c r="F50" s="193"/>
    </row>
    <row r="53" spans="2:6" ht="30" customHeight="1">
      <c r="D53" s="216"/>
    </row>
  </sheetData>
  <mergeCells count="3">
    <mergeCell ref="B5:B6"/>
    <mergeCell ref="C5:C6"/>
    <mergeCell ref="D5:E5"/>
  </mergeCells>
  <pageMargins left="0.7" right="0.7" top="0.75" bottom="0.75" header="0.3" footer="0.3"/>
  <pageSetup paperSize="9" scale="3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73"/>
  <sheetViews>
    <sheetView showGridLines="0" showZeros="0" view="pageLayout" topLeftCell="B32" zoomScaleNormal="100" workbookViewId="0">
      <selection activeCell="G42" sqref="G42"/>
    </sheetView>
  </sheetViews>
  <sheetFormatPr defaultRowHeight="12" customHeight="1" outlineLevelCol="1"/>
  <cols>
    <col min="1" max="1" width="27.42578125" style="432" hidden="1" customWidth="1" outlineLevel="1"/>
    <col min="2" max="2" width="47.85546875" style="433" customWidth="1" collapsed="1"/>
    <col min="3" max="3" width="8.7109375" style="435" customWidth="1"/>
    <col min="4" max="4" width="11.140625" style="231" bestFit="1" customWidth="1"/>
    <col min="5" max="5" width="10.7109375" style="231" customWidth="1"/>
    <col min="6" max="43" width="10.7109375" style="433" customWidth="1"/>
    <col min="44" max="256" width="9.140625" style="433"/>
    <col min="257" max="257" width="0" style="433" hidden="1" customWidth="1"/>
    <col min="258" max="258" width="47.85546875" style="433" customWidth="1"/>
    <col min="259" max="259" width="8.7109375" style="433" customWidth="1"/>
    <col min="260" max="299" width="10.7109375" style="433" customWidth="1"/>
    <col min="300" max="512" width="9.140625" style="433"/>
    <col min="513" max="513" width="0" style="433" hidden="1" customWidth="1"/>
    <col min="514" max="514" width="47.85546875" style="433" customWidth="1"/>
    <col min="515" max="515" width="8.7109375" style="433" customWidth="1"/>
    <col min="516" max="555" width="10.7109375" style="433" customWidth="1"/>
    <col min="556" max="768" width="9.140625" style="433"/>
    <col min="769" max="769" width="0" style="433" hidden="1" customWidth="1"/>
    <col min="770" max="770" width="47.85546875" style="433" customWidth="1"/>
    <col min="771" max="771" width="8.7109375" style="433" customWidth="1"/>
    <col min="772" max="811" width="10.7109375" style="433" customWidth="1"/>
    <col min="812" max="1024" width="9.140625" style="433"/>
    <col min="1025" max="1025" width="0" style="433" hidden="1" customWidth="1"/>
    <col min="1026" max="1026" width="47.85546875" style="433" customWidth="1"/>
    <col min="1027" max="1027" width="8.7109375" style="433" customWidth="1"/>
    <col min="1028" max="1067" width="10.7109375" style="433" customWidth="1"/>
    <col min="1068" max="1280" width="9.140625" style="433"/>
    <col min="1281" max="1281" width="0" style="433" hidden="1" customWidth="1"/>
    <col min="1282" max="1282" width="47.85546875" style="433" customWidth="1"/>
    <col min="1283" max="1283" width="8.7109375" style="433" customWidth="1"/>
    <col min="1284" max="1323" width="10.7109375" style="433" customWidth="1"/>
    <col min="1324" max="1536" width="9.140625" style="433"/>
    <col min="1537" max="1537" width="0" style="433" hidden="1" customWidth="1"/>
    <col min="1538" max="1538" width="47.85546875" style="433" customWidth="1"/>
    <col min="1539" max="1539" width="8.7109375" style="433" customWidth="1"/>
    <col min="1540" max="1579" width="10.7109375" style="433" customWidth="1"/>
    <col min="1580" max="1792" width="9.140625" style="433"/>
    <col min="1793" max="1793" width="0" style="433" hidden="1" customWidth="1"/>
    <col min="1794" max="1794" width="47.85546875" style="433" customWidth="1"/>
    <col min="1795" max="1795" width="8.7109375" style="433" customWidth="1"/>
    <col min="1796" max="1835" width="10.7109375" style="433" customWidth="1"/>
    <col min="1836" max="2048" width="9.140625" style="433"/>
    <col min="2049" max="2049" width="0" style="433" hidden="1" customWidth="1"/>
    <col min="2050" max="2050" width="47.85546875" style="433" customWidth="1"/>
    <col min="2051" max="2051" width="8.7109375" style="433" customWidth="1"/>
    <col min="2052" max="2091" width="10.7109375" style="433" customWidth="1"/>
    <col min="2092" max="2304" width="9.140625" style="433"/>
    <col min="2305" max="2305" width="0" style="433" hidden="1" customWidth="1"/>
    <col min="2306" max="2306" width="47.85546875" style="433" customWidth="1"/>
    <col min="2307" max="2307" width="8.7109375" style="433" customWidth="1"/>
    <col min="2308" max="2347" width="10.7109375" style="433" customWidth="1"/>
    <col min="2348" max="2560" width="9.140625" style="433"/>
    <col min="2561" max="2561" width="0" style="433" hidden="1" customWidth="1"/>
    <col min="2562" max="2562" width="47.85546875" style="433" customWidth="1"/>
    <col min="2563" max="2563" width="8.7109375" style="433" customWidth="1"/>
    <col min="2564" max="2603" width="10.7109375" style="433" customWidth="1"/>
    <col min="2604" max="2816" width="9.140625" style="433"/>
    <col min="2817" max="2817" width="0" style="433" hidden="1" customWidth="1"/>
    <col min="2818" max="2818" width="47.85546875" style="433" customWidth="1"/>
    <col min="2819" max="2819" width="8.7109375" style="433" customWidth="1"/>
    <col min="2820" max="2859" width="10.7109375" style="433" customWidth="1"/>
    <col min="2860" max="3072" width="9.140625" style="433"/>
    <col min="3073" max="3073" width="0" style="433" hidden="1" customWidth="1"/>
    <col min="3074" max="3074" width="47.85546875" style="433" customWidth="1"/>
    <col min="3075" max="3075" width="8.7109375" style="433" customWidth="1"/>
    <col min="3076" max="3115" width="10.7109375" style="433" customWidth="1"/>
    <col min="3116" max="3328" width="9.140625" style="433"/>
    <col min="3329" max="3329" width="0" style="433" hidden="1" customWidth="1"/>
    <col min="3330" max="3330" width="47.85546875" style="433" customWidth="1"/>
    <col min="3331" max="3331" width="8.7109375" style="433" customWidth="1"/>
    <col min="3332" max="3371" width="10.7109375" style="433" customWidth="1"/>
    <col min="3372" max="3584" width="9.140625" style="433"/>
    <col min="3585" max="3585" width="0" style="433" hidden="1" customWidth="1"/>
    <col min="3586" max="3586" width="47.85546875" style="433" customWidth="1"/>
    <col min="3587" max="3587" width="8.7109375" style="433" customWidth="1"/>
    <col min="3588" max="3627" width="10.7109375" style="433" customWidth="1"/>
    <col min="3628" max="3840" width="9.140625" style="433"/>
    <col min="3841" max="3841" width="0" style="433" hidden="1" customWidth="1"/>
    <col min="3842" max="3842" width="47.85546875" style="433" customWidth="1"/>
    <col min="3843" max="3843" width="8.7109375" style="433" customWidth="1"/>
    <col min="3844" max="3883" width="10.7109375" style="433" customWidth="1"/>
    <col min="3884" max="4096" width="9.140625" style="433"/>
    <col min="4097" max="4097" width="0" style="433" hidden="1" customWidth="1"/>
    <col min="4098" max="4098" width="47.85546875" style="433" customWidth="1"/>
    <col min="4099" max="4099" width="8.7109375" style="433" customWidth="1"/>
    <col min="4100" max="4139" width="10.7109375" style="433" customWidth="1"/>
    <col min="4140" max="4352" width="9.140625" style="433"/>
    <col min="4353" max="4353" width="0" style="433" hidden="1" customWidth="1"/>
    <col min="4354" max="4354" width="47.85546875" style="433" customWidth="1"/>
    <col min="4355" max="4355" width="8.7109375" style="433" customWidth="1"/>
    <col min="4356" max="4395" width="10.7109375" style="433" customWidth="1"/>
    <col min="4396" max="4608" width="9.140625" style="433"/>
    <col min="4609" max="4609" width="0" style="433" hidden="1" customWidth="1"/>
    <col min="4610" max="4610" width="47.85546875" style="433" customWidth="1"/>
    <col min="4611" max="4611" width="8.7109375" style="433" customWidth="1"/>
    <col min="4612" max="4651" width="10.7109375" style="433" customWidth="1"/>
    <col min="4652" max="4864" width="9.140625" style="433"/>
    <col min="4865" max="4865" width="0" style="433" hidden="1" customWidth="1"/>
    <col min="4866" max="4866" width="47.85546875" style="433" customWidth="1"/>
    <col min="4867" max="4867" width="8.7109375" style="433" customWidth="1"/>
    <col min="4868" max="4907" width="10.7109375" style="433" customWidth="1"/>
    <col min="4908" max="5120" width="9.140625" style="433"/>
    <col min="5121" max="5121" width="0" style="433" hidden="1" customWidth="1"/>
    <col min="5122" max="5122" width="47.85546875" style="433" customWidth="1"/>
    <col min="5123" max="5123" width="8.7109375" style="433" customWidth="1"/>
    <col min="5124" max="5163" width="10.7109375" style="433" customWidth="1"/>
    <col min="5164" max="5376" width="9.140625" style="433"/>
    <col min="5377" max="5377" width="0" style="433" hidden="1" customWidth="1"/>
    <col min="5378" max="5378" width="47.85546875" style="433" customWidth="1"/>
    <col min="5379" max="5379" width="8.7109375" style="433" customWidth="1"/>
    <col min="5380" max="5419" width="10.7109375" style="433" customWidth="1"/>
    <col min="5420" max="5632" width="9.140625" style="433"/>
    <col min="5633" max="5633" width="0" style="433" hidden="1" customWidth="1"/>
    <col min="5634" max="5634" width="47.85546875" style="433" customWidth="1"/>
    <col min="5635" max="5635" width="8.7109375" style="433" customWidth="1"/>
    <col min="5636" max="5675" width="10.7109375" style="433" customWidth="1"/>
    <col min="5676" max="5888" width="9.140625" style="433"/>
    <col min="5889" max="5889" width="0" style="433" hidden="1" customWidth="1"/>
    <col min="5890" max="5890" width="47.85546875" style="433" customWidth="1"/>
    <col min="5891" max="5891" width="8.7109375" style="433" customWidth="1"/>
    <col min="5892" max="5931" width="10.7109375" style="433" customWidth="1"/>
    <col min="5932" max="6144" width="9.140625" style="433"/>
    <col min="6145" max="6145" width="0" style="433" hidden="1" customWidth="1"/>
    <col min="6146" max="6146" width="47.85546875" style="433" customWidth="1"/>
    <col min="6147" max="6147" width="8.7109375" style="433" customWidth="1"/>
    <col min="6148" max="6187" width="10.7109375" style="433" customWidth="1"/>
    <col min="6188" max="6400" width="9.140625" style="433"/>
    <col min="6401" max="6401" width="0" style="433" hidden="1" customWidth="1"/>
    <col min="6402" max="6402" width="47.85546875" style="433" customWidth="1"/>
    <col min="6403" max="6403" width="8.7109375" style="433" customWidth="1"/>
    <col min="6404" max="6443" width="10.7109375" style="433" customWidth="1"/>
    <col min="6444" max="6656" width="9.140625" style="433"/>
    <col min="6657" max="6657" width="0" style="433" hidden="1" customWidth="1"/>
    <col min="6658" max="6658" width="47.85546875" style="433" customWidth="1"/>
    <col min="6659" max="6659" width="8.7109375" style="433" customWidth="1"/>
    <col min="6660" max="6699" width="10.7109375" style="433" customWidth="1"/>
    <col min="6700" max="6912" width="9.140625" style="433"/>
    <col min="6913" max="6913" width="0" style="433" hidden="1" customWidth="1"/>
    <col min="6914" max="6914" width="47.85546875" style="433" customWidth="1"/>
    <col min="6915" max="6915" width="8.7109375" style="433" customWidth="1"/>
    <col min="6916" max="6955" width="10.7109375" style="433" customWidth="1"/>
    <col min="6956" max="7168" width="9.140625" style="433"/>
    <col min="7169" max="7169" width="0" style="433" hidden="1" customWidth="1"/>
    <col min="7170" max="7170" width="47.85546875" style="433" customWidth="1"/>
    <col min="7171" max="7171" width="8.7109375" style="433" customWidth="1"/>
    <col min="7172" max="7211" width="10.7109375" style="433" customWidth="1"/>
    <col min="7212" max="7424" width="9.140625" style="433"/>
    <col min="7425" max="7425" width="0" style="433" hidden="1" customWidth="1"/>
    <col min="7426" max="7426" width="47.85546875" style="433" customWidth="1"/>
    <col min="7427" max="7427" width="8.7109375" style="433" customWidth="1"/>
    <col min="7428" max="7467" width="10.7109375" style="433" customWidth="1"/>
    <col min="7468" max="7680" width="9.140625" style="433"/>
    <col min="7681" max="7681" width="0" style="433" hidden="1" customWidth="1"/>
    <col min="7682" max="7682" width="47.85546875" style="433" customWidth="1"/>
    <col min="7683" max="7683" width="8.7109375" style="433" customWidth="1"/>
    <col min="7684" max="7723" width="10.7109375" style="433" customWidth="1"/>
    <col min="7724" max="7936" width="9.140625" style="433"/>
    <col min="7937" max="7937" width="0" style="433" hidden="1" customWidth="1"/>
    <col min="7938" max="7938" width="47.85546875" style="433" customWidth="1"/>
    <col min="7939" max="7939" width="8.7109375" style="433" customWidth="1"/>
    <col min="7940" max="7979" width="10.7109375" style="433" customWidth="1"/>
    <col min="7980" max="8192" width="9.140625" style="433"/>
    <col min="8193" max="8193" width="0" style="433" hidden="1" customWidth="1"/>
    <col min="8194" max="8194" width="47.85546875" style="433" customWidth="1"/>
    <col min="8195" max="8195" width="8.7109375" style="433" customWidth="1"/>
    <col min="8196" max="8235" width="10.7109375" style="433" customWidth="1"/>
    <col min="8236" max="8448" width="9.140625" style="433"/>
    <col min="8449" max="8449" width="0" style="433" hidden="1" customWidth="1"/>
    <col min="8450" max="8450" width="47.85546875" style="433" customWidth="1"/>
    <col min="8451" max="8451" width="8.7109375" style="433" customWidth="1"/>
    <col min="8452" max="8491" width="10.7109375" style="433" customWidth="1"/>
    <col min="8492" max="8704" width="9.140625" style="433"/>
    <col min="8705" max="8705" width="0" style="433" hidden="1" customWidth="1"/>
    <col min="8706" max="8706" width="47.85546875" style="433" customWidth="1"/>
    <col min="8707" max="8707" width="8.7109375" style="433" customWidth="1"/>
    <col min="8708" max="8747" width="10.7109375" style="433" customWidth="1"/>
    <col min="8748" max="8960" width="9.140625" style="433"/>
    <col min="8961" max="8961" width="0" style="433" hidden="1" customWidth="1"/>
    <col min="8962" max="8962" width="47.85546875" style="433" customWidth="1"/>
    <col min="8963" max="8963" width="8.7109375" style="433" customWidth="1"/>
    <col min="8964" max="9003" width="10.7109375" style="433" customWidth="1"/>
    <col min="9004" max="9216" width="9.140625" style="433"/>
    <col min="9217" max="9217" width="0" style="433" hidden="1" customWidth="1"/>
    <col min="9218" max="9218" width="47.85546875" style="433" customWidth="1"/>
    <col min="9219" max="9219" width="8.7109375" style="433" customWidth="1"/>
    <col min="9220" max="9259" width="10.7109375" style="433" customWidth="1"/>
    <col min="9260" max="9472" width="9.140625" style="433"/>
    <col min="9473" max="9473" width="0" style="433" hidden="1" customWidth="1"/>
    <col min="9474" max="9474" width="47.85546875" style="433" customWidth="1"/>
    <col min="9475" max="9475" width="8.7109375" style="433" customWidth="1"/>
    <col min="9476" max="9515" width="10.7109375" style="433" customWidth="1"/>
    <col min="9516" max="9728" width="9.140625" style="433"/>
    <col min="9729" max="9729" width="0" style="433" hidden="1" customWidth="1"/>
    <col min="9730" max="9730" width="47.85546875" style="433" customWidth="1"/>
    <col min="9731" max="9731" width="8.7109375" style="433" customWidth="1"/>
    <col min="9732" max="9771" width="10.7109375" style="433" customWidth="1"/>
    <col min="9772" max="9984" width="9.140625" style="433"/>
    <col min="9985" max="9985" width="0" style="433" hidden="1" customWidth="1"/>
    <col min="9986" max="9986" width="47.85546875" style="433" customWidth="1"/>
    <col min="9987" max="9987" width="8.7109375" style="433" customWidth="1"/>
    <col min="9988" max="10027" width="10.7109375" style="433" customWidth="1"/>
    <col min="10028" max="10240" width="9.140625" style="433"/>
    <col min="10241" max="10241" width="0" style="433" hidden="1" customWidth="1"/>
    <col min="10242" max="10242" width="47.85546875" style="433" customWidth="1"/>
    <col min="10243" max="10243" width="8.7109375" style="433" customWidth="1"/>
    <col min="10244" max="10283" width="10.7109375" style="433" customWidth="1"/>
    <col min="10284" max="10496" width="9.140625" style="433"/>
    <col min="10497" max="10497" width="0" style="433" hidden="1" customWidth="1"/>
    <col min="10498" max="10498" width="47.85546875" style="433" customWidth="1"/>
    <col min="10499" max="10499" width="8.7109375" style="433" customWidth="1"/>
    <col min="10500" max="10539" width="10.7109375" style="433" customWidth="1"/>
    <col min="10540" max="10752" width="9.140625" style="433"/>
    <col min="10753" max="10753" width="0" style="433" hidden="1" customWidth="1"/>
    <col min="10754" max="10754" width="47.85546875" style="433" customWidth="1"/>
    <col min="10755" max="10755" width="8.7109375" style="433" customWidth="1"/>
    <col min="10756" max="10795" width="10.7109375" style="433" customWidth="1"/>
    <col min="10796" max="11008" width="9.140625" style="433"/>
    <col min="11009" max="11009" width="0" style="433" hidden="1" customWidth="1"/>
    <col min="11010" max="11010" width="47.85546875" style="433" customWidth="1"/>
    <col min="11011" max="11011" width="8.7109375" style="433" customWidth="1"/>
    <col min="11012" max="11051" width="10.7109375" style="433" customWidth="1"/>
    <col min="11052" max="11264" width="9.140625" style="433"/>
    <col min="11265" max="11265" width="0" style="433" hidden="1" customWidth="1"/>
    <col min="11266" max="11266" width="47.85546875" style="433" customWidth="1"/>
    <col min="11267" max="11267" width="8.7109375" style="433" customWidth="1"/>
    <col min="11268" max="11307" width="10.7109375" style="433" customWidth="1"/>
    <col min="11308" max="11520" width="9.140625" style="433"/>
    <col min="11521" max="11521" width="0" style="433" hidden="1" customWidth="1"/>
    <col min="11522" max="11522" width="47.85546875" style="433" customWidth="1"/>
    <col min="11523" max="11523" width="8.7109375" style="433" customWidth="1"/>
    <col min="11524" max="11563" width="10.7109375" style="433" customWidth="1"/>
    <col min="11564" max="11776" width="9.140625" style="433"/>
    <col min="11777" max="11777" width="0" style="433" hidden="1" customWidth="1"/>
    <col min="11778" max="11778" width="47.85546875" style="433" customWidth="1"/>
    <col min="11779" max="11779" width="8.7109375" style="433" customWidth="1"/>
    <col min="11780" max="11819" width="10.7109375" style="433" customWidth="1"/>
    <col min="11820" max="12032" width="9.140625" style="433"/>
    <col min="12033" max="12033" width="0" style="433" hidden="1" customWidth="1"/>
    <col min="12034" max="12034" width="47.85546875" style="433" customWidth="1"/>
    <col min="12035" max="12035" width="8.7109375" style="433" customWidth="1"/>
    <col min="12036" max="12075" width="10.7109375" style="433" customWidth="1"/>
    <col min="12076" max="12288" width="9.140625" style="433"/>
    <col min="12289" max="12289" width="0" style="433" hidden="1" customWidth="1"/>
    <col min="12290" max="12290" width="47.85546875" style="433" customWidth="1"/>
    <col min="12291" max="12291" width="8.7109375" style="433" customWidth="1"/>
    <col min="12292" max="12331" width="10.7109375" style="433" customWidth="1"/>
    <col min="12332" max="12544" width="9.140625" style="433"/>
    <col min="12545" max="12545" width="0" style="433" hidden="1" customWidth="1"/>
    <col min="12546" max="12546" width="47.85546875" style="433" customWidth="1"/>
    <col min="12547" max="12547" width="8.7109375" style="433" customWidth="1"/>
    <col min="12548" max="12587" width="10.7109375" style="433" customWidth="1"/>
    <col min="12588" max="12800" width="9.140625" style="433"/>
    <col min="12801" max="12801" width="0" style="433" hidden="1" customWidth="1"/>
    <col min="12802" max="12802" width="47.85546875" style="433" customWidth="1"/>
    <col min="12803" max="12803" width="8.7109375" style="433" customWidth="1"/>
    <col min="12804" max="12843" width="10.7109375" style="433" customWidth="1"/>
    <col min="12844" max="13056" width="9.140625" style="433"/>
    <col min="13057" max="13057" width="0" style="433" hidden="1" customWidth="1"/>
    <col min="13058" max="13058" width="47.85546875" style="433" customWidth="1"/>
    <col min="13059" max="13059" width="8.7109375" style="433" customWidth="1"/>
    <col min="13060" max="13099" width="10.7109375" style="433" customWidth="1"/>
    <col min="13100" max="13312" width="9.140625" style="433"/>
    <col min="13313" max="13313" width="0" style="433" hidden="1" customWidth="1"/>
    <col min="13314" max="13314" width="47.85546875" style="433" customWidth="1"/>
    <col min="13315" max="13315" width="8.7109375" style="433" customWidth="1"/>
    <col min="13316" max="13355" width="10.7109375" style="433" customWidth="1"/>
    <col min="13356" max="13568" width="9.140625" style="433"/>
    <col min="13569" max="13569" width="0" style="433" hidden="1" customWidth="1"/>
    <col min="13570" max="13570" width="47.85546875" style="433" customWidth="1"/>
    <col min="13571" max="13571" width="8.7109375" style="433" customWidth="1"/>
    <col min="13572" max="13611" width="10.7109375" style="433" customWidth="1"/>
    <col min="13612" max="13824" width="9.140625" style="433"/>
    <col min="13825" max="13825" width="0" style="433" hidden="1" customWidth="1"/>
    <col min="13826" max="13826" width="47.85546875" style="433" customWidth="1"/>
    <col min="13827" max="13827" width="8.7109375" style="433" customWidth="1"/>
    <col min="13828" max="13867" width="10.7109375" style="433" customWidth="1"/>
    <col min="13868" max="14080" width="9.140625" style="433"/>
    <col min="14081" max="14081" width="0" style="433" hidden="1" customWidth="1"/>
    <col min="14082" max="14082" width="47.85546875" style="433" customWidth="1"/>
    <col min="14083" max="14083" width="8.7109375" style="433" customWidth="1"/>
    <col min="14084" max="14123" width="10.7109375" style="433" customWidth="1"/>
    <col min="14124" max="14336" width="9.140625" style="433"/>
    <col min="14337" max="14337" width="0" style="433" hidden="1" customWidth="1"/>
    <col min="14338" max="14338" width="47.85546875" style="433" customWidth="1"/>
    <col min="14339" max="14339" width="8.7109375" style="433" customWidth="1"/>
    <col min="14340" max="14379" width="10.7109375" style="433" customWidth="1"/>
    <col min="14380" max="14592" width="9.140625" style="433"/>
    <col min="14593" max="14593" width="0" style="433" hidden="1" customWidth="1"/>
    <col min="14594" max="14594" width="47.85546875" style="433" customWidth="1"/>
    <col min="14595" max="14595" width="8.7109375" style="433" customWidth="1"/>
    <col min="14596" max="14635" width="10.7109375" style="433" customWidth="1"/>
    <col min="14636" max="14848" width="9.140625" style="433"/>
    <col min="14849" max="14849" width="0" style="433" hidden="1" customWidth="1"/>
    <col min="14850" max="14850" width="47.85546875" style="433" customWidth="1"/>
    <col min="14851" max="14851" width="8.7109375" style="433" customWidth="1"/>
    <col min="14852" max="14891" width="10.7109375" style="433" customWidth="1"/>
    <col min="14892" max="15104" width="9.140625" style="433"/>
    <col min="15105" max="15105" width="0" style="433" hidden="1" customWidth="1"/>
    <col min="15106" max="15106" width="47.85546875" style="433" customWidth="1"/>
    <col min="15107" max="15107" width="8.7109375" style="433" customWidth="1"/>
    <col min="15108" max="15147" width="10.7109375" style="433" customWidth="1"/>
    <col min="15148" max="15360" width="9.140625" style="433"/>
    <col min="15361" max="15361" width="0" style="433" hidden="1" customWidth="1"/>
    <col min="15362" max="15362" width="47.85546875" style="433" customWidth="1"/>
    <col min="15363" max="15363" width="8.7109375" style="433" customWidth="1"/>
    <col min="15364" max="15403" width="10.7109375" style="433" customWidth="1"/>
    <col min="15404" max="15616" width="9.140625" style="433"/>
    <col min="15617" max="15617" width="0" style="433" hidden="1" customWidth="1"/>
    <col min="15618" max="15618" width="47.85546875" style="433" customWidth="1"/>
    <col min="15619" max="15619" width="8.7109375" style="433" customWidth="1"/>
    <col min="15620" max="15659" width="10.7109375" style="433" customWidth="1"/>
    <col min="15660" max="15872" width="9.140625" style="433"/>
    <col min="15873" max="15873" width="0" style="433" hidden="1" customWidth="1"/>
    <col min="15874" max="15874" width="47.85546875" style="433" customWidth="1"/>
    <col min="15875" max="15875" width="8.7109375" style="433" customWidth="1"/>
    <col min="15876" max="15915" width="10.7109375" style="433" customWidth="1"/>
    <col min="15916" max="16128" width="9.140625" style="433"/>
    <col min="16129" max="16129" width="0" style="433" hidden="1" customWidth="1"/>
    <col min="16130" max="16130" width="47.85546875" style="433" customWidth="1"/>
    <col min="16131" max="16131" width="8.7109375" style="433" customWidth="1"/>
    <col min="16132" max="16171" width="10.7109375" style="433" customWidth="1"/>
    <col min="16172" max="16384" width="9.140625" style="433"/>
  </cols>
  <sheetData>
    <row r="1" spans="1:6" ht="12" customHeight="1">
      <c r="B1" s="255" t="s">
        <v>345</v>
      </c>
      <c r="C1" s="255"/>
      <c r="D1" s="255"/>
      <c r="E1" s="255"/>
    </row>
    <row r="2" spans="1:6" ht="12" customHeight="1">
      <c r="B2" s="434" t="s">
        <v>868</v>
      </c>
      <c r="C2" s="434"/>
      <c r="D2" s="434"/>
      <c r="E2" s="434"/>
    </row>
    <row r="3" spans="1:6" ht="12" customHeight="1">
      <c r="A3" s="656" t="s">
        <v>391</v>
      </c>
      <c r="B3" s="658" t="s">
        <v>268</v>
      </c>
      <c r="C3" s="658" t="s">
        <v>392</v>
      </c>
      <c r="D3" s="660">
        <v>2012</v>
      </c>
      <c r="E3" s="661"/>
    </row>
    <row r="4" spans="1:6" ht="12" customHeight="1">
      <c r="A4" s="657"/>
      <c r="B4" s="659"/>
      <c r="C4" s="659"/>
      <c r="D4" s="436" t="s">
        <v>867</v>
      </c>
      <c r="E4" s="437" t="s">
        <v>866</v>
      </c>
    </row>
    <row r="5" spans="1:6" ht="12" customHeight="1">
      <c r="A5" s="438"/>
      <c r="B5" s="439" t="s">
        <v>395</v>
      </c>
      <c r="C5" s="440"/>
      <c r="D5" s="441"/>
      <c r="E5" s="442"/>
    </row>
    <row r="6" spans="1:6" ht="12" customHeight="1">
      <c r="A6" s="438"/>
      <c r="B6" s="443" t="s">
        <v>70</v>
      </c>
      <c r="C6" s="444"/>
      <c r="D6" s="445"/>
      <c r="E6" s="446"/>
    </row>
    <row r="7" spans="1:6" ht="12" customHeight="1">
      <c r="A7" s="438" t="s">
        <v>396</v>
      </c>
      <c r="B7" s="447" t="s">
        <v>46</v>
      </c>
      <c r="C7" s="444">
        <v>1</v>
      </c>
      <c r="D7" s="445">
        <f>'BALANÇO INCIAL'!F7-DRE!C24</f>
        <v>4866698.8291800003</v>
      </c>
      <c r="E7" s="446">
        <f>'[7]Balanço '!$D$7</f>
        <v>4954198.8291800003</v>
      </c>
      <c r="F7" s="432"/>
    </row>
    <row r="8" spans="1:6" ht="12" customHeight="1">
      <c r="A8" s="438" t="s">
        <v>397</v>
      </c>
      <c r="B8" s="447" t="s">
        <v>45</v>
      </c>
      <c r="C8" s="444"/>
      <c r="D8" s="445"/>
      <c r="E8" s="446"/>
      <c r="F8" s="432"/>
    </row>
    <row r="9" spans="1:6" ht="12" customHeight="1">
      <c r="A9" s="438">
        <v>441</v>
      </c>
      <c r="B9" s="447" t="s">
        <v>48</v>
      </c>
      <c r="C9" s="444"/>
      <c r="D9" s="445"/>
      <c r="E9" s="446"/>
      <c r="F9" s="432"/>
    </row>
    <row r="10" spans="1:6" ht="12" customHeight="1">
      <c r="A10" s="448" t="s">
        <v>398</v>
      </c>
      <c r="B10" s="447" t="s">
        <v>47</v>
      </c>
      <c r="C10" s="444"/>
      <c r="D10" s="445"/>
      <c r="E10" s="446"/>
      <c r="F10" s="432"/>
    </row>
    <row r="11" spans="1:6" ht="12" customHeight="1">
      <c r="A11" s="438">
        <v>372</v>
      </c>
      <c r="B11" s="447" t="s">
        <v>44</v>
      </c>
      <c r="C11" s="444"/>
      <c r="D11" s="445"/>
      <c r="E11" s="446"/>
      <c r="F11" s="432"/>
    </row>
    <row r="12" spans="1:6" ht="12" customHeight="1">
      <c r="A12" s="438" t="s">
        <v>399</v>
      </c>
      <c r="B12" s="447" t="s">
        <v>400</v>
      </c>
      <c r="C12" s="444"/>
      <c r="D12" s="445"/>
      <c r="E12" s="446"/>
      <c r="F12" s="432"/>
    </row>
    <row r="13" spans="1:6" ht="12" customHeight="1">
      <c r="A13" s="438" t="s">
        <v>401</v>
      </c>
      <c r="B13" s="447" t="s">
        <v>402</v>
      </c>
      <c r="C13" s="444"/>
      <c r="D13" s="445"/>
      <c r="E13" s="446"/>
      <c r="F13" s="432"/>
    </row>
    <row r="14" spans="1:6" ht="12" customHeight="1">
      <c r="A14" s="438" t="s">
        <v>403</v>
      </c>
      <c r="B14" s="447" t="s">
        <v>404</v>
      </c>
      <c r="C14" s="444"/>
      <c r="D14" s="445"/>
      <c r="E14" s="446"/>
      <c r="F14" s="432"/>
    </row>
    <row r="15" spans="1:6" ht="12" customHeight="1">
      <c r="A15" s="449" t="s">
        <v>405</v>
      </c>
      <c r="B15" s="447" t="s">
        <v>31</v>
      </c>
      <c r="C15" s="444"/>
      <c r="D15" s="445"/>
      <c r="E15" s="446"/>
      <c r="F15" s="432"/>
    </row>
    <row r="16" spans="1:6" ht="12" customHeight="1">
      <c r="A16" s="438" t="s">
        <v>406</v>
      </c>
      <c r="B16" s="447" t="s">
        <v>40</v>
      </c>
      <c r="C16" s="444"/>
      <c r="D16" s="445"/>
      <c r="E16" s="446"/>
    </row>
    <row r="17" spans="1:5" ht="12" customHeight="1">
      <c r="A17" s="438"/>
      <c r="B17" s="450"/>
      <c r="C17" s="444"/>
      <c r="D17" s="451">
        <f>SUM(D7:D16)</f>
        <v>4866698.8291800003</v>
      </c>
      <c r="E17" s="452">
        <f>SUM(E7:E16)</f>
        <v>4954198.8291800003</v>
      </c>
    </row>
    <row r="18" spans="1:5" ht="12" customHeight="1">
      <c r="A18" s="438"/>
      <c r="B18" s="443" t="s">
        <v>75</v>
      </c>
      <c r="C18" s="444"/>
      <c r="D18" s="445"/>
      <c r="E18" s="446"/>
    </row>
    <row r="19" spans="1:5" ht="12" customHeight="1">
      <c r="A19" s="453" t="s">
        <v>407</v>
      </c>
      <c r="B19" s="447" t="s">
        <v>76</v>
      </c>
      <c r="C19" s="444">
        <v>2</v>
      </c>
      <c r="D19" s="445">
        <f>'ANEXO 2'!B10</f>
        <v>3166284</v>
      </c>
      <c r="E19" s="446">
        <f>'[7]Balanço '!D19</f>
        <v>3166284</v>
      </c>
    </row>
    <row r="20" spans="1:5" ht="12" customHeight="1">
      <c r="A20" s="438">
        <v>371</v>
      </c>
      <c r="B20" s="447" t="s">
        <v>44</v>
      </c>
      <c r="C20" s="444"/>
      <c r="D20" s="445"/>
      <c r="E20" s="446">
        <f>'[7]Balanço '!D20</f>
        <v>0</v>
      </c>
    </row>
    <row r="21" spans="1:5" ht="12" customHeight="1">
      <c r="A21" s="453" t="s">
        <v>408</v>
      </c>
      <c r="B21" s="447" t="s">
        <v>33</v>
      </c>
      <c r="C21" s="444">
        <v>3</v>
      </c>
      <c r="D21" s="445">
        <f>Balancete!K4</f>
        <v>4623224</v>
      </c>
      <c r="E21" s="446">
        <f>'[7]Balanço '!D21</f>
        <v>1306494</v>
      </c>
    </row>
    <row r="22" spans="1:5" ht="12" customHeight="1">
      <c r="A22" s="453" t="s">
        <v>409</v>
      </c>
      <c r="B22" s="447" t="s">
        <v>36</v>
      </c>
      <c r="C22" s="444"/>
      <c r="D22" s="445"/>
      <c r="E22" s="446">
        <f>'[7]Balanço '!D22</f>
        <v>0</v>
      </c>
    </row>
    <row r="23" spans="1:5" ht="12" customHeight="1">
      <c r="A23" s="438">
        <v>24</v>
      </c>
      <c r="B23" s="447" t="s">
        <v>37</v>
      </c>
      <c r="C23" s="444"/>
      <c r="D23" s="445"/>
      <c r="E23" s="446">
        <f>'[7]Balanço '!D23</f>
        <v>0</v>
      </c>
    </row>
    <row r="24" spans="1:5" ht="12" customHeight="1">
      <c r="A24" s="453" t="s">
        <v>410</v>
      </c>
      <c r="B24" s="447" t="s">
        <v>404</v>
      </c>
      <c r="C24" s="444"/>
      <c r="D24" s="445"/>
      <c r="E24" s="446">
        <f>'[7]Balanço '!D24</f>
        <v>0</v>
      </c>
    </row>
    <row r="25" spans="1:5" ht="12" customHeight="1">
      <c r="A25" s="454" t="s">
        <v>411</v>
      </c>
      <c r="B25" s="447" t="s">
        <v>73</v>
      </c>
      <c r="C25" s="444"/>
      <c r="D25" s="445"/>
      <c r="E25" s="446">
        <f>'[7]Balanço '!D25</f>
        <v>0</v>
      </c>
    </row>
    <row r="26" spans="1:5" ht="12" customHeight="1">
      <c r="A26" s="438">
        <v>281</v>
      </c>
      <c r="B26" s="447" t="s">
        <v>42</v>
      </c>
      <c r="C26" s="444"/>
      <c r="D26" s="445"/>
      <c r="E26" s="446">
        <f>'[7]Balanço '!D26</f>
        <v>0</v>
      </c>
    </row>
    <row r="27" spans="1:5" ht="12" customHeight="1">
      <c r="A27" s="453" t="s">
        <v>412</v>
      </c>
      <c r="B27" s="447" t="s">
        <v>77</v>
      </c>
      <c r="C27" s="444"/>
      <c r="D27" s="445"/>
      <c r="E27" s="446">
        <f>'[7]Balanço '!D27</f>
        <v>0</v>
      </c>
    </row>
    <row r="28" spans="1:5" ht="12" customHeight="1">
      <c r="A28" s="438">
        <v>1431</v>
      </c>
      <c r="B28" s="447" t="s">
        <v>31</v>
      </c>
      <c r="C28" s="444"/>
      <c r="D28" s="445"/>
      <c r="E28" s="446">
        <f>'[7]Balanço '!D28</f>
        <v>0</v>
      </c>
    </row>
    <row r="29" spans="1:5" ht="12" customHeight="1">
      <c r="A29" s="438">
        <v>46</v>
      </c>
      <c r="B29" s="447" t="s">
        <v>49</v>
      </c>
      <c r="C29" s="444"/>
      <c r="D29" s="445"/>
      <c r="E29" s="446">
        <f>'[7]Balanço '!D29</f>
        <v>0</v>
      </c>
    </row>
    <row r="30" spans="1:5" ht="12" customHeight="1">
      <c r="A30" s="453" t="s">
        <v>413</v>
      </c>
      <c r="B30" s="447" t="s">
        <v>78</v>
      </c>
      <c r="C30" s="444">
        <f>C21+1</f>
        <v>4</v>
      </c>
      <c r="D30" s="445">
        <f>SUM(Balancete!K2:K3)</f>
        <v>10008889.856162548</v>
      </c>
      <c r="E30" s="446">
        <f>'[7]Balanço '!D30</f>
        <v>5522492.8036680743</v>
      </c>
    </row>
    <row r="31" spans="1:5" ht="12" customHeight="1">
      <c r="A31" s="438"/>
      <c r="B31" s="450"/>
      <c r="C31" s="444"/>
      <c r="D31" s="451">
        <f>SUM(D19:D30)</f>
        <v>17798397.856162548</v>
      </c>
      <c r="E31" s="452">
        <f>SUM(E19:E30)</f>
        <v>9995270.8036680743</v>
      </c>
    </row>
    <row r="32" spans="1:5" ht="12" customHeight="1">
      <c r="A32" s="455"/>
      <c r="B32" s="456" t="s">
        <v>414</v>
      </c>
      <c r="C32" s="457"/>
      <c r="D32" s="451">
        <f>D17+D31</f>
        <v>22665096.68534255</v>
      </c>
      <c r="E32" s="452">
        <f>E17+E31</f>
        <v>14949469.632848075</v>
      </c>
    </row>
    <row r="33" spans="1:5" ht="12" customHeight="1">
      <c r="A33" s="438"/>
      <c r="B33" s="458" t="s">
        <v>415</v>
      </c>
      <c r="C33" s="459"/>
      <c r="D33" s="445"/>
      <c r="E33" s="446"/>
    </row>
    <row r="34" spans="1:5" ht="12" customHeight="1">
      <c r="A34" s="438"/>
      <c r="B34" s="458" t="s">
        <v>416</v>
      </c>
      <c r="C34" s="444"/>
      <c r="D34" s="445"/>
      <c r="E34" s="446"/>
    </row>
    <row r="35" spans="1:5" ht="12" customHeight="1">
      <c r="A35" s="453" t="s">
        <v>417</v>
      </c>
      <c r="B35" s="447" t="s">
        <v>82</v>
      </c>
      <c r="C35" s="444">
        <f>C30+1</f>
        <v>5</v>
      </c>
      <c r="D35" s="445">
        <f>'BALANÇO INCIAL'!F36</f>
        <v>3000000</v>
      </c>
      <c r="E35" s="446">
        <f>'[7]Balanço '!D35</f>
        <v>3000000</v>
      </c>
    </row>
    <row r="36" spans="1:5" ht="12" customHeight="1">
      <c r="A36" s="438">
        <v>52</v>
      </c>
      <c r="B36" s="447" t="s">
        <v>50</v>
      </c>
      <c r="C36" s="444"/>
      <c r="D36" s="445"/>
      <c r="E36" s="446">
        <f>'[7]Balanço '!D36</f>
        <v>0</v>
      </c>
    </row>
    <row r="37" spans="1:5" ht="12" customHeight="1">
      <c r="A37" s="438">
        <v>53</v>
      </c>
      <c r="B37" s="447" t="s">
        <v>51</v>
      </c>
      <c r="C37" s="444"/>
      <c r="D37" s="445"/>
      <c r="E37" s="446">
        <f>'[7]Balanço '!D37</f>
        <v>0</v>
      </c>
    </row>
    <row r="38" spans="1:5" ht="12" customHeight="1">
      <c r="A38" s="438">
        <v>54</v>
      </c>
      <c r="B38" s="447" t="s">
        <v>52</v>
      </c>
      <c r="C38" s="444"/>
      <c r="D38" s="445"/>
      <c r="E38" s="446">
        <f>'[7]Balanço '!D38</f>
        <v>0</v>
      </c>
    </row>
    <row r="39" spans="1:5" ht="12" customHeight="1">
      <c r="A39" s="438">
        <v>551</v>
      </c>
      <c r="B39" s="447" t="s">
        <v>53</v>
      </c>
      <c r="C39" s="444"/>
      <c r="D39" s="445">
        <f>Razão!R119</f>
        <v>355556.72323333332</v>
      </c>
      <c r="E39" s="446">
        <f>'[7]Balanço '!D39</f>
        <v>178660.47333263169</v>
      </c>
    </row>
    <row r="40" spans="1:5" ht="12" customHeight="1">
      <c r="A40" s="438">
        <v>552</v>
      </c>
      <c r="B40" s="447" t="s">
        <v>54</v>
      </c>
      <c r="C40" s="444"/>
      <c r="D40" s="445">
        <f>Razão!R120</f>
        <v>355556.72323333332</v>
      </c>
      <c r="E40" s="446">
        <f>'[7]Balanço '!D40</f>
        <v>178660.47333263169</v>
      </c>
    </row>
    <row r="41" spans="1:5" ht="12" customHeight="1">
      <c r="A41" s="438">
        <v>56</v>
      </c>
      <c r="B41" s="447" t="s">
        <v>55</v>
      </c>
      <c r="C41" s="444"/>
      <c r="D41" s="461">
        <f>Razão!S129</f>
        <v>6400021.0181999998</v>
      </c>
      <c r="E41" s="446">
        <f>'[7]Balanço '!D41</f>
        <v>0</v>
      </c>
    </row>
    <row r="42" spans="1:5" ht="12" customHeight="1">
      <c r="A42" s="438">
        <v>57</v>
      </c>
      <c r="B42" s="447" t="s">
        <v>56</v>
      </c>
      <c r="C42" s="444"/>
      <c r="D42" s="445"/>
      <c r="E42" s="446">
        <f>'[7]Balanço '!D42</f>
        <v>0</v>
      </c>
    </row>
    <row r="43" spans="1:5" ht="12" customHeight="1">
      <c r="A43" s="438">
        <v>58</v>
      </c>
      <c r="B43" s="447" t="s">
        <v>83</v>
      </c>
      <c r="C43" s="444"/>
      <c r="D43" s="445"/>
      <c r="E43" s="446">
        <f>'[7]Balanço '!D43</f>
        <v>0</v>
      </c>
    </row>
    <row r="44" spans="1:5" ht="12" customHeight="1">
      <c r="A44" s="438">
        <v>59</v>
      </c>
      <c r="B44" s="447" t="s">
        <v>57</v>
      </c>
      <c r="C44" s="444"/>
      <c r="D44" s="445"/>
      <c r="E44" s="446">
        <f>'[7]Balanço '!D44</f>
        <v>0</v>
      </c>
    </row>
    <row r="45" spans="1:5" ht="12" customHeight="1">
      <c r="A45" s="438">
        <v>818</v>
      </c>
      <c r="B45" s="460" t="s">
        <v>84</v>
      </c>
      <c r="C45" s="444"/>
      <c r="D45" s="445"/>
      <c r="E45" s="446">
        <f>'[7]Balanço '!D45</f>
        <v>3215888.5199873704</v>
      </c>
    </row>
    <row r="46" spans="1:5" ht="12" customHeight="1">
      <c r="A46" s="438"/>
      <c r="B46" s="447" t="s">
        <v>85</v>
      </c>
      <c r="C46" s="444"/>
      <c r="D46" s="445"/>
      <c r="E46" s="446">
        <f>'[7]Balanço '!D46</f>
        <v>0</v>
      </c>
    </row>
    <row r="47" spans="1:5" ht="12" customHeight="1">
      <c r="A47" s="438"/>
      <c r="B47" s="462" t="s">
        <v>418</v>
      </c>
      <c r="C47" s="444"/>
      <c r="D47" s="451">
        <f>SUM(D35:D46)</f>
        <v>10111134.464666666</v>
      </c>
      <c r="E47" s="452">
        <f>SUM(E35:E46)</f>
        <v>6573209.4666526336</v>
      </c>
    </row>
    <row r="48" spans="1:5" ht="12" customHeight="1">
      <c r="A48" s="438"/>
      <c r="B48" s="462"/>
      <c r="C48" s="444"/>
      <c r="D48" s="445"/>
      <c r="E48" s="446"/>
    </row>
    <row r="49" spans="1:5" ht="12" customHeight="1">
      <c r="A49" s="438"/>
      <c r="B49" s="462" t="s">
        <v>419</v>
      </c>
      <c r="C49" s="444"/>
      <c r="D49" s="445"/>
      <c r="E49" s="446"/>
    </row>
    <row r="50" spans="1:5" ht="12" customHeight="1">
      <c r="A50" s="438"/>
      <c r="B50" s="443" t="s">
        <v>88</v>
      </c>
      <c r="C50" s="444"/>
      <c r="D50" s="445"/>
      <c r="E50" s="446"/>
    </row>
    <row r="51" spans="1:5" ht="12" customHeight="1">
      <c r="A51" s="438">
        <v>29</v>
      </c>
      <c r="B51" s="447" t="s">
        <v>43</v>
      </c>
      <c r="C51" s="444"/>
      <c r="D51" s="445"/>
      <c r="E51" s="446"/>
    </row>
    <row r="52" spans="1:5" ht="12" customHeight="1">
      <c r="A52" s="438">
        <v>25</v>
      </c>
      <c r="B52" s="447" t="s">
        <v>38</v>
      </c>
      <c r="C52" s="444">
        <v>6</v>
      </c>
      <c r="D52" s="445">
        <f>Balancete!L5</f>
        <v>5701377.3005695967</v>
      </c>
      <c r="E52" s="446">
        <f>'[7]Balanço '!$D$52</f>
        <v>4087562.2570213843</v>
      </c>
    </row>
    <row r="53" spans="1:5" ht="12" customHeight="1">
      <c r="A53" s="438">
        <v>273</v>
      </c>
      <c r="B53" s="447" t="s">
        <v>89</v>
      </c>
      <c r="C53" s="444"/>
      <c r="D53" s="445"/>
      <c r="E53" s="446"/>
    </row>
    <row r="54" spans="1:5" ht="12" customHeight="1">
      <c r="A54" s="438">
        <v>2742</v>
      </c>
      <c r="B54" s="447" t="s">
        <v>41</v>
      </c>
      <c r="C54" s="444"/>
      <c r="D54" s="445"/>
      <c r="E54" s="446"/>
    </row>
    <row r="55" spans="1:5" ht="12" customHeight="1">
      <c r="A55" s="453" t="s">
        <v>420</v>
      </c>
      <c r="B55" s="447" t="s">
        <v>90</v>
      </c>
      <c r="C55" s="444"/>
      <c r="D55" s="445"/>
      <c r="E55" s="446"/>
    </row>
    <row r="56" spans="1:5" ht="12" customHeight="1">
      <c r="A56" s="438"/>
      <c r="B56" s="450"/>
      <c r="C56" s="444"/>
      <c r="D56" s="451">
        <f>SUM(D51:D55)</f>
        <v>5701377.3005695967</v>
      </c>
      <c r="E56" s="452">
        <f>SUM(E51:E55)</f>
        <v>4087562.2570213843</v>
      </c>
    </row>
    <row r="57" spans="1:5" ht="12" customHeight="1">
      <c r="A57" s="438"/>
      <c r="B57" s="443" t="s">
        <v>91</v>
      </c>
      <c r="C57" s="444"/>
      <c r="D57" s="445"/>
      <c r="E57" s="446"/>
    </row>
    <row r="58" spans="1:5" ht="12" customHeight="1">
      <c r="A58" s="453" t="s">
        <v>421</v>
      </c>
      <c r="B58" s="447" t="s">
        <v>35</v>
      </c>
      <c r="C58" s="444"/>
      <c r="D58" s="445"/>
      <c r="E58" s="446"/>
    </row>
    <row r="59" spans="1:5" ht="12" customHeight="1">
      <c r="A59" s="453" t="s">
        <v>422</v>
      </c>
      <c r="B59" s="447" t="s">
        <v>34</v>
      </c>
      <c r="C59" s="444"/>
      <c r="D59" s="445"/>
      <c r="E59" s="446"/>
    </row>
    <row r="60" spans="1:5" ht="12" customHeight="1">
      <c r="A60" s="438">
        <v>24</v>
      </c>
      <c r="B60" s="447" t="s">
        <v>37</v>
      </c>
      <c r="C60" s="444">
        <v>7</v>
      </c>
      <c r="D60" s="445">
        <f>SUM(Razão!W63,Razão!AA63)+Razão!G149</f>
        <v>4482206.7652173908</v>
      </c>
      <c r="E60" s="446">
        <f>'[7]Balanço '!D60</f>
        <v>3097628.0869565224</v>
      </c>
    </row>
    <row r="61" spans="1:5" ht="12" customHeight="1">
      <c r="A61" s="453" t="s">
        <v>423</v>
      </c>
      <c r="B61" s="447" t="s">
        <v>404</v>
      </c>
      <c r="C61" s="444"/>
      <c r="D61" s="445"/>
      <c r="E61" s="446">
        <f>'[7]Balanço '!D61</f>
        <v>0</v>
      </c>
    </row>
    <row r="62" spans="1:5" ht="12" customHeight="1">
      <c r="A62" s="438">
        <v>25</v>
      </c>
      <c r="B62" s="447" t="s">
        <v>38</v>
      </c>
      <c r="C62" s="444"/>
      <c r="D62" s="445"/>
      <c r="E62" s="446">
        <f>'[7]Balanço '!D62</f>
        <v>0</v>
      </c>
    </row>
    <row r="63" spans="1:5" ht="12" customHeight="1">
      <c r="A63" s="448" t="s">
        <v>424</v>
      </c>
      <c r="B63" s="447" t="s">
        <v>90</v>
      </c>
      <c r="C63" s="444">
        <v>8</v>
      </c>
      <c r="D63" s="445">
        <f>SUM(DRE!C139,DRE!C34)+SUM(Razão!AA116,Razão!AA42)</f>
        <v>2370378.1548888884</v>
      </c>
      <c r="E63" s="446">
        <f>'[7]Balanço '!D63</f>
        <v>1191069.8222175448</v>
      </c>
    </row>
    <row r="64" spans="1:5" ht="12" customHeight="1">
      <c r="A64" s="438" t="s">
        <v>425</v>
      </c>
      <c r="B64" s="447" t="s">
        <v>42</v>
      </c>
      <c r="C64" s="444"/>
      <c r="D64" s="445"/>
      <c r="E64" s="446"/>
    </row>
    <row r="65" spans="1:5" ht="12" customHeight="1">
      <c r="A65" s="438" t="s">
        <v>426</v>
      </c>
      <c r="B65" s="447" t="s">
        <v>92</v>
      </c>
      <c r="C65" s="444"/>
      <c r="D65" s="445"/>
      <c r="E65" s="446"/>
    </row>
    <row r="66" spans="1:5" ht="12" customHeight="1">
      <c r="A66" s="438">
        <v>1432</v>
      </c>
      <c r="B66" s="447" t="s">
        <v>32</v>
      </c>
      <c r="C66" s="444"/>
      <c r="D66" s="445"/>
      <c r="E66" s="446"/>
    </row>
    <row r="67" spans="1:5" ht="12" customHeight="1">
      <c r="A67" s="438"/>
      <c r="B67" s="447" t="s">
        <v>93</v>
      </c>
      <c r="C67" s="444"/>
      <c r="D67" s="445"/>
      <c r="E67" s="446"/>
    </row>
    <row r="68" spans="1:5" ht="12" customHeight="1">
      <c r="A68" s="438"/>
      <c r="B68" s="450"/>
      <c r="C68" s="444"/>
      <c r="D68" s="451">
        <f>SUM(D58:D67)</f>
        <v>6852584.9201062787</v>
      </c>
      <c r="E68" s="452">
        <f>SUM(E58:E67)</f>
        <v>4288697.909174067</v>
      </c>
    </row>
    <row r="69" spans="1:5" s="435" customFormat="1" ht="12" customHeight="1">
      <c r="A69" s="463"/>
      <c r="B69" s="462" t="s">
        <v>427</v>
      </c>
      <c r="C69" s="444"/>
      <c r="D69" s="451">
        <f>D56+D68</f>
        <v>12553962.220675875</v>
      </c>
      <c r="E69" s="452">
        <f>E56+E68</f>
        <v>8376260.1661954513</v>
      </c>
    </row>
    <row r="70" spans="1:5" s="435" customFormat="1" ht="12" customHeight="1">
      <c r="A70" s="463"/>
      <c r="B70" s="462" t="s">
        <v>428</v>
      </c>
      <c r="C70" s="444"/>
      <c r="D70" s="464">
        <f>D69+D47</f>
        <v>22665096.685342543</v>
      </c>
      <c r="E70" s="465">
        <f>E69+E47</f>
        <v>14949469.632848084</v>
      </c>
    </row>
    <row r="71" spans="1:5" ht="12" customHeight="1">
      <c r="A71" s="466" t="s">
        <v>429</v>
      </c>
      <c r="B71" s="466"/>
      <c r="C71" s="466"/>
      <c r="D71" s="466"/>
      <c r="E71" s="466"/>
    </row>
    <row r="73" spans="1:5" ht="12" customHeight="1">
      <c r="B73" s="435" t="s">
        <v>299</v>
      </c>
      <c r="D73" s="235">
        <f>D32-D70</f>
        <v>0</v>
      </c>
      <c r="E73" s="235">
        <f>E32-E70</f>
        <v>0</v>
      </c>
    </row>
  </sheetData>
  <mergeCells count="4">
    <mergeCell ref="A3:A4"/>
    <mergeCell ref="B3:B4"/>
    <mergeCell ref="C3:C4"/>
    <mergeCell ref="D3:E3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1" orientation="portrait" r:id="rId1"/>
  <headerFooter scaleWithDoc="0">
    <oddHeader>&amp;L&amp;8&amp;K03-047MANUAL DE PRESTAÇÃO DE CONTAS NAS SOCIEDADES COMERCIAIS&amp;R&amp;8&amp;K03-047Demonstrações financeiras do SNC: &amp;A</oddHeader>
    <oddFooter>&amp;L&amp;K03-048&amp;F&amp;R&amp;K03-048&amp;D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F30"/>
  <sheetViews>
    <sheetView showGridLines="0" showZeros="0" tabSelected="1" topLeftCell="B31" zoomScaleNormal="100" workbookViewId="0">
      <selection activeCell="G10" sqref="G10"/>
    </sheetView>
  </sheetViews>
  <sheetFormatPr defaultRowHeight="18" customHeight="1" outlineLevelCol="1"/>
  <cols>
    <col min="1" max="1" width="33.7109375" style="432" hidden="1" customWidth="1" outlineLevel="1"/>
    <col min="2" max="2" width="62.7109375" style="433" customWidth="1" collapsed="1"/>
    <col min="3" max="3" width="5.85546875" style="435" customWidth="1"/>
    <col min="4" max="4" width="8.7109375" style="435" customWidth="1"/>
    <col min="5" max="6" width="12" style="231" bestFit="1" customWidth="1"/>
    <col min="7" max="20" width="10.7109375" style="433" customWidth="1"/>
    <col min="21" max="256" width="9.140625" style="433"/>
    <col min="257" max="257" width="33.7109375" style="433" customWidth="1"/>
    <col min="258" max="258" width="62.7109375" style="433" customWidth="1"/>
    <col min="259" max="259" width="5.85546875" style="433" customWidth="1"/>
    <col min="260" max="260" width="8.7109375" style="433" customWidth="1"/>
    <col min="261" max="276" width="10.7109375" style="433" customWidth="1"/>
    <col min="277" max="512" width="9.140625" style="433"/>
    <col min="513" max="513" width="33.7109375" style="433" customWidth="1"/>
    <col min="514" max="514" width="62.7109375" style="433" customWidth="1"/>
    <col min="515" max="515" width="5.85546875" style="433" customWidth="1"/>
    <col min="516" max="516" width="8.7109375" style="433" customWidth="1"/>
    <col min="517" max="532" width="10.7109375" style="433" customWidth="1"/>
    <col min="533" max="768" width="9.140625" style="433"/>
    <col min="769" max="769" width="33.7109375" style="433" customWidth="1"/>
    <col min="770" max="770" width="62.7109375" style="433" customWidth="1"/>
    <col min="771" max="771" width="5.85546875" style="433" customWidth="1"/>
    <col min="772" max="772" width="8.7109375" style="433" customWidth="1"/>
    <col min="773" max="788" width="10.7109375" style="433" customWidth="1"/>
    <col min="789" max="1024" width="9.140625" style="433"/>
    <col min="1025" max="1025" width="33.7109375" style="433" customWidth="1"/>
    <col min="1026" max="1026" width="62.7109375" style="433" customWidth="1"/>
    <col min="1027" max="1027" width="5.85546875" style="433" customWidth="1"/>
    <col min="1028" max="1028" width="8.7109375" style="433" customWidth="1"/>
    <col min="1029" max="1044" width="10.7109375" style="433" customWidth="1"/>
    <col min="1045" max="1280" width="9.140625" style="433"/>
    <col min="1281" max="1281" width="33.7109375" style="433" customWidth="1"/>
    <col min="1282" max="1282" width="62.7109375" style="433" customWidth="1"/>
    <col min="1283" max="1283" width="5.85546875" style="433" customWidth="1"/>
    <col min="1284" max="1284" width="8.7109375" style="433" customWidth="1"/>
    <col min="1285" max="1300" width="10.7109375" style="433" customWidth="1"/>
    <col min="1301" max="1536" width="9.140625" style="433"/>
    <col min="1537" max="1537" width="33.7109375" style="433" customWidth="1"/>
    <col min="1538" max="1538" width="62.7109375" style="433" customWidth="1"/>
    <col min="1539" max="1539" width="5.85546875" style="433" customWidth="1"/>
    <col min="1540" max="1540" width="8.7109375" style="433" customWidth="1"/>
    <col min="1541" max="1556" width="10.7109375" style="433" customWidth="1"/>
    <col min="1557" max="1792" width="9.140625" style="433"/>
    <col min="1793" max="1793" width="33.7109375" style="433" customWidth="1"/>
    <col min="1794" max="1794" width="62.7109375" style="433" customWidth="1"/>
    <col min="1795" max="1795" width="5.85546875" style="433" customWidth="1"/>
    <col min="1796" max="1796" width="8.7109375" style="433" customWidth="1"/>
    <col min="1797" max="1812" width="10.7109375" style="433" customWidth="1"/>
    <col min="1813" max="2048" width="9.140625" style="433"/>
    <col min="2049" max="2049" width="33.7109375" style="433" customWidth="1"/>
    <col min="2050" max="2050" width="62.7109375" style="433" customWidth="1"/>
    <col min="2051" max="2051" width="5.85546875" style="433" customWidth="1"/>
    <col min="2052" max="2052" width="8.7109375" style="433" customWidth="1"/>
    <col min="2053" max="2068" width="10.7109375" style="433" customWidth="1"/>
    <col min="2069" max="2304" width="9.140625" style="433"/>
    <col min="2305" max="2305" width="33.7109375" style="433" customWidth="1"/>
    <col min="2306" max="2306" width="62.7109375" style="433" customWidth="1"/>
    <col min="2307" max="2307" width="5.85546875" style="433" customWidth="1"/>
    <col min="2308" max="2308" width="8.7109375" style="433" customWidth="1"/>
    <col min="2309" max="2324" width="10.7109375" style="433" customWidth="1"/>
    <col min="2325" max="2560" width="9.140625" style="433"/>
    <col min="2561" max="2561" width="33.7109375" style="433" customWidth="1"/>
    <col min="2562" max="2562" width="62.7109375" style="433" customWidth="1"/>
    <col min="2563" max="2563" width="5.85546875" style="433" customWidth="1"/>
    <col min="2564" max="2564" width="8.7109375" style="433" customWidth="1"/>
    <col min="2565" max="2580" width="10.7109375" style="433" customWidth="1"/>
    <col min="2581" max="2816" width="9.140625" style="433"/>
    <col min="2817" max="2817" width="33.7109375" style="433" customWidth="1"/>
    <col min="2818" max="2818" width="62.7109375" style="433" customWidth="1"/>
    <col min="2819" max="2819" width="5.85546875" style="433" customWidth="1"/>
    <col min="2820" max="2820" width="8.7109375" style="433" customWidth="1"/>
    <col min="2821" max="2836" width="10.7109375" style="433" customWidth="1"/>
    <col min="2837" max="3072" width="9.140625" style="433"/>
    <col min="3073" max="3073" width="33.7109375" style="433" customWidth="1"/>
    <col min="3074" max="3074" width="62.7109375" style="433" customWidth="1"/>
    <col min="3075" max="3075" width="5.85546875" style="433" customWidth="1"/>
    <col min="3076" max="3076" width="8.7109375" style="433" customWidth="1"/>
    <col min="3077" max="3092" width="10.7109375" style="433" customWidth="1"/>
    <col min="3093" max="3328" width="9.140625" style="433"/>
    <col min="3329" max="3329" width="33.7109375" style="433" customWidth="1"/>
    <col min="3330" max="3330" width="62.7109375" style="433" customWidth="1"/>
    <col min="3331" max="3331" width="5.85546875" style="433" customWidth="1"/>
    <col min="3332" max="3332" width="8.7109375" style="433" customWidth="1"/>
    <col min="3333" max="3348" width="10.7109375" style="433" customWidth="1"/>
    <col min="3349" max="3584" width="9.140625" style="433"/>
    <col min="3585" max="3585" width="33.7109375" style="433" customWidth="1"/>
    <col min="3586" max="3586" width="62.7109375" style="433" customWidth="1"/>
    <col min="3587" max="3587" width="5.85546875" style="433" customWidth="1"/>
    <col min="3588" max="3588" width="8.7109375" style="433" customWidth="1"/>
    <col min="3589" max="3604" width="10.7109375" style="433" customWidth="1"/>
    <col min="3605" max="3840" width="9.140625" style="433"/>
    <col min="3841" max="3841" width="33.7109375" style="433" customWidth="1"/>
    <col min="3842" max="3842" width="62.7109375" style="433" customWidth="1"/>
    <col min="3843" max="3843" width="5.85546875" style="433" customWidth="1"/>
    <col min="3844" max="3844" width="8.7109375" style="433" customWidth="1"/>
    <col min="3845" max="3860" width="10.7109375" style="433" customWidth="1"/>
    <col min="3861" max="4096" width="9.140625" style="433"/>
    <col min="4097" max="4097" width="33.7109375" style="433" customWidth="1"/>
    <col min="4098" max="4098" width="62.7109375" style="433" customWidth="1"/>
    <col min="4099" max="4099" width="5.85546875" style="433" customWidth="1"/>
    <col min="4100" max="4100" width="8.7109375" style="433" customWidth="1"/>
    <col min="4101" max="4116" width="10.7109375" style="433" customWidth="1"/>
    <col min="4117" max="4352" width="9.140625" style="433"/>
    <col min="4353" max="4353" width="33.7109375" style="433" customWidth="1"/>
    <col min="4354" max="4354" width="62.7109375" style="433" customWidth="1"/>
    <col min="4355" max="4355" width="5.85546875" style="433" customWidth="1"/>
    <col min="4356" max="4356" width="8.7109375" style="433" customWidth="1"/>
    <col min="4357" max="4372" width="10.7109375" style="433" customWidth="1"/>
    <col min="4373" max="4608" width="9.140625" style="433"/>
    <col min="4609" max="4609" width="33.7109375" style="433" customWidth="1"/>
    <col min="4610" max="4610" width="62.7109375" style="433" customWidth="1"/>
    <col min="4611" max="4611" width="5.85546875" style="433" customWidth="1"/>
    <col min="4612" max="4612" width="8.7109375" style="433" customWidth="1"/>
    <col min="4613" max="4628" width="10.7109375" style="433" customWidth="1"/>
    <col min="4629" max="4864" width="9.140625" style="433"/>
    <col min="4865" max="4865" width="33.7109375" style="433" customWidth="1"/>
    <col min="4866" max="4866" width="62.7109375" style="433" customWidth="1"/>
    <col min="4867" max="4867" width="5.85546875" style="433" customWidth="1"/>
    <col min="4868" max="4868" width="8.7109375" style="433" customWidth="1"/>
    <col min="4869" max="4884" width="10.7109375" style="433" customWidth="1"/>
    <col min="4885" max="5120" width="9.140625" style="433"/>
    <col min="5121" max="5121" width="33.7109375" style="433" customWidth="1"/>
    <col min="5122" max="5122" width="62.7109375" style="433" customWidth="1"/>
    <col min="5123" max="5123" width="5.85546875" style="433" customWidth="1"/>
    <col min="5124" max="5124" width="8.7109375" style="433" customWidth="1"/>
    <col min="5125" max="5140" width="10.7109375" style="433" customWidth="1"/>
    <col min="5141" max="5376" width="9.140625" style="433"/>
    <col min="5377" max="5377" width="33.7109375" style="433" customWidth="1"/>
    <col min="5378" max="5378" width="62.7109375" style="433" customWidth="1"/>
    <col min="5379" max="5379" width="5.85546875" style="433" customWidth="1"/>
    <col min="5380" max="5380" width="8.7109375" style="433" customWidth="1"/>
    <col min="5381" max="5396" width="10.7109375" style="433" customWidth="1"/>
    <col min="5397" max="5632" width="9.140625" style="433"/>
    <col min="5633" max="5633" width="33.7109375" style="433" customWidth="1"/>
    <col min="5634" max="5634" width="62.7109375" style="433" customWidth="1"/>
    <col min="5635" max="5635" width="5.85546875" style="433" customWidth="1"/>
    <col min="5636" max="5636" width="8.7109375" style="433" customWidth="1"/>
    <col min="5637" max="5652" width="10.7109375" style="433" customWidth="1"/>
    <col min="5653" max="5888" width="9.140625" style="433"/>
    <col min="5889" max="5889" width="33.7109375" style="433" customWidth="1"/>
    <col min="5890" max="5890" width="62.7109375" style="433" customWidth="1"/>
    <col min="5891" max="5891" width="5.85546875" style="433" customWidth="1"/>
    <col min="5892" max="5892" width="8.7109375" style="433" customWidth="1"/>
    <col min="5893" max="5908" width="10.7109375" style="433" customWidth="1"/>
    <col min="5909" max="6144" width="9.140625" style="433"/>
    <col min="6145" max="6145" width="33.7109375" style="433" customWidth="1"/>
    <col min="6146" max="6146" width="62.7109375" style="433" customWidth="1"/>
    <col min="6147" max="6147" width="5.85546875" style="433" customWidth="1"/>
    <col min="6148" max="6148" width="8.7109375" style="433" customWidth="1"/>
    <col min="6149" max="6164" width="10.7109375" style="433" customWidth="1"/>
    <col min="6165" max="6400" width="9.140625" style="433"/>
    <col min="6401" max="6401" width="33.7109375" style="433" customWidth="1"/>
    <col min="6402" max="6402" width="62.7109375" style="433" customWidth="1"/>
    <col min="6403" max="6403" width="5.85546875" style="433" customWidth="1"/>
    <col min="6404" max="6404" width="8.7109375" style="433" customWidth="1"/>
    <col min="6405" max="6420" width="10.7109375" style="433" customWidth="1"/>
    <col min="6421" max="6656" width="9.140625" style="433"/>
    <col min="6657" max="6657" width="33.7109375" style="433" customWidth="1"/>
    <col min="6658" max="6658" width="62.7109375" style="433" customWidth="1"/>
    <col min="6659" max="6659" width="5.85546875" style="433" customWidth="1"/>
    <col min="6660" max="6660" width="8.7109375" style="433" customWidth="1"/>
    <col min="6661" max="6676" width="10.7109375" style="433" customWidth="1"/>
    <col min="6677" max="6912" width="9.140625" style="433"/>
    <col min="6913" max="6913" width="33.7109375" style="433" customWidth="1"/>
    <col min="6914" max="6914" width="62.7109375" style="433" customWidth="1"/>
    <col min="6915" max="6915" width="5.85546875" style="433" customWidth="1"/>
    <col min="6916" max="6916" width="8.7109375" style="433" customWidth="1"/>
    <col min="6917" max="6932" width="10.7109375" style="433" customWidth="1"/>
    <col min="6933" max="7168" width="9.140625" style="433"/>
    <col min="7169" max="7169" width="33.7109375" style="433" customWidth="1"/>
    <col min="7170" max="7170" width="62.7109375" style="433" customWidth="1"/>
    <col min="7171" max="7171" width="5.85546875" style="433" customWidth="1"/>
    <col min="7172" max="7172" width="8.7109375" style="433" customWidth="1"/>
    <col min="7173" max="7188" width="10.7109375" style="433" customWidth="1"/>
    <col min="7189" max="7424" width="9.140625" style="433"/>
    <col min="7425" max="7425" width="33.7109375" style="433" customWidth="1"/>
    <col min="7426" max="7426" width="62.7109375" style="433" customWidth="1"/>
    <col min="7427" max="7427" width="5.85546875" style="433" customWidth="1"/>
    <col min="7428" max="7428" width="8.7109375" style="433" customWidth="1"/>
    <col min="7429" max="7444" width="10.7109375" style="433" customWidth="1"/>
    <col min="7445" max="7680" width="9.140625" style="433"/>
    <col min="7681" max="7681" width="33.7109375" style="433" customWidth="1"/>
    <col min="7682" max="7682" width="62.7109375" style="433" customWidth="1"/>
    <col min="7683" max="7683" width="5.85546875" style="433" customWidth="1"/>
    <col min="7684" max="7684" width="8.7109375" style="433" customWidth="1"/>
    <col min="7685" max="7700" width="10.7109375" style="433" customWidth="1"/>
    <col min="7701" max="7936" width="9.140625" style="433"/>
    <col min="7937" max="7937" width="33.7109375" style="433" customWidth="1"/>
    <col min="7938" max="7938" width="62.7109375" style="433" customWidth="1"/>
    <col min="7939" max="7939" width="5.85546875" style="433" customWidth="1"/>
    <col min="7940" max="7940" width="8.7109375" style="433" customWidth="1"/>
    <col min="7941" max="7956" width="10.7109375" style="433" customWidth="1"/>
    <col min="7957" max="8192" width="9.140625" style="433"/>
    <col min="8193" max="8193" width="33.7109375" style="433" customWidth="1"/>
    <col min="8194" max="8194" width="62.7109375" style="433" customWidth="1"/>
    <col min="8195" max="8195" width="5.85546875" style="433" customWidth="1"/>
    <col min="8196" max="8196" width="8.7109375" style="433" customWidth="1"/>
    <col min="8197" max="8212" width="10.7109375" style="433" customWidth="1"/>
    <col min="8213" max="8448" width="9.140625" style="433"/>
    <col min="8449" max="8449" width="33.7109375" style="433" customWidth="1"/>
    <col min="8450" max="8450" width="62.7109375" style="433" customWidth="1"/>
    <col min="8451" max="8451" width="5.85546875" style="433" customWidth="1"/>
    <col min="8452" max="8452" width="8.7109375" style="433" customWidth="1"/>
    <col min="8453" max="8468" width="10.7109375" style="433" customWidth="1"/>
    <col min="8469" max="8704" width="9.140625" style="433"/>
    <col min="8705" max="8705" width="33.7109375" style="433" customWidth="1"/>
    <col min="8706" max="8706" width="62.7109375" style="433" customWidth="1"/>
    <col min="8707" max="8707" width="5.85546875" style="433" customWidth="1"/>
    <col min="8708" max="8708" width="8.7109375" style="433" customWidth="1"/>
    <col min="8709" max="8724" width="10.7109375" style="433" customWidth="1"/>
    <col min="8725" max="8960" width="9.140625" style="433"/>
    <col min="8961" max="8961" width="33.7109375" style="433" customWidth="1"/>
    <col min="8962" max="8962" width="62.7109375" style="433" customWidth="1"/>
    <col min="8963" max="8963" width="5.85546875" style="433" customWidth="1"/>
    <col min="8964" max="8964" width="8.7109375" style="433" customWidth="1"/>
    <col min="8965" max="8980" width="10.7109375" style="433" customWidth="1"/>
    <col min="8981" max="9216" width="9.140625" style="433"/>
    <col min="9217" max="9217" width="33.7109375" style="433" customWidth="1"/>
    <col min="9218" max="9218" width="62.7109375" style="433" customWidth="1"/>
    <col min="9219" max="9219" width="5.85546875" style="433" customWidth="1"/>
    <col min="9220" max="9220" width="8.7109375" style="433" customWidth="1"/>
    <col min="9221" max="9236" width="10.7109375" style="433" customWidth="1"/>
    <col min="9237" max="9472" width="9.140625" style="433"/>
    <col min="9473" max="9473" width="33.7109375" style="433" customWidth="1"/>
    <col min="9474" max="9474" width="62.7109375" style="433" customWidth="1"/>
    <col min="9475" max="9475" width="5.85546875" style="433" customWidth="1"/>
    <col min="9476" max="9476" width="8.7109375" style="433" customWidth="1"/>
    <col min="9477" max="9492" width="10.7109375" style="433" customWidth="1"/>
    <col min="9493" max="9728" width="9.140625" style="433"/>
    <col min="9729" max="9729" width="33.7109375" style="433" customWidth="1"/>
    <col min="9730" max="9730" width="62.7109375" style="433" customWidth="1"/>
    <col min="9731" max="9731" width="5.85546875" style="433" customWidth="1"/>
    <col min="9732" max="9732" width="8.7109375" style="433" customWidth="1"/>
    <col min="9733" max="9748" width="10.7109375" style="433" customWidth="1"/>
    <col min="9749" max="9984" width="9.140625" style="433"/>
    <col min="9985" max="9985" width="33.7109375" style="433" customWidth="1"/>
    <col min="9986" max="9986" width="62.7109375" style="433" customWidth="1"/>
    <col min="9987" max="9987" width="5.85546875" style="433" customWidth="1"/>
    <col min="9988" max="9988" width="8.7109375" style="433" customWidth="1"/>
    <col min="9989" max="10004" width="10.7109375" style="433" customWidth="1"/>
    <col min="10005" max="10240" width="9.140625" style="433"/>
    <col min="10241" max="10241" width="33.7109375" style="433" customWidth="1"/>
    <col min="10242" max="10242" width="62.7109375" style="433" customWidth="1"/>
    <col min="10243" max="10243" width="5.85546875" style="433" customWidth="1"/>
    <col min="10244" max="10244" width="8.7109375" style="433" customWidth="1"/>
    <col min="10245" max="10260" width="10.7109375" style="433" customWidth="1"/>
    <col min="10261" max="10496" width="9.140625" style="433"/>
    <col min="10497" max="10497" width="33.7109375" style="433" customWidth="1"/>
    <col min="10498" max="10498" width="62.7109375" style="433" customWidth="1"/>
    <col min="10499" max="10499" width="5.85546875" style="433" customWidth="1"/>
    <col min="10500" max="10500" width="8.7109375" style="433" customWidth="1"/>
    <col min="10501" max="10516" width="10.7109375" style="433" customWidth="1"/>
    <col min="10517" max="10752" width="9.140625" style="433"/>
    <col min="10753" max="10753" width="33.7109375" style="433" customWidth="1"/>
    <col min="10754" max="10754" width="62.7109375" style="433" customWidth="1"/>
    <col min="10755" max="10755" width="5.85546875" style="433" customWidth="1"/>
    <col min="10756" max="10756" width="8.7109375" style="433" customWidth="1"/>
    <col min="10757" max="10772" width="10.7109375" style="433" customWidth="1"/>
    <col min="10773" max="11008" width="9.140625" style="433"/>
    <col min="11009" max="11009" width="33.7109375" style="433" customWidth="1"/>
    <col min="11010" max="11010" width="62.7109375" style="433" customWidth="1"/>
    <col min="11011" max="11011" width="5.85546875" style="433" customWidth="1"/>
    <col min="11012" max="11012" width="8.7109375" style="433" customWidth="1"/>
    <col min="11013" max="11028" width="10.7109375" style="433" customWidth="1"/>
    <col min="11029" max="11264" width="9.140625" style="433"/>
    <col min="11265" max="11265" width="33.7109375" style="433" customWidth="1"/>
    <col min="11266" max="11266" width="62.7109375" style="433" customWidth="1"/>
    <col min="11267" max="11267" width="5.85546875" style="433" customWidth="1"/>
    <col min="11268" max="11268" width="8.7109375" style="433" customWidth="1"/>
    <col min="11269" max="11284" width="10.7109375" style="433" customWidth="1"/>
    <col min="11285" max="11520" width="9.140625" style="433"/>
    <col min="11521" max="11521" width="33.7109375" style="433" customWidth="1"/>
    <col min="11522" max="11522" width="62.7109375" style="433" customWidth="1"/>
    <col min="11523" max="11523" width="5.85546875" style="433" customWidth="1"/>
    <col min="11524" max="11524" width="8.7109375" style="433" customWidth="1"/>
    <col min="11525" max="11540" width="10.7109375" style="433" customWidth="1"/>
    <col min="11541" max="11776" width="9.140625" style="433"/>
    <col min="11777" max="11777" width="33.7109375" style="433" customWidth="1"/>
    <col min="11778" max="11778" width="62.7109375" style="433" customWidth="1"/>
    <col min="11779" max="11779" width="5.85546875" style="433" customWidth="1"/>
    <col min="11780" max="11780" width="8.7109375" style="433" customWidth="1"/>
    <col min="11781" max="11796" width="10.7109375" style="433" customWidth="1"/>
    <col min="11797" max="12032" width="9.140625" style="433"/>
    <col min="12033" max="12033" width="33.7109375" style="433" customWidth="1"/>
    <col min="12034" max="12034" width="62.7109375" style="433" customWidth="1"/>
    <col min="12035" max="12035" width="5.85546875" style="433" customWidth="1"/>
    <col min="12036" max="12036" width="8.7109375" style="433" customWidth="1"/>
    <col min="12037" max="12052" width="10.7109375" style="433" customWidth="1"/>
    <col min="12053" max="12288" width="9.140625" style="433"/>
    <col min="12289" max="12289" width="33.7109375" style="433" customWidth="1"/>
    <col min="12290" max="12290" width="62.7109375" style="433" customWidth="1"/>
    <col min="12291" max="12291" width="5.85546875" style="433" customWidth="1"/>
    <col min="12292" max="12292" width="8.7109375" style="433" customWidth="1"/>
    <col min="12293" max="12308" width="10.7109375" style="433" customWidth="1"/>
    <col min="12309" max="12544" width="9.140625" style="433"/>
    <col min="12545" max="12545" width="33.7109375" style="433" customWidth="1"/>
    <col min="12546" max="12546" width="62.7109375" style="433" customWidth="1"/>
    <col min="12547" max="12547" width="5.85546875" style="433" customWidth="1"/>
    <col min="12548" max="12548" width="8.7109375" style="433" customWidth="1"/>
    <col min="12549" max="12564" width="10.7109375" style="433" customWidth="1"/>
    <col min="12565" max="12800" width="9.140625" style="433"/>
    <col min="12801" max="12801" width="33.7109375" style="433" customWidth="1"/>
    <col min="12802" max="12802" width="62.7109375" style="433" customWidth="1"/>
    <col min="12803" max="12803" width="5.85546875" style="433" customWidth="1"/>
    <col min="12804" max="12804" width="8.7109375" style="433" customWidth="1"/>
    <col min="12805" max="12820" width="10.7109375" style="433" customWidth="1"/>
    <col min="12821" max="13056" width="9.140625" style="433"/>
    <col min="13057" max="13057" width="33.7109375" style="433" customWidth="1"/>
    <col min="13058" max="13058" width="62.7109375" style="433" customWidth="1"/>
    <col min="13059" max="13059" width="5.85546875" style="433" customWidth="1"/>
    <col min="13060" max="13060" width="8.7109375" style="433" customWidth="1"/>
    <col min="13061" max="13076" width="10.7109375" style="433" customWidth="1"/>
    <col min="13077" max="13312" width="9.140625" style="433"/>
    <col min="13313" max="13313" width="33.7109375" style="433" customWidth="1"/>
    <col min="13314" max="13314" width="62.7109375" style="433" customWidth="1"/>
    <col min="13315" max="13315" width="5.85546875" style="433" customWidth="1"/>
    <col min="13316" max="13316" width="8.7109375" style="433" customWidth="1"/>
    <col min="13317" max="13332" width="10.7109375" style="433" customWidth="1"/>
    <col min="13333" max="13568" width="9.140625" style="433"/>
    <col min="13569" max="13569" width="33.7109375" style="433" customWidth="1"/>
    <col min="13570" max="13570" width="62.7109375" style="433" customWidth="1"/>
    <col min="13571" max="13571" width="5.85546875" style="433" customWidth="1"/>
    <col min="13572" max="13572" width="8.7109375" style="433" customWidth="1"/>
    <col min="13573" max="13588" width="10.7109375" style="433" customWidth="1"/>
    <col min="13589" max="13824" width="9.140625" style="433"/>
    <col min="13825" max="13825" width="33.7109375" style="433" customWidth="1"/>
    <col min="13826" max="13826" width="62.7109375" style="433" customWidth="1"/>
    <col min="13827" max="13827" width="5.85546875" style="433" customWidth="1"/>
    <col min="13828" max="13828" width="8.7109375" style="433" customWidth="1"/>
    <col min="13829" max="13844" width="10.7109375" style="433" customWidth="1"/>
    <col min="13845" max="14080" width="9.140625" style="433"/>
    <col min="14081" max="14081" width="33.7109375" style="433" customWidth="1"/>
    <col min="14082" max="14082" width="62.7109375" style="433" customWidth="1"/>
    <col min="14083" max="14083" width="5.85546875" style="433" customWidth="1"/>
    <col min="14084" max="14084" width="8.7109375" style="433" customWidth="1"/>
    <col min="14085" max="14100" width="10.7109375" style="433" customWidth="1"/>
    <col min="14101" max="14336" width="9.140625" style="433"/>
    <col min="14337" max="14337" width="33.7109375" style="433" customWidth="1"/>
    <col min="14338" max="14338" width="62.7109375" style="433" customWidth="1"/>
    <col min="14339" max="14339" width="5.85546875" style="433" customWidth="1"/>
    <col min="14340" max="14340" width="8.7109375" style="433" customWidth="1"/>
    <col min="14341" max="14356" width="10.7109375" style="433" customWidth="1"/>
    <col min="14357" max="14592" width="9.140625" style="433"/>
    <col min="14593" max="14593" width="33.7109375" style="433" customWidth="1"/>
    <col min="14594" max="14594" width="62.7109375" style="433" customWidth="1"/>
    <col min="14595" max="14595" width="5.85546875" style="433" customWidth="1"/>
    <col min="14596" max="14596" width="8.7109375" style="433" customWidth="1"/>
    <col min="14597" max="14612" width="10.7109375" style="433" customWidth="1"/>
    <col min="14613" max="14848" width="9.140625" style="433"/>
    <col min="14849" max="14849" width="33.7109375" style="433" customWidth="1"/>
    <col min="14850" max="14850" width="62.7109375" style="433" customWidth="1"/>
    <col min="14851" max="14851" width="5.85546875" style="433" customWidth="1"/>
    <col min="14852" max="14852" width="8.7109375" style="433" customWidth="1"/>
    <col min="14853" max="14868" width="10.7109375" style="433" customWidth="1"/>
    <col min="14869" max="15104" width="9.140625" style="433"/>
    <col min="15105" max="15105" width="33.7109375" style="433" customWidth="1"/>
    <col min="15106" max="15106" width="62.7109375" style="433" customWidth="1"/>
    <col min="15107" max="15107" width="5.85546875" style="433" customWidth="1"/>
    <col min="15108" max="15108" width="8.7109375" style="433" customWidth="1"/>
    <col min="15109" max="15124" width="10.7109375" style="433" customWidth="1"/>
    <col min="15125" max="15360" width="9.140625" style="433"/>
    <col min="15361" max="15361" width="33.7109375" style="433" customWidth="1"/>
    <col min="15362" max="15362" width="62.7109375" style="433" customWidth="1"/>
    <col min="15363" max="15363" width="5.85546875" style="433" customWidth="1"/>
    <col min="15364" max="15364" width="8.7109375" style="433" customWidth="1"/>
    <col min="15365" max="15380" width="10.7109375" style="433" customWidth="1"/>
    <col min="15381" max="15616" width="9.140625" style="433"/>
    <col min="15617" max="15617" width="33.7109375" style="433" customWidth="1"/>
    <col min="15618" max="15618" width="62.7109375" style="433" customWidth="1"/>
    <col min="15619" max="15619" width="5.85546875" style="433" customWidth="1"/>
    <col min="15620" max="15620" width="8.7109375" style="433" customWidth="1"/>
    <col min="15621" max="15636" width="10.7109375" style="433" customWidth="1"/>
    <col min="15637" max="15872" width="9.140625" style="433"/>
    <col min="15873" max="15873" width="33.7109375" style="433" customWidth="1"/>
    <col min="15874" max="15874" width="62.7109375" style="433" customWidth="1"/>
    <col min="15875" max="15875" width="5.85546875" style="433" customWidth="1"/>
    <col min="15876" max="15876" width="8.7109375" style="433" customWidth="1"/>
    <col min="15877" max="15892" width="10.7109375" style="433" customWidth="1"/>
    <col min="15893" max="16128" width="9.140625" style="433"/>
    <col min="16129" max="16129" width="33.7109375" style="433" customWidth="1"/>
    <col min="16130" max="16130" width="62.7109375" style="433" customWidth="1"/>
    <col min="16131" max="16131" width="5.85546875" style="433" customWidth="1"/>
    <col min="16132" max="16132" width="8.7109375" style="433" customWidth="1"/>
    <col min="16133" max="16148" width="10.7109375" style="433" customWidth="1"/>
    <col min="16149" max="16384" width="9.140625" style="433"/>
  </cols>
  <sheetData>
    <row r="1" spans="1:6" ht="18" customHeight="1">
      <c r="B1" s="664" t="s">
        <v>457</v>
      </c>
      <c r="C1" s="664"/>
      <c r="D1" s="664"/>
      <c r="E1" s="664"/>
      <c r="F1" s="664"/>
    </row>
    <row r="2" spans="1:6" ht="18" customHeight="1">
      <c r="B2" s="663" t="s">
        <v>869</v>
      </c>
      <c r="C2" s="663"/>
      <c r="D2" s="663"/>
      <c r="E2" s="663"/>
      <c r="F2" s="663"/>
    </row>
    <row r="3" spans="1:6" ht="18" customHeight="1">
      <c r="A3" s="665" t="s">
        <v>391</v>
      </c>
      <c r="B3" s="667" t="s">
        <v>212</v>
      </c>
      <c r="C3" s="668"/>
      <c r="D3" s="667" t="s">
        <v>65</v>
      </c>
      <c r="E3" s="669">
        <v>2012</v>
      </c>
      <c r="F3" s="669"/>
    </row>
    <row r="4" spans="1:6" ht="18" customHeight="1">
      <c r="A4" s="666"/>
      <c r="B4" s="667"/>
      <c r="C4" s="668"/>
      <c r="D4" s="667"/>
      <c r="E4" s="467" t="str">
        <f>'Balanço '!D4</f>
        <v>31.12.2012</v>
      </c>
      <c r="F4" s="614" t="str">
        <f>'Balanço '!E4</f>
        <v>PREVISÂO</v>
      </c>
    </row>
    <row r="5" spans="1:6" ht="18" customHeight="1">
      <c r="A5" s="468"/>
      <c r="B5" s="469"/>
      <c r="C5" s="470"/>
      <c r="D5" s="471"/>
      <c r="E5" s="472"/>
      <c r="F5" s="472"/>
    </row>
    <row r="6" spans="1:6" ht="18" customHeight="1">
      <c r="A6" s="473" t="s">
        <v>431</v>
      </c>
      <c r="B6" s="474" t="s">
        <v>214</v>
      </c>
      <c r="C6" s="475" t="s">
        <v>305</v>
      </c>
      <c r="D6" s="476">
        <v>9</v>
      </c>
      <c r="E6" s="240">
        <f>Balancete!L37</f>
        <v>50291174.713043481</v>
      </c>
      <c r="F6" s="240">
        <f>'[7]DRN '!E6</f>
        <v>45443269.565217398</v>
      </c>
    </row>
    <row r="7" spans="1:6" ht="18" customHeight="1">
      <c r="A7" s="473" t="s">
        <v>432</v>
      </c>
      <c r="B7" s="474" t="s">
        <v>215</v>
      </c>
      <c r="C7" s="475" t="s">
        <v>305</v>
      </c>
      <c r="D7" s="476"/>
      <c r="E7" s="240"/>
      <c r="F7" s="240">
        <f>'[7]DRN '!E7</f>
        <v>0</v>
      </c>
    </row>
    <row r="8" spans="1:6" ht="18" customHeight="1">
      <c r="A8" s="473" t="s">
        <v>433</v>
      </c>
      <c r="B8" s="474" t="s">
        <v>217</v>
      </c>
      <c r="C8" s="475" t="s">
        <v>300</v>
      </c>
      <c r="D8" s="476"/>
      <c r="E8" s="240"/>
      <c r="F8" s="240">
        <f>'[7]DRN '!E8</f>
        <v>0</v>
      </c>
    </row>
    <row r="9" spans="1:6" ht="18" customHeight="1">
      <c r="A9" s="473" t="s">
        <v>434</v>
      </c>
      <c r="B9" s="474" t="s">
        <v>218</v>
      </c>
      <c r="C9" s="475" t="s">
        <v>305</v>
      </c>
      <c r="D9" s="476"/>
      <c r="E9" s="240"/>
      <c r="F9" s="240">
        <f>'[7]DRN '!E9</f>
        <v>0</v>
      </c>
    </row>
    <row r="10" spans="1:6" ht="18" customHeight="1">
      <c r="A10" s="473" t="s">
        <v>435</v>
      </c>
      <c r="B10" s="474" t="s">
        <v>436</v>
      </c>
      <c r="C10" s="475" t="s">
        <v>304</v>
      </c>
      <c r="D10" s="476"/>
      <c r="E10" s="240">
        <f>-'ANEXO 2'!B12</f>
        <v>-22753392.521739133</v>
      </c>
      <c r="F10" s="240">
        <f>'[7]DRN '!E10</f>
        <v>-22753392.521739133</v>
      </c>
    </row>
    <row r="11" spans="1:6" ht="18" customHeight="1">
      <c r="A11" s="473" t="s">
        <v>437</v>
      </c>
      <c r="B11" s="474" t="s">
        <v>220</v>
      </c>
      <c r="C11" s="475" t="s">
        <v>304</v>
      </c>
      <c r="D11" s="476"/>
      <c r="E11" s="240">
        <f>-(SUM(Razão!J120:J127,Razão!J129,Razão!J134,Razão!J136,Razão!J138))</f>
        <v>-1977886.9565217393</v>
      </c>
      <c r="F11" s="240">
        <f>'[7]DRN '!E11</f>
        <v>-1978439.1304347825</v>
      </c>
    </row>
    <row r="12" spans="1:6" ht="18" customHeight="1">
      <c r="A12" s="473" t="s">
        <v>438</v>
      </c>
      <c r="B12" s="474" t="s">
        <v>439</v>
      </c>
      <c r="C12" s="475" t="s">
        <v>304</v>
      </c>
      <c r="D12" s="476"/>
      <c r="E12" s="240">
        <f>-SUM(Razão!J130,Razão!J131,Razão!J133)</f>
        <v>-14250600</v>
      </c>
      <c r="F12" s="240">
        <f>'[7]DRN '!E12</f>
        <v>-14250600</v>
      </c>
    </row>
    <row r="13" spans="1:6" ht="18" customHeight="1">
      <c r="A13" s="473" t="s">
        <v>440</v>
      </c>
      <c r="B13" s="474" t="s">
        <v>441</v>
      </c>
      <c r="C13" s="475" t="s">
        <v>311</v>
      </c>
      <c r="D13" s="476"/>
      <c r="E13" s="240"/>
      <c r="F13" s="240">
        <f>'[7]DRN '!E13</f>
        <v>0</v>
      </c>
    </row>
    <row r="14" spans="1:6" ht="18" customHeight="1">
      <c r="A14" s="473" t="s">
        <v>442</v>
      </c>
      <c r="B14" s="474" t="s">
        <v>443</v>
      </c>
      <c r="C14" s="475" t="s">
        <v>311</v>
      </c>
      <c r="D14" s="476"/>
      <c r="E14" s="240"/>
      <c r="F14" s="240">
        <f>'[7]DRN '!E14</f>
        <v>0</v>
      </c>
    </row>
    <row r="15" spans="1:6" ht="18" customHeight="1">
      <c r="A15" s="473" t="s">
        <v>444</v>
      </c>
      <c r="B15" s="474" t="s">
        <v>224</v>
      </c>
      <c r="C15" s="475" t="s">
        <v>311</v>
      </c>
      <c r="D15" s="476"/>
      <c r="E15" s="240"/>
      <c r="F15" s="240">
        <f>'[7]DRN '!E15</f>
        <v>0</v>
      </c>
    </row>
    <row r="16" spans="1:6" ht="18" customHeight="1">
      <c r="A16" s="473" t="s">
        <v>445</v>
      </c>
      <c r="B16" s="474" t="s">
        <v>446</v>
      </c>
      <c r="C16" s="475" t="s">
        <v>311</v>
      </c>
      <c r="D16" s="476"/>
      <c r="E16" s="240"/>
      <c r="F16" s="240">
        <f>'[7]DRN '!E16</f>
        <v>0</v>
      </c>
    </row>
    <row r="17" spans="1:6" ht="18" customHeight="1">
      <c r="A17" s="473" t="s">
        <v>447</v>
      </c>
      <c r="B17" s="474" t="s">
        <v>448</v>
      </c>
      <c r="C17" s="475" t="s">
        <v>300</v>
      </c>
      <c r="D17" s="476"/>
      <c r="E17" s="240"/>
      <c r="F17" s="240">
        <f>'[7]DRN '!E17</f>
        <v>0</v>
      </c>
    </row>
    <row r="18" spans="1:6" ht="18" customHeight="1">
      <c r="A18" s="473" t="s">
        <v>449</v>
      </c>
      <c r="B18" s="474" t="s">
        <v>227</v>
      </c>
      <c r="C18" s="475" t="s">
        <v>305</v>
      </c>
      <c r="D18" s="476"/>
      <c r="E18" s="240"/>
      <c r="F18" s="240">
        <f>'[7]DRN '!E18</f>
        <v>0</v>
      </c>
    </row>
    <row r="19" spans="1:6" ht="18" customHeight="1">
      <c r="A19" s="473" t="s">
        <v>450</v>
      </c>
      <c r="B19" s="474" t="s">
        <v>228</v>
      </c>
      <c r="C19" s="475" t="s">
        <v>304</v>
      </c>
      <c r="D19" s="476">
        <v>10</v>
      </c>
      <c r="E19" s="240">
        <f>-Balancete!K35</f>
        <v>-10600</v>
      </c>
      <c r="F19" s="240">
        <f>'[7]DRN '!E19</f>
        <v>-20000</v>
      </c>
    </row>
    <row r="20" spans="1:6" ht="18" customHeight="1">
      <c r="A20" s="473"/>
      <c r="B20" s="477" t="s">
        <v>229</v>
      </c>
      <c r="C20" s="478" t="s">
        <v>451</v>
      </c>
      <c r="D20" s="479"/>
      <c r="E20" s="246">
        <f>SUM(E6:E19)</f>
        <v>11298695.23478261</v>
      </c>
      <c r="F20" s="246">
        <f>SUM(F6:F19)</f>
        <v>6440837.9130434841</v>
      </c>
    </row>
    <row r="21" spans="1:6" ht="18" customHeight="1">
      <c r="A21" s="473" t="s">
        <v>452</v>
      </c>
      <c r="B21" s="474" t="s">
        <v>230</v>
      </c>
      <c r="C21" s="475" t="s">
        <v>311</v>
      </c>
      <c r="D21" s="476"/>
      <c r="E21" s="240">
        <f>-Razão!N147</f>
        <v>-1372232.94306</v>
      </c>
      <c r="F21" s="240">
        <f>'[7]DRN '!$E$21</f>
        <v>-1384732.94306</v>
      </c>
    </row>
    <row r="22" spans="1:6" ht="18" customHeight="1">
      <c r="A22" s="473"/>
      <c r="B22" s="477" t="s">
        <v>232</v>
      </c>
      <c r="C22" s="478" t="s">
        <v>451</v>
      </c>
      <c r="D22" s="479"/>
      <c r="E22" s="246">
        <f>E20+E21</f>
        <v>9926462.2917226106</v>
      </c>
      <c r="F22" s="246">
        <f>F20+F21</f>
        <v>5056104.9699834846</v>
      </c>
    </row>
    <row r="23" spans="1:6" ht="18" customHeight="1">
      <c r="A23" s="473" t="s">
        <v>453</v>
      </c>
      <c r="B23" s="474" t="s">
        <v>233</v>
      </c>
      <c r="C23" s="475" t="s">
        <v>305</v>
      </c>
      <c r="D23" s="476"/>
      <c r="E23" s="240"/>
      <c r="F23" s="240"/>
    </row>
    <row r="24" spans="1:6" ht="18" customHeight="1">
      <c r="A24" s="473" t="s">
        <v>454</v>
      </c>
      <c r="B24" s="474" t="s">
        <v>234</v>
      </c>
      <c r="C24" s="475" t="s">
        <v>304</v>
      </c>
      <c r="D24" s="476"/>
      <c r="E24" s="240">
        <f>-DRE!C30</f>
        <v>-444949.67216705694</v>
      </c>
      <c r="F24" s="240">
        <f>'[7]DRN '!$E$24</f>
        <v>-291825.68111330573</v>
      </c>
    </row>
    <row r="25" spans="1:6" ht="18" customHeight="1">
      <c r="A25" s="473">
        <v>811</v>
      </c>
      <c r="B25" s="477" t="s">
        <v>235</v>
      </c>
      <c r="C25" s="478" t="s">
        <v>451</v>
      </c>
      <c r="D25" s="479"/>
      <c r="E25" s="246">
        <f>E22+E23+E24</f>
        <v>9481512.6195555534</v>
      </c>
      <c r="F25" s="246">
        <f>F22+F23+F24</f>
        <v>4764279.2888701791</v>
      </c>
    </row>
    <row r="26" spans="1:6" ht="18" customHeight="1">
      <c r="A26" s="473">
        <v>812</v>
      </c>
      <c r="B26" s="474" t="s">
        <v>455</v>
      </c>
      <c r="C26" s="475" t="s">
        <v>311</v>
      </c>
      <c r="D26" s="476"/>
      <c r="E26" s="240">
        <f>-DRE!C34</f>
        <v>-2370378.1548888884</v>
      </c>
      <c r="F26" s="240">
        <f>'[7]DRN '!$E$26</f>
        <v>-1191069.8222175448</v>
      </c>
    </row>
    <row r="27" spans="1:6" ht="18" customHeight="1">
      <c r="A27" s="480">
        <v>818</v>
      </c>
      <c r="B27" s="481" t="s">
        <v>456</v>
      </c>
      <c r="C27" s="482" t="s">
        <v>451</v>
      </c>
      <c r="D27" s="483"/>
      <c r="E27" s="246">
        <f>E25+E26</f>
        <v>7111134.4646666646</v>
      </c>
      <c r="F27" s="246">
        <f>F25+F26</f>
        <v>3573209.4666526346</v>
      </c>
    </row>
    <row r="28" spans="1:6" ht="18" customHeight="1">
      <c r="A28" s="433"/>
      <c r="C28" s="433"/>
      <c r="D28" s="433"/>
      <c r="E28" s="433"/>
      <c r="F28" s="433"/>
    </row>
    <row r="29" spans="1:6" ht="18" customHeight="1">
      <c r="A29" s="433"/>
      <c r="C29" s="433"/>
      <c r="D29" s="433"/>
      <c r="E29" s="433"/>
      <c r="F29" s="433"/>
    </row>
    <row r="30" spans="1:6" ht="18" customHeight="1">
      <c r="A30" s="662"/>
      <c r="B30" s="662"/>
      <c r="C30" s="662"/>
      <c r="D30" s="662"/>
      <c r="E30" s="662"/>
      <c r="F30" s="662"/>
    </row>
  </sheetData>
  <mergeCells count="7">
    <mergeCell ref="A30:F30"/>
    <mergeCell ref="B2:F2"/>
    <mergeCell ref="B1:F1"/>
    <mergeCell ref="A3:A4"/>
    <mergeCell ref="B3:C4"/>
    <mergeCell ref="D3:D4"/>
    <mergeCell ref="E3:F3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64" orientation="portrait" r:id="rId1"/>
  <headerFooter scaleWithDoc="0">
    <oddHeader>&amp;L&amp;8&amp;K03-048MANUAL DE PRESTAÇÃO DE CONTAS NAS SOCIEDADES COMERCIAIS&amp;R&amp;8&amp;K03-048Demonstrações financeiras do SNC: &amp;A</oddHeader>
    <oddFooter>&amp;L&amp;K03-048&amp;F&amp;R&amp;K03-048&amp;D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 tint="-0.499984740745262"/>
    <pageSetUpPr fitToPage="1"/>
  </sheetPr>
  <dimension ref="A1:L377"/>
  <sheetViews>
    <sheetView view="pageBreakPreview" topLeftCell="F1" zoomScale="60" zoomScaleNormal="100" workbookViewId="0">
      <selection activeCell="G387" sqref="G387"/>
    </sheetView>
  </sheetViews>
  <sheetFormatPr defaultRowHeight="23.25"/>
  <cols>
    <col min="1" max="5" width="0" style="5" hidden="1" customWidth="1"/>
    <col min="6" max="6" width="15.85546875" style="108" bestFit="1" customWidth="1"/>
    <col min="7" max="7" width="89.140625" style="115" bestFit="1" customWidth="1"/>
    <col min="8" max="9" width="21.5703125" style="115" bestFit="1" customWidth="1"/>
    <col min="10" max="10" width="21.5703125" style="108" bestFit="1" customWidth="1"/>
    <col min="11" max="11" width="12.7109375" style="108" bestFit="1" customWidth="1"/>
    <col min="12" max="12" width="12.28515625" style="108" bestFit="1" customWidth="1"/>
    <col min="13" max="260" width="9.140625" style="108"/>
    <col min="261" max="262" width="8.7109375" style="108" customWidth="1"/>
    <col min="263" max="263" width="57.85546875" style="108" bestFit="1" customWidth="1"/>
    <col min="264" max="265" width="14.7109375" style="108" customWidth="1"/>
    <col min="266" max="266" width="11.7109375" style="108" bestFit="1" customWidth="1"/>
    <col min="267" max="267" width="12.7109375" style="108" bestFit="1" customWidth="1"/>
    <col min="268" max="268" width="12.28515625" style="108" bestFit="1" customWidth="1"/>
    <col min="269" max="516" width="9.140625" style="108"/>
    <col min="517" max="518" width="8.7109375" style="108" customWidth="1"/>
    <col min="519" max="519" width="57.85546875" style="108" bestFit="1" customWidth="1"/>
    <col min="520" max="521" width="14.7109375" style="108" customWidth="1"/>
    <col min="522" max="522" width="11.7109375" style="108" bestFit="1" customWidth="1"/>
    <col min="523" max="523" width="12.7109375" style="108" bestFit="1" customWidth="1"/>
    <col min="524" max="524" width="12.28515625" style="108" bestFit="1" customWidth="1"/>
    <col min="525" max="772" width="9.140625" style="108"/>
    <col min="773" max="774" width="8.7109375" style="108" customWidth="1"/>
    <col min="775" max="775" width="57.85546875" style="108" bestFit="1" customWidth="1"/>
    <col min="776" max="777" width="14.7109375" style="108" customWidth="1"/>
    <col min="778" max="778" width="11.7109375" style="108" bestFit="1" customWidth="1"/>
    <col min="779" max="779" width="12.7109375" style="108" bestFit="1" customWidth="1"/>
    <col min="780" max="780" width="12.28515625" style="108" bestFit="1" customWidth="1"/>
    <col min="781" max="1028" width="9.140625" style="108"/>
    <col min="1029" max="1030" width="8.7109375" style="108" customWidth="1"/>
    <col min="1031" max="1031" width="57.85546875" style="108" bestFit="1" customWidth="1"/>
    <col min="1032" max="1033" width="14.7109375" style="108" customWidth="1"/>
    <col min="1034" max="1034" width="11.7109375" style="108" bestFit="1" customWidth="1"/>
    <col min="1035" max="1035" width="12.7109375" style="108" bestFit="1" customWidth="1"/>
    <col min="1036" max="1036" width="12.28515625" style="108" bestFit="1" customWidth="1"/>
    <col min="1037" max="1284" width="9.140625" style="108"/>
    <col min="1285" max="1286" width="8.7109375" style="108" customWidth="1"/>
    <col min="1287" max="1287" width="57.85546875" style="108" bestFit="1" customWidth="1"/>
    <col min="1288" max="1289" width="14.7109375" style="108" customWidth="1"/>
    <col min="1290" max="1290" width="11.7109375" style="108" bestFit="1" customWidth="1"/>
    <col min="1291" max="1291" width="12.7109375" style="108" bestFit="1" customWidth="1"/>
    <col min="1292" max="1292" width="12.28515625" style="108" bestFit="1" customWidth="1"/>
    <col min="1293" max="1540" width="9.140625" style="108"/>
    <col min="1541" max="1542" width="8.7109375" style="108" customWidth="1"/>
    <col min="1543" max="1543" width="57.85546875" style="108" bestFit="1" customWidth="1"/>
    <col min="1544" max="1545" width="14.7109375" style="108" customWidth="1"/>
    <col min="1546" max="1546" width="11.7109375" style="108" bestFit="1" customWidth="1"/>
    <col min="1547" max="1547" width="12.7109375" style="108" bestFit="1" customWidth="1"/>
    <col min="1548" max="1548" width="12.28515625" style="108" bestFit="1" customWidth="1"/>
    <col min="1549" max="1796" width="9.140625" style="108"/>
    <col min="1797" max="1798" width="8.7109375" style="108" customWidth="1"/>
    <col min="1799" max="1799" width="57.85546875" style="108" bestFit="1" customWidth="1"/>
    <col min="1800" max="1801" width="14.7109375" style="108" customWidth="1"/>
    <col min="1802" max="1802" width="11.7109375" style="108" bestFit="1" customWidth="1"/>
    <col min="1803" max="1803" width="12.7109375" style="108" bestFit="1" customWidth="1"/>
    <col min="1804" max="1804" width="12.28515625" style="108" bestFit="1" customWidth="1"/>
    <col min="1805" max="2052" width="9.140625" style="108"/>
    <col min="2053" max="2054" width="8.7109375" style="108" customWidth="1"/>
    <col min="2055" max="2055" width="57.85546875" style="108" bestFit="1" customWidth="1"/>
    <col min="2056" max="2057" width="14.7109375" style="108" customWidth="1"/>
    <col min="2058" max="2058" width="11.7109375" style="108" bestFit="1" customWidth="1"/>
    <col min="2059" max="2059" width="12.7109375" style="108" bestFit="1" customWidth="1"/>
    <col min="2060" max="2060" width="12.28515625" style="108" bestFit="1" customWidth="1"/>
    <col min="2061" max="2308" width="9.140625" style="108"/>
    <col min="2309" max="2310" width="8.7109375" style="108" customWidth="1"/>
    <col min="2311" max="2311" width="57.85546875" style="108" bestFit="1" customWidth="1"/>
    <col min="2312" max="2313" width="14.7109375" style="108" customWidth="1"/>
    <col min="2314" max="2314" width="11.7109375" style="108" bestFit="1" customWidth="1"/>
    <col min="2315" max="2315" width="12.7109375" style="108" bestFit="1" customWidth="1"/>
    <col min="2316" max="2316" width="12.28515625" style="108" bestFit="1" customWidth="1"/>
    <col min="2317" max="2564" width="9.140625" style="108"/>
    <col min="2565" max="2566" width="8.7109375" style="108" customWidth="1"/>
    <col min="2567" max="2567" width="57.85546875" style="108" bestFit="1" customWidth="1"/>
    <col min="2568" max="2569" width="14.7109375" style="108" customWidth="1"/>
    <col min="2570" max="2570" width="11.7109375" style="108" bestFit="1" customWidth="1"/>
    <col min="2571" max="2571" width="12.7109375" style="108" bestFit="1" customWidth="1"/>
    <col min="2572" max="2572" width="12.28515625" style="108" bestFit="1" customWidth="1"/>
    <col min="2573" max="2820" width="9.140625" style="108"/>
    <col min="2821" max="2822" width="8.7109375" style="108" customWidth="1"/>
    <col min="2823" max="2823" width="57.85546875" style="108" bestFit="1" customWidth="1"/>
    <col min="2824" max="2825" width="14.7109375" style="108" customWidth="1"/>
    <col min="2826" max="2826" width="11.7109375" style="108" bestFit="1" customWidth="1"/>
    <col min="2827" max="2827" width="12.7109375" style="108" bestFit="1" customWidth="1"/>
    <col min="2828" max="2828" width="12.28515625" style="108" bestFit="1" customWidth="1"/>
    <col min="2829" max="3076" width="9.140625" style="108"/>
    <col min="3077" max="3078" width="8.7109375" style="108" customWidth="1"/>
    <col min="3079" max="3079" width="57.85546875" style="108" bestFit="1" customWidth="1"/>
    <col min="3080" max="3081" width="14.7109375" style="108" customWidth="1"/>
    <col min="3082" max="3082" width="11.7109375" style="108" bestFit="1" customWidth="1"/>
    <col min="3083" max="3083" width="12.7109375" style="108" bestFit="1" customWidth="1"/>
    <col min="3084" max="3084" width="12.28515625" style="108" bestFit="1" customWidth="1"/>
    <col min="3085" max="3332" width="9.140625" style="108"/>
    <col min="3333" max="3334" width="8.7109375" style="108" customWidth="1"/>
    <col min="3335" max="3335" width="57.85546875" style="108" bestFit="1" customWidth="1"/>
    <col min="3336" max="3337" width="14.7109375" style="108" customWidth="1"/>
    <col min="3338" max="3338" width="11.7109375" style="108" bestFit="1" customWidth="1"/>
    <col min="3339" max="3339" width="12.7109375" style="108" bestFit="1" customWidth="1"/>
    <col min="3340" max="3340" width="12.28515625" style="108" bestFit="1" customWidth="1"/>
    <col min="3341" max="3588" width="9.140625" style="108"/>
    <col min="3589" max="3590" width="8.7109375" style="108" customWidth="1"/>
    <col min="3591" max="3591" width="57.85546875" style="108" bestFit="1" customWidth="1"/>
    <col min="3592" max="3593" width="14.7109375" style="108" customWidth="1"/>
    <col min="3594" max="3594" width="11.7109375" style="108" bestFit="1" customWidth="1"/>
    <col min="3595" max="3595" width="12.7109375" style="108" bestFit="1" customWidth="1"/>
    <col min="3596" max="3596" width="12.28515625" style="108" bestFit="1" customWidth="1"/>
    <col min="3597" max="3844" width="9.140625" style="108"/>
    <col min="3845" max="3846" width="8.7109375" style="108" customWidth="1"/>
    <col min="3847" max="3847" width="57.85546875" style="108" bestFit="1" customWidth="1"/>
    <col min="3848" max="3849" width="14.7109375" style="108" customWidth="1"/>
    <col min="3850" max="3850" width="11.7109375" style="108" bestFit="1" customWidth="1"/>
    <col min="3851" max="3851" width="12.7109375" style="108" bestFit="1" customWidth="1"/>
    <col min="3852" max="3852" width="12.28515625" style="108" bestFit="1" customWidth="1"/>
    <col min="3853" max="4100" width="9.140625" style="108"/>
    <col min="4101" max="4102" width="8.7109375" style="108" customWidth="1"/>
    <col min="4103" max="4103" width="57.85546875" style="108" bestFit="1" customWidth="1"/>
    <col min="4104" max="4105" width="14.7109375" style="108" customWidth="1"/>
    <col min="4106" max="4106" width="11.7109375" style="108" bestFit="1" customWidth="1"/>
    <col min="4107" max="4107" width="12.7109375" style="108" bestFit="1" customWidth="1"/>
    <col min="4108" max="4108" width="12.28515625" style="108" bestFit="1" customWidth="1"/>
    <col min="4109" max="4356" width="9.140625" style="108"/>
    <col min="4357" max="4358" width="8.7109375" style="108" customWidth="1"/>
    <col min="4359" max="4359" width="57.85546875" style="108" bestFit="1" customWidth="1"/>
    <col min="4360" max="4361" width="14.7109375" style="108" customWidth="1"/>
    <col min="4362" max="4362" width="11.7109375" style="108" bestFit="1" customWidth="1"/>
    <col min="4363" max="4363" width="12.7109375" style="108" bestFit="1" customWidth="1"/>
    <col min="4364" max="4364" width="12.28515625" style="108" bestFit="1" customWidth="1"/>
    <col min="4365" max="4612" width="9.140625" style="108"/>
    <col min="4613" max="4614" width="8.7109375" style="108" customWidth="1"/>
    <col min="4615" max="4615" width="57.85546875" style="108" bestFit="1" customWidth="1"/>
    <col min="4616" max="4617" width="14.7109375" style="108" customWidth="1"/>
    <col min="4618" max="4618" width="11.7109375" style="108" bestFit="1" customWidth="1"/>
    <col min="4619" max="4619" width="12.7109375" style="108" bestFit="1" customWidth="1"/>
    <col min="4620" max="4620" width="12.28515625" style="108" bestFit="1" customWidth="1"/>
    <col min="4621" max="4868" width="9.140625" style="108"/>
    <col min="4869" max="4870" width="8.7109375" style="108" customWidth="1"/>
    <col min="4871" max="4871" width="57.85546875" style="108" bestFit="1" customWidth="1"/>
    <col min="4872" max="4873" width="14.7109375" style="108" customWidth="1"/>
    <col min="4874" max="4874" width="11.7109375" style="108" bestFit="1" customWidth="1"/>
    <col min="4875" max="4875" width="12.7109375" style="108" bestFit="1" customWidth="1"/>
    <col min="4876" max="4876" width="12.28515625" style="108" bestFit="1" customWidth="1"/>
    <col min="4877" max="5124" width="9.140625" style="108"/>
    <col min="5125" max="5126" width="8.7109375" style="108" customWidth="1"/>
    <col min="5127" max="5127" width="57.85546875" style="108" bestFit="1" customWidth="1"/>
    <col min="5128" max="5129" width="14.7109375" style="108" customWidth="1"/>
    <col min="5130" max="5130" width="11.7109375" style="108" bestFit="1" customWidth="1"/>
    <col min="5131" max="5131" width="12.7109375" style="108" bestFit="1" customWidth="1"/>
    <col min="5132" max="5132" width="12.28515625" style="108" bestFit="1" customWidth="1"/>
    <col min="5133" max="5380" width="9.140625" style="108"/>
    <col min="5381" max="5382" width="8.7109375" style="108" customWidth="1"/>
    <col min="5383" max="5383" width="57.85546875" style="108" bestFit="1" customWidth="1"/>
    <col min="5384" max="5385" width="14.7109375" style="108" customWidth="1"/>
    <col min="5386" max="5386" width="11.7109375" style="108" bestFit="1" customWidth="1"/>
    <col min="5387" max="5387" width="12.7109375" style="108" bestFit="1" customWidth="1"/>
    <col min="5388" max="5388" width="12.28515625" style="108" bestFit="1" customWidth="1"/>
    <col min="5389" max="5636" width="9.140625" style="108"/>
    <col min="5637" max="5638" width="8.7109375" style="108" customWidth="1"/>
    <col min="5639" max="5639" width="57.85546875" style="108" bestFit="1" customWidth="1"/>
    <col min="5640" max="5641" width="14.7109375" style="108" customWidth="1"/>
    <col min="5642" max="5642" width="11.7109375" style="108" bestFit="1" customWidth="1"/>
    <col min="5643" max="5643" width="12.7109375" style="108" bestFit="1" customWidth="1"/>
    <col min="5644" max="5644" width="12.28515625" style="108" bestFit="1" customWidth="1"/>
    <col min="5645" max="5892" width="9.140625" style="108"/>
    <col min="5893" max="5894" width="8.7109375" style="108" customWidth="1"/>
    <col min="5895" max="5895" width="57.85546875" style="108" bestFit="1" customWidth="1"/>
    <col min="5896" max="5897" width="14.7109375" style="108" customWidth="1"/>
    <col min="5898" max="5898" width="11.7109375" style="108" bestFit="1" customWidth="1"/>
    <col min="5899" max="5899" width="12.7109375" style="108" bestFit="1" customWidth="1"/>
    <col min="5900" max="5900" width="12.28515625" style="108" bestFit="1" customWidth="1"/>
    <col min="5901" max="6148" width="9.140625" style="108"/>
    <col min="6149" max="6150" width="8.7109375" style="108" customWidth="1"/>
    <col min="6151" max="6151" width="57.85546875" style="108" bestFit="1" customWidth="1"/>
    <col min="6152" max="6153" width="14.7109375" style="108" customWidth="1"/>
    <col min="6154" max="6154" width="11.7109375" style="108" bestFit="1" customWidth="1"/>
    <col min="6155" max="6155" width="12.7109375" style="108" bestFit="1" customWidth="1"/>
    <col min="6156" max="6156" width="12.28515625" style="108" bestFit="1" customWidth="1"/>
    <col min="6157" max="6404" width="9.140625" style="108"/>
    <col min="6405" max="6406" width="8.7109375" style="108" customWidth="1"/>
    <col min="6407" max="6407" width="57.85546875" style="108" bestFit="1" customWidth="1"/>
    <col min="6408" max="6409" width="14.7109375" style="108" customWidth="1"/>
    <col min="6410" max="6410" width="11.7109375" style="108" bestFit="1" customWidth="1"/>
    <col min="6411" max="6411" width="12.7109375" style="108" bestFit="1" customWidth="1"/>
    <col min="6412" max="6412" width="12.28515625" style="108" bestFit="1" customWidth="1"/>
    <col min="6413" max="6660" width="9.140625" style="108"/>
    <col min="6661" max="6662" width="8.7109375" style="108" customWidth="1"/>
    <col min="6663" max="6663" width="57.85546875" style="108" bestFit="1" customWidth="1"/>
    <col min="6664" max="6665" width="14.7109375" style="108" customWidth="1"/>
    <col min="6666" max="6666" width="11.7109375" style="108" bestFit="1" customWidth="1"/>
    <col min="6667" max="6667" width="12.7109375" style="108" bestFit="1" customWidth="1"/>
    <col min="6668" max="6668" width="12.28515625" style="108" bestFit="1" customWidth="1"/>
    <col min="6669" max="6916" width="9.140625" style="108"/>
    <col min="6917" max="6918" width="8.7109375" style="108" customWidth="1"/>
    <col min="6919" max="6919" width="57.85546875" style="108" bestFit="1" customWidth="1"/>
    <col min="6920" max="6921" width="14.7109375" style="108" customWidth="1"/>
    <col min="6922" max="6922" width="11.7109375" style="108" bestFit="1" customWidth="1"/>
    <col min="6923" max="6923" width="12.7109375" style="108" bestFit="1" customWidth="1"/>
    <col min="6924" max="6924" width="12.28515625" style="108" bestFit="1" customWidth="1"/>
    <col min="6925" max="7172" width="9.140625" style="108"/>
    <col min="7173" max="7174" width="8.7109375" style="108" customWidth="1"/>
    <col min="7175" max="7175" width="57.85546875" style="108" bestFit="1" customWidth="1"/>
    <col min="7176" max="7177" width="14.7109375" style="108" customWidth="1"/>
    <col min="7178" max="7178" width="11.7109375" style="108" bestFit="1" customWidth="1"/>
    <col min="7179" max="7179" width="12.7109375" style="108" bestFit="1" customWidth="1"/>
    <col min="7180" max="7180" width="12.28515625" style="108" bestFit="1" customWidth="1"/>
    <col min="7181" max="7428" width="9.140625" style="108"/>
    <col min="7429" max="7430" width="8.7109375" style="108" customWidth="1"/>
    <col min="7431" max="7431" width="57.85546875" style="108" bestFit="1" customWidth="1"/>
    <col min="7432" max="7433" width="14.7109375" style="108" customWidth="1"/>
    <col min="7434" max="7434" width="11.7109375" style="108" bestFit="1" customWidth="1"/>
    <col min="7435" max="7435" width="12.7109375" style="108" bestFit="1" customWidth="1"/>
    <col min="7436" max="7436" width="12.28515625" style="108" bestFit="1" customWidth="1"/>
    <col min="7437" max="7684" width="9.140625" style="108"/>
    <col min="7685" max="7686" width="8.7109375" style="108" customWidth="1"/>
    <col min="7687" max="7687" width="57.85546875" style="108" bestFit="1" customWidth="1"/>
    <col min="7688" max="7689" width="14.7109375" style="108" customWidth="1"/>
    <col min="7690" max="7690" width="11.7109375" style="108" bestFit="1" customWidth="1"/>
    <col min="7691" max="7691" width="12.7109375" style="108" bestFit="1" customWidth="1"/>
    <col min="7692" max="7692" width="12.28515625" style="108" bestFit="1" customWidth="1"/>
    <col min="7693" max="7940" width="9.140625" style="108"/>
    <col min="7941" max="7942" width="8.7109375" style="108" customWidth="1"/>
    <col min="7943" max="7943" width="57.85546875" style="108" bestFit="1" customWidth="1"/>
    <col min="7944" max="7945" width="14.7109375" style="108" customWidth="1"/>
    <col min="7946" max="7946" width="11.7109375" style="108" bestFit="1" customWidth="1"/>
    <col min="7947" max="7947" width="12.7109375" style="108" bestFit="1" customWidth="1"/>
    <col min="7948" max="7948" width="12.28515625" style="108" bestFit="1" customWidth="1"/>
    <col min="7949" max="8196" width="9.140625" style="108"/>
    <col min="8197" max="8198" width="8.7109375" style="108" customWidth="1"/>
    <col min="8199" max="8199" width="57.85546875" style="108" bestFit="1" customWidth="1"/>
    <col min="8200" max="8201" width="14.7109375" style="108" customWidth="1"/>
    <col min="8202" max="8202" width="11.7109375" style="108" bestFit="1" customWidth="1"/>
    <col min="8203" max="8203" width="12.7109375" style="108" bestFit="1" customWidth="1"/>
    <col min="8204" max="8204" width="12.28515625" style="108" bestFit="1" customWidth="1"/>
    <col min="8205" max="8452" width="9.140625" style="108"/>
    <col min="8453" max="8454" width="8.7109375" style="108" customWidth="1"/>
    <col min="8455" max="8455" width="57.85546875" style="108" bestFit="1" customWidth="1"/>
    <col min="8456" max="8457" width="14.7109375" style="108" customWidth="1"/>
    <col min="8458" max="8458" width="11.7109375" style="108" bestFit="1" customWidth="1"/>
    <col min="8459" max="8459" width="12.7109375" style="108" bestFit="1" customWidth="1"/>
    <col min="8460" max="8460" width="12.28515625" style="108" bestFit="1" customWidth="1"/>
    <col min="8461" max="8708" width="9.140625" style="108"/>
    <col min="8709" max="8710" width="8.7109375" style="108" customWidth="1"/>
    <col min="8711" max="8711" width="57.85546875" style="108" bestFit="1" customWidth="1"/>
    <col min="8712" max="8713" width="14.7109375" style="108" customWidth="1"/>
    <col min="8714" max="8714" width="11.7109375" style="108" bestFit="1" customWidth="1"/>
    <col min="8715" max="8715" width="12.7109375" style="108" bestFit="1" customWidth="1"/>
    <col min="8716" max="8716" width="12.28515625" style="108" bestFit="1" customWidth="1"/>
    <col min="8717" max="8964" width="9.140625" style="108"/>
    <col min="8965" max="8966" width="8.7109375" style="108" customWidth="1"/>
    <col min="8967" max="8967" width="57.85546875" style="108" bestFit="1" customWidth="1"/>
    <col min="8968" max="8969" width="14.7109375" style="108" customWidth="1"/>
    <col min="8970" max="8970" width="11.7109375" style="108" bestFit="1" customWidth="1"/>
    <col min="8971" max="8971" width="12.7109375" style="108" bestFit="1" customWidth="1"/>
    <col min="8972" max="8972" width="12.28515625" style="108" bestFit="1" customWidth="1"/>
    <col min="8973" max="9220" width="9.140625" style="108"/>
    <col min="9221" max="9222" width="8.7109375" style="108" customWidth="1"/>
    <col min="9223" max="9223" width="57.85546875" style="108" bestFit="1" customWidth="1"/>
    <col min="9224" max="9225" width="14.7109375" style="108" customWidth="1"/>
    <col min="9226" max="9226" width="11.7109375" style="108" bestFit="1" customWidth="1"/>
    <col min="9227" max="9227" width="12.7109375" style="108" bestFit="1" customWidth="1"/>
    <col min="9228" max="9228" width="12.28515625" style="108" bestFit="1" customWidth="1"/>
    <col min="9229" max="9476" width="9.140625" style="108"/>
    <col min="9477" max="9478" width="8.7109375" style="108" customWidth="1"/>
    <col min="9479" max="9479" width="57.85546875" style="108" bestFit="1" customWidth="1"/>
    <col min="9480" max="9481" width="14.7109375" style="108" customWidth="1"/>
    <col min="9482" max="9482" width="11.7109375" style="108" bestFit="1" customWidth="1"/>
    <col min="9483" max="9483" width="12.7109375" style="108" bestFit="1" customWidth="1"/>
    <col min="9484" max="9484" width="12.28515625" style="108" bestFit="1" customWidth="1"/>
    <col min="9485" max="9732" width="9.140625" style="108"/>
    <col min="9733" max="9734" width="8.7109375" style="108" customWidth="1"/>
    <col min="9735" max="9735" width="57.85546875" style="108" bestFit="1" customWidth="1"/>
    <col min="9736" max="9737" width="14.7109375" style="108" customWidth="1"/>
    <col min="9738" max="9738" width="11.7109375" style="108" bestFit="1" customWidth="1"/>
    <col min="9739" max="9739" width="12.7109375" style="108" bestFit="1" customWidth="1"/>
    <col min="9740" max="9740" width="12.28515625" style="108" bestFit="1" customWidth="1"/>
    <col min="9741" max="9988" width="9.140625" style="108"/>
    <col min="9989" max="9990" width="8.7109375" style="108" customWidth="1"/>
    <col min="9991" max="9991" width="57.85546875" style="108" bestFit="1" customWidth="1"/>
    <col min="9992" max="9993" width="14.7109375" style="108" customWidth="1"/>
    <col min="9994" max="9994" width="11.7109375" style="108" bestFit="1" customWidth="1"/>
    <col min="9995" max="9995" width="12.7109375" style="108" bestFit="1" customWidth="1"/>
    <col min="9996" max="9996" width="12.28515625" style="108" bestFit="1" customWidth="1"/>
    <col min="9997" max="10244" width="9.140625" style="108"/>
    <col min="10245" max="10246" width="8.7109375" style="108" customWidth="1"/>
    <col min="10247" max="10247" width="57.85546875" style="108" bestFit="1" customWidth="1"/>
    <col min="10248" max="10249" width="14.7109375" style="108" customWidth="1"/>
    <col min="10250" max="10250" width="11.7109375" style="108" bestFit="1" customWidth="1"/>
    <col min="10251" max="10251" width="12.7109375" style="108" bestFit="1" customWidth="1"/>
    <col min="10252" max="10252" width="12.28515625" style="108" bestFit="1" customWidth="1"/>
    <col min="10253" max="10500" width="9.140625" style="108"/>
    <col min="10501" max="10502" width="8.7109375" style="108" customWidth="1"/>
    <col min="10503" max="10503" width="57.85546875" style="108" bestFit="1" customWidth="1"/>
    <col min="10504" max="10505" width="14.7109375" style="108" customWidth="1"/>
    <col min="10506" max="10506" width="11.7109375" style="108" bestFit="1" customWidth="1"/>
    <col min="10507" max="10507" width="12.7109375" style="108" bestFit="1" customWidth="1"/>
    <col min="10508" max="10508" width="12.28515625" style="108" bestFit="1" customWidth="1"/>
    <col min="10509" max="10756" width="9.140625" style="108"/>
    <col min="10757" max="10758" width="8.7109375" style="108" customWidth="1"/>
    <col min="10759" max="10759" width="57.85546875" style="108" bestFit="1" customWidth="1"/>
    <col min="10760" max="10761" width="14.7109375" style="108" customWidth="1"/>
    <col min="10762" max="10762" width="11.7109375" style="108" bestFit="1" customWidth="1"/>
    <col min="10763" max="10763" width="12.7109375" style="108" bestFit="1" customWidth="1"/>
    <col min="10764" max="10764" width="12.28515625" style="108" bestFit="1" customWidth="1"/>
    <col min="10765" max="11012" width="9.140625" style="108"/>
    <col min="11013" max="11014" width="8.7109375" style="108" customWidth="1"/>
    <col min="11015" max="11015" width="57.85546875" style="108" bestFit="1" customWidth="1"/>
    <col min="11016" max="11017" width="14.7109375" style="108" customWidth="1"/>
    <col min="11018" max="11018" width="11.7109375" style="108" bestFit="1" customWidth="1"/>
    <col min="11019" max="11019" width="12.7109375" style="108" bestFit="1" customWidth="1"/>
    <col min="11020" max="11020" width="12.28515625" style="108" bestFit="1" customWidth="1"/>
    <col min="11021" max="11268" width="9.140625" style="108"/>
    <col min="11269" max="11270" width="8.7109375" style="108" customWidth="1"/>
    <col min="11271" max="11271" width="57.85546875" style="108" bestFit="1" customWidth="1"/>
    <col min="11272" max="11273" width="14.7109375" style="108" customWidth="1"/>
    <col min="11274" max="11274" width="11.7109375" style="108" bestFit="1" customWidth="1"/>
    <col min="11275" max="11275" width="12.7109375" style="108" bestFit="1" customWidth="1"/>
    <col min="11276" max="11276" width="12.28515625" style="108" bestFit="1" customWidth="1"/>
    <col min="11277" max="11524" width="9.140625" style="108"/>
    <col min="11525" max="11526" width="8.7109375" style="108" customWidth="1"/>
    <col min="11527" max="11527" width="57.85546875" style="108" bestFit="1" customWidth="1"/>
    <col min="11528" max="11529" width="14.7109375" style="108" customWidth="1"/>
    <col min="11530" max="11530" width="11.7109375" style="108" bestFit="1" customWidth="1"/>
    <col min="11531" max="11531" width="12.7109375" style="108" bestFit="1" customWidth="1"/>
    <col min="11532" max="11532" width="12.28515625" style="108" bestFit="1" customWidth="1"/>
    <col min="11533" max="11780" width="9.140625" style="108"/>
    <col min="11781" max="11782" width="8.7109375" style="108" customWidth="1"/>
    <col min="11783" max="11783" width="57.85546875" style="108" bestFit="1" customWidth="1"/>
    <col min="11784" max="11785" width="14.7109375" style="108" customWidth="1"/>
    <col min="11786" max="11786" width="11.7109375" style="108" bestFit="1" customWidth="1"/>
    <col min="11787" max="11787" width="12.7109375" style="108" bestFit="1" customWidth="1"/>
    <col min="11788" max="11788" width="12.28515625" style="108" bestFit="1" customWidth="1"/>
    <col min="11789" max="12036" width="9.140625" style="108"/>
    <col min="12037" max="12038" width="8.7109375" style="108" customWidth="1"/>
    <col min="12039" max="12039" width="57.85546875" style="108" bestFit="1" customWidth="1"/>
    <col min="12040" max="12041" width="14.7109375" style="108" customWidth="1"/>
    <col min="12042" max="12042" width="11.7109375" style="108" bestFit="1" customWidth="1"/>
    <col min="12043" max="12043" width="12.7109375" style="108" bestFit="1" customWidth="1"/>
    <col min="12044" max="12044" width="12.28515625" style="108" bestFit="1" customWidth="1"/>
    <col min="12045" max="12292" width="9.140625" style="108"/>
    <col min="12293" max="12294" width="8.7109375" style="108" customWidth="1"/>
    <col min="12295" max="12295" width="57.85546875" style="108" bestFit="1" customWidth="1"/>
    <col min="12296" max="12297" width="14.7109375" style="108" customWidth="1"/>
    <col min="12298" max="12298" width="11.7109375" style="108" bestFit="1" customWidth="1"/>
    <col min="12299" max="12299" width="12.7109375" style="108" bestFit="1" customWidth="1"/>
    <col min="12300" max="12300" width="12.28515625" style="108" bestFit="1" customWidth="1"/>
    <col min="12301" max="12548" width="9.140625" style="108"/>
    <col min="12549" max="12550" width="8.7109375" style="108" customWidth="1"/>
    <col min="12551" max="12551" width="57.85546875" style="108" bestFit="1" customWidth="1"/>
    <col min="12552" max="12553" width="14.7109375" style="108" customWidth="1"/>
    <col min="12554" max="12554" width="11.7109375" style="108" bestFit="1" customWidth="1"/>
    <col min="12555" max="12555" width="12.7109375" style="108" bestFit="1" customWidth="1"/>
    <col min="12556" max="12556" width="12.28515625" style="108" bestFit="1" customWidth="1"/>
    <col min="12557" max="12804" width="9.140625" style="108"/>
    <col min="12805" max="12806" width="8.7109375" style="108" customWidth="1"/>
    <col min="12807" max="12807" width="57.85546875" style="108" bestFit="1" customWidth="1"/>
    <col min="12808" max="12809" width="14.7109375" style="108" customWidth="1"/>
    <col min="12810" max="12810" width="11.7109375" style="108" bestFit="1" customWidth="1"/>
    <col min="12811" max="12811" width="12.7109375" style="108" bestFit="1" customWidth="1"/>
    <col min="12812" max="12812" width="12.28515625" style="108" bestFit="1" customWidth="1"/>
    <col min="12813" max="13060" width="9.140625" style="108"/>
    <col min="13061" max="13062" width="8.7109375" style="108" customWidth="1"/>
    <col min="13063" max="13063" width="57.85546875" style="108" bestFit="1" customWidth="1"/>
    <col min="13064" max="13065" width="14.7109375" style="108" customWidth="1"/>
    <col min="13066" max="13066" width="11.7109375" style="108" bestFit="1" customWidth="1"/>
    <col min="13067" max="13067" width="12.7109375" style="108" bestFit="1" customWidth="1"/>
    <col min="13068" max="13068" width="12.28515625" style="108" bestFit="1" customWidth="1"/>
    <col min="13069" max="13316" width="9.140625" style="108"/>
    <col min="13317" max="13318" width="8.7109375" style="108" customWidth="1"/>
    <col min="13319" max="13319" width="57.85546875" style="108" bestFit="1" customWidth="1"/>
    <col min="13320" max="13321" width="14.7109375" style="108" customWidth="1"/>
    <col min="13322" max="13322" width="11.7109375" style="108" bestFit="1" customWidth="1"/>
    <col min="13323" max="13323" width="12.7109375" style="108" bestFit="1" customWidth="1"/>
    <col min="13324" max="13324" width="12.28515625" style="108" bestFit="1" customWidth="1"/>
    <col min="13325" max="13572" width="9.140625" style="108"/>
    <col min="13573" max="13574" width="8.7109375" style="108" customWidth="1"/>
    <col min="13575" max="13575" width="57.85546875" style="108" bestFit="1" customWidth="1"/>
    <col min="13576" max="13577" width="14.7109375" style="108" customWidth="1"/>
    <col min="13578" max="13578" width="11.7109375" style="108" bestFit="1" customWidth="1"/>
    <col min="13579" max="13579" width="12.7109375" style="108" bestFit="1" customWidth="1"/>
    <col min="13580" max="13580" width="12.28515625" style="108" bestFit="1" customWidth="1"/>
    <col min="13581" max="13828" width="9.140625" style="108"/>
    <col min="13829" max="13830" width="8.7109375" style="108" customWidth="1"/>
    <col min="13831" max="13831" width="57.85546875" style="108" bestFit="1" customWidth="1"/>
    <col min="13832" max="13833" width="14.7109375" style="108" customWidth="1"/>
    <col min="13834" max="13834" width="11.7109375" style="108" bestFit="1" customWidth="1"/>
    <col min="13835" max="13835" width="12.7109375" style="108" bestFit="1" customWidth="1"/>
    <col min="13836" max="13836" width="12.28515625" style="108" bestFit="1" customWidth="1"/>
    <col min="13837" max="14084" width="9.140625" style="108"/>
    <col min="14085" max="14086" width="8.7109375" style="108" customWidth="1"/>
    <col min="14087" max="14087" width="57.85546875" style="108" bestFit="1" customWidth="1"/>
    <col min="14088" max="14089" width="14.7109375" style="108" customWidth="1"/>
    <col min="14090" max="14090" width="11.7109375" style="108" bestFit="1" customWidth="1"/>
    <col min="14091" max="14091" width="12.7109375" style="108" bestFit="1" customWidth="1"/>
    <col min="14092" max="14092" width="12.28515625" style="108" bestFit="1" customWidth="1"/>
    <col min="14093" max="14340" width="9.140625" style="108"/>
    <col min="14341" max="14342" width="8.7109375" style="108" customWidth="1"/>
    <col min="14343" max="14343" width="57.85546875" style="108" bestFit="1" customWidth="1"/>
    <col min="14344" max="14345" width="14.7109375" style="108" customWidth="1"/>
    <col min="14346" max="14346" width="11.7109375" style="108" bestFit="1" customWidth="1"/>
    <col min="14347" max="14347" width="12.7109375" style="108" bestFit="1" customWidth="1"/>
    <col min="14348" max="14348" width="12.28515625" style="108" bestFit="1" customWidth="1"/>
    <col min="14349" max="14596" width="9.140625" style="108"/>
    <col min="14597" max="14598" width="8.7109375" style="108" customWidth="1"/>
    <col min="14599" max="14599" width="57.85546875" style="108" bestFit="1" customWidth="1"/>
    <col min="14600" max="14601" width="14.7109375" style="108" customWidth="1"/>
    <col min="14602" max="14602" width="11.7109375" style="108" bestFit="1" customWidth="1"/>
    <col min="14603" max="14603" width="12.7109375" style="108" bestFit="1" customWidth="1"/>
    <col min="14604" max="14604" width="12.28515625" style="108" bestFit="1" customWidth="1"/>
    <col min="14605" max="14852" width="9.140625" style="108"/>
    <col min="14853" max="14854" width="8.7109375" style="108" customWidth="1"/>
    <col min="14855" max="14855" width="57.85546875" style="108" bestFit="1" customWidth="1"/>
    <col min="14856" max="14857" width="14.7109375" style="108" customWidth="1"/>
    <col min="14858" max="14858" width="11.7109375" style="108" bestFit="1" customWidth="1"/>
    <col min="14859" max="14859" width="12.7109375" style="108" bestFit="1" customWidth="1"/>
    <col min="14860" max="14860" width="12.28515625" style="108" bestFit="1" customWidth="1"/>
    <col min="14861" max="15108" width="9.140625" style="108"/>
    <col min="15109" max="15110" width="8.7109375" style="108" customWidth="1"/>
    <col min="15111" max="15111" width="57.85546875" style="108" bestFit="1" customWidth="1"/>
    <col min="15112" max="15113" width="14.7109375" style="108" customWidth="1"/>
    <col min="15114" max="15114" width="11.7109375" style="108" bestFit="1" customWidth="1"/>
    <col min="15115" max="15115" width="12.7109375" style="108" bestFit="1" customWidth="1"/>
    <col min="15116" max="15116" width="12.28515625" style="108" bestFit="1" customWidth="1"/>
    <col min="15117" max="15364" width="9.140625" style="108"/>
    <col min="15365" max="15366" width="8.7109375" style="108" customWidth="1"/>
    <col min="15367" max="15367" width="57.85546875" style="108" bestFit="1" customWidth="1"/>
    <col min="15368" max="15369" width="14.7109375" style="108" customWidth="1"/>
    <col min="15370" max="15370" width="11.7109375" style="108" bestFit="1" customWidth="1"/>
    <col min="15371" max="15371" width="12.7109375" style="108" bestFit="1" customWidth="1"/>
    <col min="15372" max="15372" width="12.28515625" style="108" bestFit="1" customWidth="1"/>
    <col min="15373" max="15620" width="9.140625" style="108"/>
    <col min="15621" max="15622" width="8.7109375" style="108" customWidth="1"/>
    <col min="15623" max="15623" width="57.85546875" style="108" bestFit="1" customWidth="1"/>
    <col min="15624" max="15625" width="14.7109375" style="108" customWidth="1"/>
    <col min="15626" max="15626" width="11.7109375" style="108" bestFit="1" customWidth="1"/>
    <col min="15627" max="15627" width="12.7109375" style="108" bestFit="1" customWidth="1"/>
    <col min="15628" max="15628" width="12.28515625" style="108" bestFit="1" customWidth="1"/>
    <col min="15629" max="15876" width="9.140625" style="108"/>
    <col min="15877" max="15878" width="8.7109375" style="108" customWidth="1"/>
    <col min="15879" max="15879" width="57.85546875" style="108" bestFit="1" customWidth="1"/>
    <col min="15880" max="15881" width="14.7109375" style="108" customWidth="1"/>
    <col min="15882" max="15882" width="11.7109375" style="108" bestFit="1" customWidth="1"/>
    <col min="15883" max="15883" width="12.7109375" style="108" bestFit="1" customWidth="1"/>
    <col min="15884" max="15884" width="12.28515625" style="108" bestFit="1" customWidth="1"/>
    <col min="15885" max="16132" width="9.140625" style="108"/>
    <col min="16133" max="16134" width="8.7109375" style="108" customWidth="1"/>
    <col min="16135" max="16135" width="57.85546875" style="108" bestFit="1" customWidth="1"/>
    <col min="16136" max="16137" width="14.7109375" style="108" customWidth="1"/>
    <col min="16138" max="16138" width="11.7109375" style="108" bestFit="1" customWidth="1"/>
    <col min="16139" max="16139" width="12.7109375" style="108" bestFit="1" customWidth="1"/>
    <col min="16140" max="16140" width="12.28515625" style="108" bestFit="1" customWidth="1"/>
    <col min="16141" max="16384" width="9.140625" style="108"/>
  </cols>
  <sheetData>
    <row r="1" spans="6:12" ht="24" thickBot="1">
      <c r="F1" s="107" t="s">
        <v>0</v>
      </c>
      <c r="G1" s="107" t="s">
        <v>1</v>
      </c>
      <c r="H1" s="107" t="s">
        <v>2</v>
      </c>
      <c r="I1" s="107" t="s">
        <v>3</v>
      </c>
    </row>
    <row r="2" spans="6:12" s="5" customFormat="1" ht="15.75" hidden="1" customHeight="1">
      <c r="F2" s="6" t="s">
        <v>109</v>
      </c>
      <c r="G2" s="8" t="s">
        <v>9</v>
      </c>
      <c r="H2" s="9">
        <v>500000</v>
      </c>
      <c r="I2" s="10"/>
    </row>
    <row r="3" spans="6:12" s="5" customFormat="1" ht="15.75" hidden="1" customHeight="1">
      <c r="F3" s="7"/>
      <c r="G3" s="8" t="s">
        <v>10</v>
      </c>
      <c r="H3" s="11">
        <v>500000</v>
      </c>
      <c r="I3" s="10"/>
    </row>
    <row r="4" spans="6:12" s="5" customFormat="1" ht="15.75" hidden="1" customHeight="1">
      <c r="F4" s="7"/>
      <c r="G4" s="8" t="s">
        <v>11</v>
      </c>
      <c r="H4" s="11">
        <v>500000</v>
      </c>
      <c r="I4" s="10"/>
    </row>
    <row r="5" spans="6:12" s="5" customFormat="1" ht="15.75" hidden="1" customHeight="1">
      <c r="F5" s="7"/>
      <c r="G5" s="8" t="s">
        <v>12</v>
      </c>
      <c r="H5" s="11">
        <v>500000</v>
      </c>
      <c r="I5" s="10"/>
    </row>
    <row r="6" spans="6:12" s="5" customFormat="1" ht="15.75" hidden="1" customHeight="1">
      <c r="F6" s="7"/>
      <c r="G6" s="8" t="s">
        <v>6</v>
      </c>
      <c r="H6" s="12"/>
      <c r="I6" s="13">
        <v>2000000</v>
      </c>
      <c r="K6" s="14"/>
      <c r="L6" s="14"/>
    </row>
    <row r="7" spans="6:12" s="5" customFormat="1" ht="15.75" hidden="1" customHeight="1">
      <c r="F7" s="7"/>
      <c r="G7" s="15" t="s">
        <v>13</v>
      </c>
      <c r="H7" s="12"/>
      <c r="I7" s="10"/>
    </row>
    <row r="8" spans="6:12" s="5" customFormat="1" ht="15.75" hidden="1" customHeight="1" thickBot="1">
      <c r="F8" s="7"/>
      <c r="G8" s="15"/>
      <c r="H8" s="12"/>
      <c r="I8" s="10"/>
    </row>
    <row r="9" spans="6:12" ht="24" hidden="1" thickBot="1">
      <c r="F9" s="111"/>
      <c r="G9" s="122" t="s">
        <v>103</v>
      </c>
      <c r="H9" s="109">
        <v>2000000</v>
      </c>
      <c r="I9" s="109"/>
    </row>
    <row r="10" spans="6:12" s="5" customFormat="1" ht="15.75" hidden="1" customHeight="1">
      <c r="F10" s="6"/>
      <c r="G10" s="16" t="str">
        <f>G2</f>
        <v>2510001 - Adimir c/Subscrição</v>
      </c>
      <c r="H10" s="12"/>
      <c r="I10" s="10">
        <f>H2</f>
        <v>500000</v>
      </c>
    </row>
    <row r="11" spans="6:12" s="5" customFormat="1" ht="15.75" hidden="1" customHeight="1">
      <c r="F11" s="6"/>
      <c r="G11" s="16" t="str">
        <f>G3</f>
        <v>2510002 - Eldair c/Subscrição</v>
      </c>
      <c r="H11" s="12"/>
      <c r="I11" s="10">
        <f>H3</f>
        <v>500000</v>
      </c>
    </row>
    <row r="12" spans="6:12" s="5" customFormat="1" ht="15.75" hidden="1" customHeight="1">
      <c r="F12" s="6"/>
      <c r="G12" s="16" t="str">
        <f>G4</f>
        <v>2510003 - Ivânio c/Subscrição</v>
      </c>
      <c r="H12" s="12"/>
      <c r="I12" s="10">
        <f>H4</f>
        <v>500000</v>
      </c>
    </row>
    <row r="13" spans="6:12" s="5" customFormat="1" ht="15.75" hidden="1" customHeight="1">
      <c r="F13" s="6"/>
      <c r="G13" s="16" t="str">
        <f>G5</f>
        <v>2510004 -  Josileida c/Subscrição</v>
      </c>
      <c r="H13" s="12"/>
      <c r="I13" s="10">
        <f>H5</f>
        <v>500000</v>
      </c>
    </row>
    <row r="14" spans="6:12" s="5" customFormat="1" ht="15.75" hidden="1" customHeight="1">
      <c r="F14" s="7"/>
      <c r="G14" s="15" t="s">
        <v>7</v>
      </c>
      <c r="H14" s="12"/>
      <c r="I14" s="10"/>
      <c r="J14" s="14"/>
      <c r="K14" s="14"/>
      <c r="L14" s="14"/>
    </row>
    <row r="15" spans="6:12" s="5" customFormat="1" ht="15.75" hidden="1" customHeight="1">
      <c r="F15" s="7"/>
      <c r="G15" s="15"/>
      <c r="H15" s="12"/>
      <c r="I15" s="10"/>
      <c r="J15" s="14"/>
      <c r="K15" s="14"/>
      <c r="L15" s="14"/>
    </row>
    <row r="16" spans="6:12" s="5" customFormat="1" ht="15.75" hidden="1" customHeight="1" thickBot="1">
      <c r="F16" s="7"/>
      <c r="G16" s="17" t="s">
        <v>120</v>
      </c>
      <c r="H16" s="12">
        <v>10600</v>
      </c>
      <c r="I16" s="10"/>
      <c r="J16" s="14"/>
      <c r="K16" s="14"/>
      <c r="L16" s="14"/>
    </row>
    <row r="17" spans="6:12" ht="24" hidden="1" thickBot="1">
      <c r="F17" s="111"/>
      <c r="G17" s="123" t="str">
        <f>G19</f>
        <v>12001-Deposito a Ordem</v>
      </c>
      <c r="H17" s="109"/>
      <c r="I17" s="109">
        <v>10600</v>
      </c>
      <c r="J17" s="110"/>
      <c r="K17" s="110"/>
      <c r="L17" s="110"/>
    </row>
    <row r="18" spans="6:12" s="5" customFormat="1" ht="15.75" hidden="1" customHeight="1" thickBot="1">
      <c r="F18" s="7"/>
      <c r="G18" s="15" t="s">
        <v>28</v>
      </c>
      <c r="H18" s="12"/>
      <c r="I18" s="10"/>
      <c r="J18" s="14"/>
      <c r="K18" s="14"/>
      <c r="L18" s="14"/>
    </row>
    <row r="19" spans="6:12" ht="24" hidden="1" thickBot="1">
      <c r="F19" s="119"/>
      <c r="G19" s="124" t="s">
        <v>18</v>
      </c>
      <c r="H19" s="109">
        <v>1500000</v>
      </c>
      <c r="I19" s="109"/>
    </row>
    <row r="20" spans="6:12" s="5" customFormat="1" ht="15.75" customHeight="1">
      <c r="F20" s="7"/>
      <c r="G20" s="19" t="s">
        <v>17</v>
      </c>
      <c r="H20" s="12"/>
      <c r="I20" s="10">
        <v>1500000</v>
      </c>
    </row>
    <row r="21" spans="6:12" s="5" customFormat="1" ht="15.75" hidden="1" customHeight="1">
      <c r="F21" s="7"/>
      <c r="G21" s="15" t="s">
        <v>20</v>
      </c>
      <c r="H21" s="12"/>
      <c r="I21" s="10"/>
    </row>
    <row r="22" spans="6:12" s="5" customFormat="1" ht="15.75" hidden="1" customHeight="1">
      <c r="F22" s="7"/>
      <c r="G22" s="15"/>
      <c r="H22" s="12"/>
      <c r="I22" s="10"/>
    </row>
    <row r="23" spans="6:12" s="5" customFormat="1" ht="15.75" hidden="1" customHeight="1" thickBot="1">
      <c r="F23" s="7"/>
      <c r="G23" s="16" t="s">
        <v>8</v>
      </c>
      <c r="H23" s="20">
        <f>SUM('[8]Orçamento de tesouraria'!$D$29:$D$30)</f>
        <v>3296.7469681909006</v>
      </c>
      <c r="I23" s="10"/>
      <c r="J23" s="14"/>
      <c r="L23" s="14"/>
    </row>
    <row r="24" spans="6:12" ht="24" hidden="1" thickBot="1">
      <c r="F24" s="111"/>
      <c r="G24" s="124" t="s">
        <v>19</v>
      </c>
      <c r="H24" s="109"/>
      <c r="I24" s="109">
        <f>H23</f>
        <v>3296.7469681909006</v>
      </c>
    </row>
    <row r="25" spans="6:12" s="5" customFormat="1" ht="15.75" hidden="1" customHeight="1">
      <c r="F25" s="7"/>
      <c r="G25" s="15" t="s">
        <v>191</v>
      </c>
      <c r="H25" s="12"/>
      <c r="I25" s="10"/>
    </row>
    <row r="26" spans="6:12" s="5" customFormat="1" ht="15.75" hidden="1" customHeight="1">
      <c r="F26" s="7"/>
      <c r="G26" s="15"/>
      <c r="H26" s="12"/>
      <c r="I26" s="10"/>
    </row>
    <row r="27" spans="6:12" s="5" customFormat="1" ht="15.75" hidden="1" customHeight="1" thickBot="1">
      <c r="F27" s="6"/>
      <c r="G27" s="16" t="s">
        <v>23</v>
      </c>
      <c r="H27" s="12">
        <f>I28</f>
        <v>929496</v>
      </c>
      <c r="I27" s="21"/>
      <c r="J27" s="14"/>
      <c r="L27" s="14"/>
    </row>
    <row r="28" spans="6:12" ht="24" hidden="1" thickBot="1">
      <c r="F28" s="111"/>
      <c r="G28" s="124" t="str">
        <f>G19</f>
        <v>12001-Deposito a Ordem</v>
      </c>
      <c r="H28" s="109"/>
      <c r="I28" s="109">
        <v>929496</v>
      </c>
      <c r="K28" s="110"/>
      <c r="L28" s="110"/>
    </row>
    <row r="29" spans="6:12" s="5" customFormat="1" ht="15.75" hidden="1" customHeight="1">
      <c r="F29" s="7"/>
      <c r="G29" s="15" t="s">
        <v>21</v>
      </c>
      <c r="H29" s="12"/>
      <c r="I29" s="10"/>
      <c r="J29" s="14"/>
      <c r="K29" s="14"/>
      <c r="L29" s="14"/>
    </row>
    <row r="30" spans="6:12" s="5" customFormat="1" ht="15.75" hidden="1" customHeight="1">
      <c r="F30" s="7"/>
      <c r="G30" s="15"/>
      <c r="H30" s="12"/>
      <c r="I30" s="10"/>
      <c r="J30" s="14"/>
      <c r="K30" s="14"/>
      <c r="L30" s="14"/>
    </row>
    <row r="31" spans="6:12" s="5" customFormat="1" ht="15.75" hidden="1" customHeight="1" thickBot="1">
      <c r="F31" s="6"/>
      <c r="G31" s="16" t="s">
        <v>25</v>
      </c>
      <c r="H31" s="12">
        <f>I32</f>
        <v>1500000</v>
      </c>
      <c r="I31" s="10"/>
      <c r="J31" s="14"/>
      <c r="K31" s="14"/>
      <c r="L31" s="14"/>
    </row>
    <row r="32" spans="6:12" ht="24" hidden="1" thickBot="1">
      <c r="F32" s="111"/>
      <c r="G32" s="124" t="s">
        <v>19</v>
      </c>
      <c r="H32" s="109"/>
      <c r="I32" s="109">
        <v>1500000</v>
      </c>
      <c r="J32" s="110"/>
      <c r="K32" s="110"/>
      <c r="L32" s="110"/>
    </row>
    <row r="33" spans="6:12" s="5" customFormat="1" ht="15.75" hidden="1" customHeight="1">
      <c r="F33" s="7"/>
      <c r="G33" s="15" t="s">
        <v>24</v>
      </c>
      <c r="H33" s="12"/>
      <c r="I33" s="10"/>
      <c r="J33" s="14"/>
      <c r="K33" s="14"/>
      <c r="L33" s="14"/>
    </row>
    <row r="34" spans="6:12" s="5" customFormat="1" ht="15.75" hidden="1" customHeight="1" thickBot="1">
      <c r="F34" s="6"/>
      <c r="G34" s="16" t="s">
        <v>26</v>
      </c>
      <c r="H34" s="12">
        <f>I35</f>
        <v>35500</v>
      </c>
      <c r="I34" s="10"/>
      <c r="J34" s="14"/>
      <c r="K34" s="14"/>
      <c r="L34" s="14"/>
    </row>
    <row r="35" spans="6:12" ht="24" hidden="1" thickBot="1">
      <c r="F35" s="111"/>
      <c r="G35" s="124" t="s">
        <v>19</v>
      </c>
      <c r="H35" s="117"/>
      <c r="I35" s="109">
        <v>35500</v>
      </c>
      <c r="J35" s="110"/>
      <c r="K35" s="110"/>
      <c r="L35" s="110"/>
    </row>
    <row r="36" spans="6:12" s="5" customFormat="1" ht="15.75" hidden="1" customHeight="1">
      <c r="F36" s="7"/>
      <c r="G36" s="15" t="s">
        <v>27</v>
      </c>
      <c r="H36" s="12"/>
      <c r="I36" s="10"/>
      <c r="J36" s="14"/>
      <c r="K36" s="14"/>
      <c r="L36" s="14"/>
    </row>
    <row r="37" spans="6:12" s="5" customFormat="1" ht="15.75" hidden="1" customHeight="1" thickBot="1">
      <c r="F37" s="6"/>
      <c r="G37" s="16" t="s">
        <v>59</v>
      </c>
      <c r="H37" s="12">
        <f>I38</f>
        <v>50000</v>
      </c>
      <c r="I37" s="10"/>
      <c r="J37" s="14"/>
      <c r="K37" s="14"/>
      <c r="L37" s="14"/>
    </row>
    <row r="38" spans="6:12" ht="24" hidden="1" thickBot="1">
      <c r="F38" s="111"/>
      <c r="G38" s="125" t="str">
        <f>G28</f>
        <v>12001-Deposito a Ordem</v>
      </c>
      <c r="H38" s="109"/>
      <c r="I38" s="109">
        <v>50000</v>
      </c>
      <c r="J38" s="110"/>
      <c r="K38" s="110"/>
      <c r="L38" s="110"/>
    </row>
    <row r="39" spans="6:12" s="5" customFormat="1" ht="15.75" hidden="1" customHeight="1">
      <c r="F39" s="7"/>
      <c r="G39" s="15" t="s">
        <v>60</v>
      </c>
      <c r="H39" s="12"/>
      <c r="I39" s="10"/>
      <c r="J39" s="14"/>
      <c r="K39" s="14"/>
      <c r="L39" s="14"/>
    </row>
    <row r="40" spans="6:12" s="5" customFormat="1" ht="15.75" hidden="1" customHeight="1">
      <c r="F40" s="7"/>
      <c r="G40" s="15"/>
      <c r="H40" s="12"/>
      <c r="I40" s="10"/>
      <c r="J40" s="14"/>
      <c r="K40" s="14"/>
      <c r="L40" s="14"/>
    </row>
    <row r="41" spans="6:12" s="5" customFormat="1" ht="15.75" hidden="1" customHeight="1" thickBot="1">
      <c r="F41" s="6"/>
      <c r="G41" s="19" t="s">
        <v>131</v>
      </c>
      <c r="H41" s="12">
        <f>I42</f>
        <v>180000</v>
      </c>
      <c r="I41" s="10"/>
      <c r="J41" s="14"/>
      <c r="K41" s="14"/>
      <c r="L41" s="14"/>
    </row>
    <row r="42" spans="6:12" ht="24" hidden="1" thickBot="1">
      <c r="F42" s="111"/>
      <c r="G42" s="125" t="str">
        <f>G38</f>
        <v>12001-Deposito a Ordem</v>
      </c>
      <c r="H42" s="109"/>
      <c r="I42" s="109">
        <f>15000*12</f>
        <v>180000</v>
      </c>
      <c r="J42" s="110"/>
      <c r="K42" s="110"/>
      <c r="L42" s="110"/>
    </row>
    <row r="43" spans="6:12" s="5" customFormat="1" ht="15.75" hidden="1" customHeight="1">
      <c r="F43" s="7"/>
      <c r="G43" s="15" t="s">
        <v>97</v>
      </c>
      <c r="H43" s="12"/>
      <c r="I43" s="10"/>
      <c r="J43" s="14"/>
      <c r="K43" s="14"/>
      <c r="L43" s="14"/>
    </row>
    <row r="44" spans="6:12" s="5" customFormat="1" ht="15.75" hidden="1" customHeight="1">
      <c r="F44" s="7"/>
      <c r="G44" s="15"/>
      <c r="H44" s="12"/>
      <c r="I44" s="10"/>
      <c r="J44" s="14"/>
      <c r="K44" s="14"/>
      <c r="L44" s="14"/>
    </row>
    <row r="45" spans="6:12" s="5" customFormat="1" ht="15.75" hidden="1" customHeight="1">
      <c r="F45" s="6"/>
      <c r="G45" s="19" t="s">
        <v>98</v>
      </c>
      <c r="H45" s="12">
        <f>I47/1.15</f>
        <v>4347.826086956522</v>
      </c>
      <c r="I45" s="10"/>
      <c r="J45" s="14"/>
      <c r="K45" s="14"/>
      <c r="L45" s="14"/>
    </row>
    <row r="46" spans="6:12" s="5" customFormat="1" ht="15.75" hidden="1" customHeight="1">
      <c r="F46" s="6"/>
      <c r="G46" s="19" t="s">
        <v>111</v>
      </c>
      <c r="H46" s="12">
        <f>H45*0.15</f>
        <v>652.17391304347825</v>
      </c>
      <c r="I46" s="10"/>
      <c r="J46" s="14"/>
      <c r="K46" s="14"/>
      <c r="L46" s="14"/>
    </row>
    <row r="47" spans="6:12" s="5" customFormat="1" ht="15.75" hidden="1" customHeight="1">
      <c r="F47" s="7"/>
      <c r="G47" s="19" t="str">
        <f>G37</f>
        <v>1100001-Caixa</v>
      </c>
      <c r="H47" s="12"/>
      <c r="I47" s="10">
        <v>5000</v>
      </c>
      <c r="J47" s="14"/>
      <c r="K47" s="14"/>
      <c r="L47" s="14"/>
    </row>
    <row r="48" spans="6:12" s="5" customFormat="1" ht="15.75" hidden="1" customHeight="1">
      <c r="F48" s="7"/>
      <c r="G48" s="15" t="s">
        <v>99</v>
      </c>
      <c r="H48" s="12"/>
      <c r="I48" s="10"/>
      <c r="J48" s="14"/>
      <c r="K48" s="14"/>
      <c r="L48" s="14"/>
    </row>
    <row r="49" spans="6:12" s="5" customFormat="1" ht="15.75" hidden="1" customHeight="1">
      <c r="F49" s="7"/>
      <c r="G49" s="15"/>
      <c r="H49" s="12"/>
      <c r="I49" s="10"/>
      <c r="J49" s="14"/>
      <c r="K49" s="14"/>
      <c r="L49" s="14"/>
    </row>
    <row r="50" spans="6:12" s="5" customFormat="1" ht="15.75" hidden="1" customHeight="1" thickBot="1">
      <c r="F50" s="7"/>
      <c r="G50" s="19" t="s">
        <v>100</v>
      </c>
      <c r="H50" s="12">
        <f>[3]FSE!$C$12</f>
        <v>50000</v>
      </c>
      <c r="I50" s="10"/>
      <c r="J50" s="14"/>
      <c r="K50" s="14"/>
      <c r="L50" s="14"/>
    </row>
    <row r="51" spans="6:12" ht="24" hidden="1" thickBot="1">
      <c r="F51" s="111"/>
      <c r="G51" s="125" t="str">
        <f>G42</f>
        <v>12001-Deposito a Ordem</v>
      </c>
      <c r="H51" s="109"/>
      <c r="I51" s="109">
        <f>H50</f>
        <v>50000</v>
      </c>
      <c r="J51" s="110"/>
      <c r="K51" s="110"/>
      <c r="L51" s="110"/>
    </row>
    <row r="52" spans="6:12" s="5" customFormat="1" ht="15.75" hidden="1" customHeight="1">
      <c r="F52" s="7"/>
      <c r="G52" s="15" t="s">
        <v>101</v>
      </c>
      <c r="H52" s="12"/>
      <c r="I52" s="10"/>
      <c r="J52" s="14"/>
      <c r="K52" s="14"/>
      <c r="L52" s="14"/>
    </row>
    <row r="53" spans="6:12" s="5" customFormat="1" ht="15.75" hidden="1" customHeight="1">
      <c r="F53" s="7"/>
      <c r="G53" s="15"/>
      <c r="H53" s="12"/>
      <c r="I53" s="10"/>
      <c r="J53" s="14"/>
      <c r="K53" s="14"/>
      <c r="L53" s="14"/>
    </row>
    <row r="54" spans="6:12" s="5" customFormat="1" ht="15.75" hidden="1" customHeight="1">
      <c r="F54" s="7"/>
      <c r="G54" s="19" t="s">
        <v>102</v>
      </c>
      <c r="H54" s="12">
        <f>I56/1.15</f>
        <v>4347.826086956522</v>
      </c>
      <c r="I54" s="10"/>
      <c r="J54" s="14"/>
      <c r="K54" s="14"/>
      <c r="L54" s="14"/>
    </row>
    <row r="55" spans="6:12" s="5" customFormat="1" ht="15.75" hidden="1" customHeight="1" thickBot="1">
      <c r="F55" s="7"/>
      <c r="G55" s="19" t="str">
        <f>G46</f>
        <v>2442301- Iva Dedutivel</v>
      </c>
      <c r="H55" s="12">
        <f>H54*0.15</f>
        <v>652.17391304347825</v>
      </c>
      <c r="I55" s="10"/>
      <c r="J55" s="14"/>
      <c r="K55" s="14"/>
      <c r="L55" s="14"/>
    </row>
    <row r="56" spans="6:12" ht="24" hidden="1" thickBot="1">
      <c r="F56" s="111"/>
      <c r="G56" s="125" t="str">
        <f>G51</f>
        <v>12001-Deposito a Ordem</v>
      </c>
      <c r="H56" s="109"/>
      <c r="I56" s="109">
        <v>5000</v>
      </c>
      <c r="J56" s="110"/>
      <c r="K56" s="110"/>
      <c r="L56" s="110"/>
    </row>
    <row r="57" spans="6:12" s="5" customFormat="1" ht="15.75" hidden="1" customHeight="1">
      <c r="F57" s="7"/>
      <c r="G57" s="15" t="s">
        <v>104</v>
      </c>
      <c r="H57" s="12"/>
      <c r="I57" s="10"/>
      <c r="J57" s="14"/>
      <c r="K57" s="14"/>
      <c r="L57" s="14"/>
    </row>
    <row r="58" spans="6:12" s="5" customFormat="1" ht="15.75" hidden="1" customHeight="1">
      <c r="F58" s="7"/>
      <c r="G58" s="15"/>
      <c r="H58" s="12"/>
      <c r="I58" s="10"/>
      <c r="J58" s="14"/>
      <c r="K58" s="14"/>
      <c r="L58" s="14"/>
    </row>
    <row r="59" spans="6:12" s="5" customFormat="1" ht="15.75" hidden="1" customHeight="1">
      <c r="F59" s="22"/>
      <c r="G59" s="19" t="s">
        <v>105</v>
      </c>
      <c r="H59" s="12">
        <f>I61/1.15</f>
        <v>10195.652173913044</v>
      </c>
      <c r="I59" s="10"/>
      <c r="J59" s="14"/>
      <c r="K59" s="14"/>
      <c r="L59" s="14"/>
    </row>
    <row r="60" spans="6:12" s="5" customFormat="1" ht="15.75" hidden="1" customHeight="1">
      <c r="F60" s="22"/>
      <c r="G60" s="19" t="str">
        <f>G55</f>
        <v>2442301- Iva Dedutivel</v>
      </c>
      <c r="H60" s="12">
        <f>H59*0.15</f>
        <v>1529.3478260869565</v>
      </c>
      <c r="I60" s="10"/>
      <c r="J60" s="14"/>
      <c r="K60" s="14"/>
      <c r="L60" s="14"/>
    </row>
    <row r="61" spans="6:12" s="5" customFormat="1" ht="15.75" hidden="1" customHeight="1">
      <c r="F61" s="22"/>
      <c r="G61" s="18" t="str">
        <f>G47</f>
        <v>1100001-Caixa</v>
      </c>
      <c r="H61" s="12"/>
      <c r="I61" s="23">
        <v>11725</v>
      </c>
      <c r="K61" s="14"/>
      <c r="L61" s="14"/>
    </row>
    <row r="62" spans="6:12" s="5" customFormat="1" ht="15.75" hidden="1" customHeight="1">
      <c r="F62" s="22"/>
      <c r="G62" s="15" t="s">
        <v>106</v>
      </c>
      <c r="H62" s="12"/>
      <c r="I62" s="10"/>
      <c r="J62" s="14"/>
      <c r="K62" s="14"/>
      <c r="L62" s="14"/>
    </row>
    <row r="63" spans="6:12" s="5" customFormat="1" ht="15.75" hidden="1" customHeight="1" thickBot="1">
      <c r="F63" s="24"/>
      <c r="G63" s="16" t="s">
        <v>107</v>
      </c>
      <c r="H63" s="4">
        <f>[3]FSE!$C$18</f>
        <v>8250</v>
      </c>
      <c r="I63" s="10"/>
      <c r="J63" s="14"/>
      <c r="K63" s="14"/>
      <c r="L63" s="14"/>
    </row>
    <row r="64" spans="6:12" ht="24" hidden="1" thickBot="1">
      <c r="F64" s="111"/>
      <c r="G64" s="124" t="str">
        <f>G56</f>
        <v>12001-Deposito a Ordem</v>
      </c>
      <c r="H64" s="109"/>
      <c r="I64" s="109">
        <f>H63</f>
        <v>8250</v>
      </c>
      <c r="J64" s="110"/>
      <c r="K64" s="110"/>
      <c r="L64" s="110"/>
    </row>
    <row r="65" spans="6:12" s="5" customFormat="1" ht="15.75" hidden="1" customHeight="1">
      <c r="F65" s="7"/>
      <c r="G65" s="15" t="s">
        <v>108</v>
      </c>
      <c r="H65" s="12"/>
      <c r="I65" s="10"/>
      <c r="J65" s="14"/>
      <c r="K65" s="14"/>
      <c r="L65" s="14"/>
    </row>
    <row r="66" spans="6:12" s="5" customFormat="1" ht="15.75" hidden="1" customHeight="1" thickBot="1">
      <c r="F66" s="7"/>
      <c r="G66" s="19" t="s">
        <v>113</v>
      </c>
      <c r="H66" s="12">
        <v>4600</v>
      </c>
      <c r="I66" s="10"/>
      <c r="J66" s="14"/>
      <c r="K66" s="14"/>
      <c r="L66" s="14"/>
    </row>
    <row r="67" spans="6:12" ht="24" hidden="1" thickBot="1">
      <c r="F67" s="111"/>
      <c r="G67" s="125" t="str">
        <f>G64</f>
        <v>12001-Deposito a Ordem</v>
      </c>
      <c r="H67" s="109"/>
      <c r="I67" s="109">
        <f>H66</f>
        <v>4600</v>
      </c>
      <c r="J67" s="110"/>
      <c r="K67" s="110"/>
      <c r="L67" s="110"/>
    </row>
    <row r="68" spans="6:12" s="5" customFormat="1" ht="15.75" hidden="1" customHeight="1">
      <c r="F68" s="7"/>
      <c r="G68" s="15" t="s">
        <v>115</v>
      </c>
      <c r="H68" s="12"/>
      <c r="I68" s="10"/>
      <c r="J68" s="14"/>
      <c r="K68" s="14"/>
      <c r="L68" s="14"/>
    </row>
    <row r="69" spans="6:12" s="5" customFormat="1" ht="15.75" hidden="1" customHeight="1">
      <c r="F69" s="7"/>
      <c r="G69" s="15"/>
      <c r="H69" s="12"/>
      <c r="I69" s="10"/>
      <c r="J69" s="14"/>
      <c r="K69" s="14"/>
      <c r="L69" s="14"/>
    </row>
    <row r="70" spans="6:12" s="5" customFormat="1" ht="15.75" hidden="1" customHeight="1">
      <c r="F70" s="7"/>
      <c r="G70" s="19" t="s">
        <v>116</v>
      </c>
      <c r="H70" s="12">
        <v>250</v>
      </c>
      <c r="I70" s="10"/>
      <c r="J70" s="14"/>
      <c r="K70" s="14"/>
      <c r="L70" s="14"/>
    </row>
    <row r="71" spans="6:12" s="5" customFormat="1" ht="15.75" hidden="1" customHeight="1" thickBot="1">
      <c r="F71" s="7"/>
      <c r="G71" s="19" t="s">
        <v>117</v>
      </c>
      <c r="H71" s="12">
        <v>250</v>
      </c>
      <c r="I71" s="10">
        <f>SUM(H70:H71)</f>
        <v>500</v>
      </c>
      <c r="J71" s="14"/>
      <c r="K71" s="14"/>
      <c r="L71" s="14"/>
    </row>
    <row r="72" spans="6:12" ht="24" hidden="1" thickBot="1">
      <c r="F72" s="111"/>
      <c r="G72" s="125" t="str">
        <f>G67</f>
        <v>12001-Deposito a Ordem</v>
      </c>
      <c r="H72" s="109"/>
      <c r="I72" s="109"/>
      <c r="J72" s="110"/>
      <c r="K72" s="110"/>
      <c r="L72" s="110"/>
    </row>
    <row r="73" spans="6:12" s="5" customFormat="1" ht="15.75" hidden="1" customHeight="1">
      <c r="F73" s="7"/>
      <c r="G73" s="15" t="s">
        <v>118</v>
      </c>
      <c r="H73" s="12"/>
      <c r="I73" s="10"/>
      <c r="J73" s="14"/>
      <c r="K73" s="14"/>
      <c r="L73" s="14"/>
    </row>
    <row r="74" spans="6:12" s="5" customFormat="1" ht="15.75" hidden="1" customHeight="1">
      <c r="F74" s="7"/>
      <c r="G74" s="15"/>
      <c r="H74" s="12"/>
      <c r="I74" s="10"/>
      <c r="J74" s="14"/>
      <c r="K74" s="14"/>
      <c r="L74" s="14"/>
    </row>
    <row r="75" spans="6:12" s="5" customFormat="1" ht="15.75" hidden="1" customHeight="1">
      <c r="F75" s="7" t="s">
        <v>110</v>
      </c>
      <c r="G75" s="19" t="s">
        <v>119</v>
      </c>
      <c r="H75" s="25">
        <f>I77/1.15</f>
        <v>1739130.4347826089</v>
      </c>
      <c r="I75" s="10"/>
      <c r="J75" s="14"/>
      <c r="K75" s="14"/>
      <c r="L75" s="14"/>
    </row>
    <row r="76" spans="6:12" s="5" customFormat="1" ht="15.75" hidden="1" customHeight="1" thickBot="1">
      <c r="F76" s="7"/>
      <c r="G76" s="16" t="str">
        <f>G60</f>
        <v>2442301- Iva Dedutivel</v>
      </c>
      <c r="H76" s="25">
        <f>H75*0.15</f>
        <v>260869.56521739133</v>
      </c>
      <c r="I76" s="21"/>
      <c r="J76" s="14"/>
      <c r="K76" s="14"/>
      <c r="L76" s="14"/>
    </row>
    <row r="77" spans="6:12" ht="24" hidden="1" thickBot="1">
      <c r="F77" s="111"/>
      <c r="G77" s="126" t="str">
        <f>G64</f>
        <v>12001-Deposito a Ordem</v>
      </c>
      <c r="H77" s="112"/>
      <c r="I77" s="109">
        <v>2000000</v>
      </c>
      <c r="J77" s="110"/>
      <c r="K77" s="110"/>
      <c r="L77" s="110"/>
    </row>
    <row r="78" spans="6:12" s="5" customFormat="1" ht="15.75" hidden="1" customHeight="1">
      <c r="G78" s="27" t="s">
        <v>112</v>
      </c>
      <c r="H78" s="25"/>
      <c r="I78" s="28"/>
      <c r="J78" s="14"/>
      <c r="K78" s="14"/>
      <c r="L78" s="14"/>
    </row>
    <row r="79" spans="6:12" s="5" customFormat="1" ht="15.75" hidden="1" customHeight="1">
      <c r="G79" s="29"/>
      <c r="H79" s="25"/>
      <c r="I79" s="28"/>
      <c r="J79" s="14"/>
      <c r="K79" s="14"/>
      <c r="L79" s="14"/>
    </row>
    <row r="80" spans="6:12" s="5" customFormat="1" ht="15.75" hidden="1" customHeight="1">
      <c r="G80" s="29"/>
      <c r="H80" s="25"/>
      <c r="I80" s="28"/>
      <c r="J80" s="14"/>
      <c r="K80" s="14"/>
      <c r="L80" s="14"/>
    </row>
    <row r="81" spans="6:12" s="5" customFormat="1" ht="15.75" hidden="1" customHeight="1">
      <c r="G81" s="30" t="s">
        <v>123</v>
      </c>
      <c r="H81" s="25"/>
      <c r="I81" s="28"/>
      <c r="J81" s="14"/>
      <c r="K81" s="14"/>
      <c r="L81" s="14"/>
    </row>
    <row r="82" spans="6:12" s="5" customFormat="1" ht="15.75" hidden="1" customHeight="1">
      <c r="F82" s="7"/>
      <c r="G82" s="1" t="str">
        <f>G61</f>
        <v>1100001-Caixa</v>
      </c>
      <c r="H82" s="25">
        <f>SUM(I83:I84)</f>
        <v>5378995.4400000004</v>
      </c>
      <c r="I82" s="28"/>
      <c r="J82" s="14"/>
      <c r="K82" s="14"/>
      <c r="L82" s="14"/>
    </row>
    <row r="83" spans="6:12" s="5" customFormat="1" ht="15.75" hidden="1" customHeight="1">
      <c r="F83" s="7"/>
      <c r="G83" s="26" t="s">
        <v>122</v>
      </c>
      <c r="H83" s="25"/>
      <c r="I83" s="28">
        <f>I84*0.06</f>
        <v>304471.44</v>
      </c>
      <c r="J83" s="14"/>
      <c r="K83" s="14"/>
      <c r="L83" s="14"/>
    </row>
    <row r="84" spans="6:12" s="5" customFormat="1" ht="15.75" hidden="1" customHeight="1">
      <c r="F84" s="7"/>
      <c r="G84" s="26" t="s">
        <v>121</v>
      </c>
      <c r="H84" s="25"/>
      <c r="I84" s="28">
        <f>'[3]Programa e Orçamento de venda '!$F$26</f>
        <v>5074524</v>
      </c>
      <c r="J84" s="14"/>
      <c r="K84" s="14"/>
      <c r="L84" s="14"/>
    </row>
    <row r="85" spans="6:12" s="5" customFormat="1" ht="15.75" hidden="1" customHeight="1">
      <c r="F85" s="7"/>
      <c r="G85" s="27" t="s">
        <v>195</v>
      </c>
      <c r="H85" s="25"/>
      <c r="I85" s="28"/>
      <c r="J85" s="14"/>
      <c r="K85" s="14"/>
      <c r="L85" s="14"/>
    </row>
    <row r="86" spans="6:12" s="5" customFormat="1" ht="15.75" hidden="1" customHeight="1" thickBot="1">
      <c r="F86" s="7"/>
      <c r="G86" s="29"/>
      <c r="H86" s="25"/>
      <c r="I86" s="28"/>
      <c r="J86" s="14"/>
      <c r="K86" s="14"/>
      <c r="L86" s="14"/>
    </row>
    <row r="87" spans="6:12" ht="24" hidden="1" thickBot="1">
      <c r="F87" s="111"/>
      <c r="G87" s="126" t="str">
        <f>G77</f>
        <v>12001-Deposito a Ordem</v>
      </c>
      <c r="H87" s="112">
        <f>I88</f>
        <v>5378995.4400000004</v>
      </c>
      <c r="I87" s="112"/>
      <c r="J87" s="110"/>
      <c r="K87" s="110"/>
      <c r="L87" s="110"/>
    </row>
    <row r="88" spans="6:12" s="5" customFormat="1" ht="15.75" hidden="1" customHeight="1">
      <c r="F88" s="7"/>
      <c r="G88" s="31" t="str">
        <f>G82</f>
        <v>1100001-Caixa</v>
      </c>
      <c r="H88" s="25"/>
      <c r="I88" s="28">
        <f>H82</f>
        <v>5378995.4400000004</v>
      </c>
      <c r="J88" s="14"/>
      <c r="K88" s="14"/>
      <c r="L88" s="14"/>
    </row>
    <row r="89" spans="6:12" s="5" customFormat="1" ht="15.75" hidden="1" customHeight="1">
      <c r="F89" s="7"/>
      <c r="G89" s="32" t="s">
        <v>124</v>
      </c>
      <c r="H89" s="25"/>
      <c r="I89" s="28"/>
      <c r="J89" s="14"/>
      <c r="K89" s="14"/>
      <c r="L89" s="14"/>
    </row>
    <row r="90" spans="6:12" s="5" customFormat="1" ht="15.75" hidden="1" customHeight="1">
      <c r="F90" s="7"/>
      <c r="G90" s="32"/>
      <c r="H90" s="25"/>
      <c r="I90" s="28"/>
      <c r="J90" s="14"/>
      <c r="K90" s="14"/>
      <c r="L90" s="14"/>
    </row>
    <row r="91" spans="6:12" s="5" customFormat="1" ht="15.75" hidden="1" customHeight="1">
      <c r="F91" s="7"/>
      <c r="G91" s="31" t="str">
        <f>G70</f>
        <v>6211001- Agua</v>
      </c>
      <c r="H91" s="25">
        <f>[3]FSE!$H$10</f>
        <v>45000</v>
      </c>
      <c r="I91" s="28"/>
      <c r="J91" s="14"/>
      <c r="K91" s="14"/>
      <c r="L91" s="14"/>
    </row>
    <row r="92" spans="6:12" s="5" customFormat="1" ht="15.75" hidden="1" customHeight="1">
      <c r="F92" s="7"/>
      <c r="G92" s="31" t="str">
        <f>G71</f>
        <v>6212001- Electricidade</v>
      </c>
      <c r="H92" s="25">
        <f>[3]FSE!$H$7</f>
        <v>90000</v>
      </c>
      <c r="I92" s="28"/>
      <c r="J92" s="14"/>
      <c r="K92" s="14"/>
      <c r="L92" s="14"/>
    </row>
    <row r="93" spans="6:12" s="5" customFormat="1" ht="15.75" hidden="1" customHeight="1">
      <c r="F93" s="7"/>
      <c r="G93" s="26" t="str">
        <f>G66</f>
        <v>6224001-Comuniçao</v>
      </c>
      <c r="H93" s="25">
        <f>[3]FSE!$H$9</f>
        <v>15000</v>
      </c>
      <c r="I93" s="28"/>
      <c r="J93" s="14"/>
      <c r="K93" s="14"/>
      <c r="L93" s="14"/>
    </row>
    <row r="94" spans="6:12" s="5" customFormat="1" ht="15.75" hidden="1" customHeight="1">
      <c r="F94" s="7"/>
      <c r="G94" s="26" t="s">
        <v>126</v>
      </c>
      <c r="H94" s="25">
        <f>[3]FSE!$H$15</f>
        <v>45000</v>
      </c>
      <c r="I94" s="28"/>
      <c r="J94" s="14"/>
      <c r="K94" s="14"/>
      <c r="L94" s="14"/>
    </row>
    <row r="95" spans="6:12" s="5" customFormat="1" ht="15.75" hidden="1" customHeight="1">
      <c r="F95" s="7"/>
      <c r="G95" s="26" t="s">
        <v>127</v>
      </c>
      <c r="H95" s="25">
        <v>100000</v>
      </c>
      <c r="I95" s="28"/>
      <c r="J95" s="14"/>
      <c r="K95" s="14"/>
      <c r="L95" s="14"/>
    </row>
    <row r="96" spans="6:12" s="5" customFormat="1" ht="15.75" hidden="1" customHeight="1">
      <c r="F96" s="7"/>
      <c r="G96" s="26" t="s">
        <v>128</v>
      </c>
      <c r="H96" s="25">
        <f>[3]FSE!$H$16</f>
        <v>54000</v>
      </c>
      <c r="I96" s="28"/>
      <c r="J96" s="14"/>
      <c r="K96" s="14"/>
      <c r="L96" s="14"/>
    </row>
    <row r="97" spans="6:12" s="5" customFormat="1" ht="15.75" hidden="1" customHeight="1">
      <c r="F97" s="7"/>
      <c r="G97" s="26" t="s">
        <v>129</v>
      </c>
      <c r="H97" s="25">
        <f>[3]FSE!$H$17</f>
        <v>35175</v>
      </c>
      <c r="I97" s="28"/>
      <c r="J97" s="14"/>
      <c r="K97" s="14"/>
      <c r="L97" s="14"/>
    </row>
    <row r="98" spans="6:12" s="5" customFormat="1" ht="15.75" hidden="1" customHeight="1" thickBot="1">
      <c r="F98" s="7"/>
      <c r="G98" s="26" t="s">
        <v>130</v>
      </c>
      <c r="H98" s="25">
        <f>[3]FSE!$H$18</f>
        <v>24750</v>
      </c>
      <c r="I98" s="28"/>
      <c r="J98" s="14"/>
      <c r="K98" s="14"/>
      <c r="L98" s="14"/>
    </row>
    <row r="99" spans="6:12" ht="24" hidden="1" thickBot="1">
      <c r="F99" s="111"/>
      <c r="G99" s="126" t="str">
        <f>G87</f>
        <v>12001-Deposito a Ordem</v>
      </c>
      <c r="H99" s="112"/>
      <c r="I99" s="112">
        <f>SUM(H91:H98)</f>
        <v>408925</v>
      </c>
      <c r="J99" s="110"/>
      <c r="K99" s="110"/>
      <c r="L99" s="110"/>
    </row>
    <row r="100" spans="6:12" s="5" customFormat="1" ht="15.75" hidden="1" customHeight="1">
      <c r="F100" s="7"/>
      <c r="G100" s="32" t="s">
        <v>125</v>
      </c>
      <c r="H100" s="7"/>
      <c r="I100" s="21"/>
    </row>
    <row r="101" spans="6:12" s="5" customFormat="1" ht="15.75" hidden="1" customHeight="1">
      <c r="F101" s="7"/>
      <c r="G101" s="32"/>
      <c r="H101" s="7"/>
      <c r="I101" s="21"/>
    </row>
    <row r="102" spans="6:12" s="5" customFormat="1" ht="15.75" hidden="1" customHeight="1">
      <c r="F102" s="7"/>
      <c r="G102" s="26" t="s">
        <v>132</v>
      </c>
      <c r="H102" s="25">
        <f>[3]FSE!$H$13</f>
        <v>45000</v>
      </c>
      <c r="I102" s="21"/>
    </row>
    <row r="103" spans="6:12" s="5" customFormat="1" ht="15.75" hidden="1" customHeight="1">
      <c r="F103" s="7"/>
      <c r="G103" s="16" t="str">
        <f>G41</f>
        <v>2622001-Credores por Acrescimo de Gasto</v>
      </c>
      <c r="H103" s="7"/>
      <c r="I103" s="23">
        <f>H102</f>
        <v>45000</v>
      </c>
    </row>
    <row r="104" spans="6:12" s="5" customFormat="1" ht="15.75" hidden="1" customHeight="1">
      <c r="F104" s="7"/>
      <c r="G104" s="32" t="s">
        <v>194</v>
      </c>
      <c r="H104" s="7"/>
      <c r="I104" s="21"/>
    </row>
    <row r="105" spans="6:12" s="5" customFormat="1" ht="15.75" hidden="1" customHeight="1">
      <c r="F105" s="7"/>
      <c r="G105" s="32"/>
      <c r="H105" s="7"/>
      <c r="I105" s="21"/>
    </row>
    <row r="106" spans="6:12" s="5" customFormat="1" ht="15.75" hidden="1" customHeight="1">
      <c r="F106" s="7"/>
      <c r="G106" s="26" t="s">
        <v>136</v>
      </c>
      <c r="H106" s="25">
        <f>SUM(I107:I109)</f>
        <v>230170.5</v>
      </c>
      <c r="I106" s="21"/>
    </row>
    <row r="107" spans="6:12" s="5" customFormat="1" ht="15.75" hidden="1" customHeight="1">
      <c r="F107" s="7"/>
      <c r="G107" s="26" t="s">
        <v>135</v>
      </c>
      <c r="H107" s="7"/>
      <c r="I107" s="33">
        <f>('[8]Custo com pesoal  a '!$B$18)*3</f>
        <v>210000</v>
      </c>
    </row>
    <row r="108" spans="6:12" s="5" customFormat="1" ht="15.75" hidden="1" customHeight="1">
      <c r="F108" s="7"/>
      <c r="G108" s="26" t="s">
        <v>141</v>
      </c>
      <c r="H108" s="7"/>
      <c r="I108" s="33">
        <f>('[8]Custo com pesoal  a '!$F$18)*3</f>
        <v>3370.5</v>
      </c>
    </row>
    <row r="109" spans="6:12" s="5" customFormat="1" ht="15.75" hidden="1" customHeight="1">
      <c r="F109" s="7"/>
      <c r="G109" s="26" t="s">
        <v>138</v>
      </c>
      <c r="H109" s="7"/>
      <c r="I109" s="33">
        <f>('[8]Custo com pesoal  a '!$D$18)*3</f>
        <v>16800</v>
      </c>
    </row>
    <row r="110" spans="6:12" s="5" customFormat="1" ht="15.75" hidden="1" customHeight="1">
      <c r="F110" s="7"/>
      <c r="G110" s="32" t="s">
        <v>139</v>
      </c>
      <c r="H110" s="7"/>
      <c r="I110" s="21"/>
    </row>
    <row r="111" spans="6:12" s="5" customFormat="1" ht="15.75" hidden="1" customHeight="1">
      <c r="F111" s="7"/>
      <c r="G111" s="32"/>
      <c r="H111" s="7"/>
      <c r="I111" s="21"/>
    </row>
    <row r="112" spans="6:12" s="5" customFormat="1" ht="15.75" hidden="1" customHeight="1">
      <c r="F112" s="7"/>
      <c r="G112" s="26" t="s">
        <v>140</v>
      </c>
      <c r="H112" s="25">
        <f>'[8]Custo com pesoal  a '!$C$18</f>
        <v>10500</v>
      </c>
      <c r="I112" s="21"/>
    </row>
    <row r="113" spans="6:9" s="5" customFormat="1" ht="15.75" hidden="1" customHeight="1">
      <c r="F113" s="7"/>
      <c r="G113" s="31" t="str">
        <f>G109</f>
        <v>248001-Segurança Social</v>
      </c>
      <c r="H113" s="7"/>
      <c r="I113" s="28">
        <f>H112</f>
        <v>10500</v>
      </c>
    </row>
    <row r="114" spans="6:9" s="5" customFormat="1" ht="15.75" hidden="1" customHeight="1">
      <c r="F114" s="7"/>
      <c r="G114" s="32" t="s">
        <v>142</v>
      </c>
      <c r="H114" s="7"/>
      <c r="I114" s="21"/>
    </row>
    <row r="115" spans="6:9" s="5" customFormat="1" ht="15.75" hidden="1" customHeight="1">
      <c r="F115" s="7"/>
      <c r="G115" s="32"/>
      <c r="H115" s="7"/>
      <c r="I115" s="21"/>
    </row>
    <row r="116" spans="6:9" s="5" customFormat="1" ht="15.75" hidden="1" customHeight="1">
      <c r="F116" s="7"/>
      <c r="G116" s="26" t="s">
        <v>137</v>
      </c>
      <c r="H116" s="25">
        <f>SUM(I117:I119)</f>
        <v>278770.5</v>
      </c>
      <c r="I116" s="21"/>
    </row>
    <row r="117" spans="6:9" s="5" customFormat="1" ht="15.75" hidden="1" customHeight="1">
      <c r="F117" s="7"/>
      <c r="G117" s="26" t="s">
        <v>134</v>
      </c>
      <c r="H117" s="7"/>
      <c r="I117" s="28">
        <f>3*('[8]Custo com pesoal  a '!$B$12)</f>
        <v>255000</v>
      </c>
    </row>
    <row r="118" spans="6:9" s="5" customFormat="1" ht="15.75" hidden="1" customHeight="1">
      <c r="F118" s="7"/>
      <c r="G118" s="26" t="str">
        <f>G108</f>
        <v>2412001-  Retenção do IUR-Trabalhador dependente</v>
      </c>
      <c r="H118" s="7"/>
      <c r="I118" s="28">
        <f>3*('[8]Custo com pesoal  a '!$F$12)</f>
        <v>3370.5</v>
      </c>
    </row>
    <row r="119" spans="6:9" s="5" customFormat="1" ht="15.75" hidden="1" customHeight="1">
      <c r="F119" s="7"/>
      <c r="G119" s="26" t="s">
        <v>138</v>
      </c>
      <c r="H119" s="7"/>
      <c r="I119" s="28">
        <f>3*('[8]Custo com pesoal  a '!$D$12)</f>
        <v>20400</v>
      </c>
    </row>
    <row r="120" spans="6:9" s="5" customFormat="1" ht="15.75" hidden="1" customHeight="1">
      <c r="F120" s="7"/>
      <c r="G120" s="32" t="s">
        <v>143</v>
      </c>
      <c r="H120" s="7"/>
      <c r="I120" s="21"/>
    </row>
    <row r="121" spans="6:9" s="5" customFormat="1" ht="15.75" hidden="1" customHeight="1">
      <c r="F121" s="7"/>
      <c r="G121" s="32"/>
      <c r="H121" s="7"/>
      <c r="I121" s="21"/>
    </row>
    <row r="122" spans="6:9" s="5" customFormat="1" ht="15.75" hidden="1" customHeight="1">
      <c r="F122" s="7"/>
      <c r="G122" s="1" t="str">
        <f>G112</f>
        <v>635001-Encargos sobre remunerações</v>
      </c>
      <c r="H122" s="25">
        <f>('[8]Custo com pesoal  a '!$C$12)*3</f>
        <v>38250</v>
      </c>
      <c r="I122" s="21"/>
    </row>
    <row r="123" spans="6:9" s="5" customFormat="1" ht="15.75" hidden="1" customHeight="1">
      <c r="F123" s="7"/>
      <c r="G123" s="1" t="str">
        <f>G113</f>
        <v>248001-Segurança Social</v>
      </c>
      <c r="H123" s="7"/>
      <c r="I123" s="23">
        <f>H122</f>
        <v>38250</v>
      </c>
    </row>
    <row r="124" spans="6:9" s="5" customFormat="1" ht="15.75" hidden="1" customHeight="1">
      <c r="F124" s="7"/>
      <c r="G124" s="32" t="s">
        <v>144</v>
      </c>
      <c r="H124" s="7"/>
      <c r="I124" s="21"/>
    </row>
    <row r="125" spans="6:9" s="5" customFormat="1" ht="15.75" hidden="1" customHeight="1">
      <c r="F125" s="7"/>
      <c r="G125" s="32"/>
      <c r="H125" s="7"/>
      <c r="I125" s="21"/>
    </row>
    <row r="126" spans="6:9" s="5" customFormat="1" ht="15.75" hidden="1" customHeight="1">
      <c r="F126" s="7"/>
      <c r="G126" s="31" t="str">
        <f>G107</f>
        <v>271201- Remunerações a Pagar Ao Pesoal</v>
      </c>
      <c r="H126" s="4">
        <f>I107</f>
        <v>210000</v>
      </c>
      <c r="I126" s="1"/>
    </row>
    <row r="127" spans="6:9" s="5" customFormat="1" ht="15.75" hidden="1" customHeight="1">
      <c r="F127" s="7"/>
      <c r="G127" s="31" t="str">
        <f>G108</f>
        <v>2412001-  Retenção do IUR-Trabalhador dependente</v>
      </c>
      <c r="H127" s="4">
        <f>I108</f>
        <v>3370.5</v>
      </c>
      <c r="I127" s="1"/>
    </row>
    <row r="128" spans="6:9" s="5" customFormat="1" ht="15.75" hidden="1" customHeight="1" thickBot="1">
      <c r="F128" s="7"/>
      <c r="G128" s="31" t="str">
        <f>G109</f>
        <v>248001-Segurança Social</v>
      </c>
      <c r="H128" s="4">
        <f>I109</f>
        <v>16800</v>
      </c>
      <c r="I128" s="1"/>
    </row>
    <row r="129" spans="6:9" ht="24" hidden="1" thickBot="1">
      <c r="F129" s="111"/>
      <c r="G129" s="126" t="str">
        <f>G99</f>
        <v>12001-Deposito a Ordem</v>
      </c>
      <c r="H129" s="112"/>
      <c r="I129" s="113">
        <f>SUM(H126:H128)</f>
        <v>230170.5</v>
      </c>
    </row>
    <row r="130" spans="6:9" s="5" customFormat="1" ht="15.75" hidden="1" customHeight="1">
      <c r="F130" s="7"/>
      <c r="G130" s="32" t="s">
        <v>145</v>
      </c>
      <c r="H130" s="25"/>
      <c r="I130" s="1"/>
    </row>
    <row r="131" spans="6:9" s="5" customFormat="1" ht="15.75" hidden="1" customHeight="1">
      <c r="F131" s="7"/>
      <c r="G131" s="32"/>
      <c r="H131" s="25"/>
      <c r="I131" s="1"/>
    </row>
    <row r="132" spans="6:9" s="5" customFormat="1" ht="15.75" hidden="1" customHeight="1" thickBot="1">
      <c r="F132" s="7"/>
      <c r="G132" s="31" t="str">
        <f>G113</f>
        <v>248001-Segurança Social</v>
      </c>
      <c r="H132" s="25">
        <f>I113</f>
        <v>10500</v>
      </c>
      <c r="I132" s="1"/>
    </row>
    <row r="133" spans="6:9" ht="24" hidden="1" thickBot="1">
      <c r="F133" s="111"/>
      <c r="G133" s="126" t="str">
        <f>G129</f>
        <v>12001-Deposito a Ordem</v>
      </c>
      <c r="H133" s="112"/>
      <c r="I133" s="114">
        <f>H132</f>
        <v>10500</v>
      </c>
    </row>
    <row r="134" spans="6:9" s="5" customFormat="1" ht="15.75" hidden="1" customHeight="1">
      <c r="F134" s="7"/>
      <c r="G134" s="32" t="s">
        <v>196</v>
      </c>
      <c r="H134" s="25"/>
      <c r="I134" s="2"/>
    </row>
    <row r="135" spans="6:9" s="5" customFormat="1" ht="15.75" hidden="1" customHeight="1">
      <c r="F135" s="7"/>
      <c r="G135" s="1"/>
      <c r="H135" s="7"/>
      <c r="I135" s="1"/>
    </row>
    <row r="136" spans="6:9" s="5" customFormat="1" ht="15.75" hidden="1" customHeight="1">
      <c r="F136" s="7"/>
      <c r="G136" s="1" t="str">
        <f>G117</f>
        <v>271101- Remunerações a Pagar Orgão Sociais</v>
      </c>
      <c r="H136" s="4">
        <f>I117</f>
        <v>255000</v>
      </c>
      <c r="I136" s="23"/>
    </row>
    <row r="137" spans="6:9" s="5" customFormat="1" ht="15.75" hidden="1" customHeight="1">
      <c r="F137" s="7"/>
      <c r="G137" s="1" t="str">
        <f>G118</f>
        <v>2412001-  Retenção do IUR-Trabalhador dependente</v>
      </c>
      <c r="H137" s="4">
        <f>I118</f>
        <v>3370.5</v>
      </c>
      <c r="I137" s="23"/>
    </row>
    <row r="138" spans="6:9" s="5" customFormat="1" ht="15.75" hidden="1" customHeight="1" thickBot="1">
      <c r="F138" s="7"/>
      <c r="G138" s="1" t="str">
        <f>G119</f>
        <v>248001-Segurança Social</v>
      </c>
      <c r="H138" s="4">
        <f>I119</f>
        <v>20400</v>
      </c>
      <c r="I138" s="23"/>
    </row>
    <row r="139" spans="6:9" ht="24" hidden="1" thickBot="1">
      <c r="F139" s="111"/>
      <c r="G139" s="124" t="str">
        <f>G129</f>
        <v>12001-Deposito a Ordem</v>
      </c>
      <c r="H139" s="117"/>
      <c r="I139" s="113">
        <f>SUM(H136:H138)</f>
        <v>278770.5</v>
      </c>
    </row>
    <row r="140" spans="6:9" s="5" customFormat="1" ht="15.75" hidden="1" customHeight="1">
      <c r="F140" s="7"/>
      <c r="G140" s="32" t="s">
        <v>145</v>
      </c>
      <c r="H140" s="7"/>
      <c r="I140" s="21"/>
    </row>
    <row r="141" spans="6:9" s="5" customFormat="1" ht="15.75" hidden="1" customHeight="1">
      <c r="F141" s="7"/>
      <c r="G141" s="32"/>
      <c r="H141" s="7"/>
      <c r="I141" s="21"/>
    </row>
    <row r="142" spans="6:9" s="5" customFormat="1" ht="15.75" hidden="1" customHeight="1" thickBot="1">
      <c r="F142" s="7"/>
      <c r="G142" s="16" t="str">
        <f>G123</f>
        <v>248001-Segurança Social</v>
      </c>
      <c r="H142" s="4">
        <f>I123</f>
        <v>38250</v>
      </c>
      <c r="I142" s="21"/>
    </row>
    <row r="143" spans="6:9" ht="24" hidden="1" thickBot="1">
      <c r="F143" s="111"/>
      <c r="G143" s="124" t="str">
        <f>G133</f>
        <v>12001-Deposito a Ordem</v>
      </c>
      <c r="H143" s="117"/>
      <c r="I143" s="113">
        <f>H142</f>
        <v>38250</v>
      </c>
    </row>
    <row r="144" spans="6:9" s="5" customFormat="1" ht="15.75" hidden="1" customHeight="1">
      <c r="F144" s="7"/>
      <c r="G144" s="32" t="s">
        <v>196</v>
      </c>
      <c r="H144" s="7"/>
      <c r="I144" s="21"/>
    </row>
    <row r="145" spans="6:11" s="5" customFormat="1" ht="15.75" hidden="1" customHeight="1">
      <c r="F145" s="7"/>
      <c r="G145" s="32"/>
      <c r="H145" s="7"/>
      <c r="I145" s="21"/>
    </row>
    <row r="146" spans="6:11" s="5" customFormat="1" ht="15.75" customHeight="1">
      <c r="F146" s="7"/>
      <c r="G146" s="31" t="str">
        <f>G20</f>
        <v>231101-Emprestimo Bancario</v>
      </c>
      <c r="H146" s="4">
        <f>'[6]Orçamento de tesouraria'!$D$27</f>
        <v>113592.11028428876</v>
      </c>
      <c r="I146" s="21"/>
    </row>
    <row r="147" spans="6:11" hidden="1">
      <c r="F147" s="111"/>
      <c r="G147" s="127" t="s">
        <v>186</v>
      </c>
      <c r="H147" s="113">
        <f>'[6]Orçamento de tesouraria'!$D$28</f>
        <v>35934.939363818012</v>
      </c>
      <c r="I147" s="117"/>
    </row>
    <row r="148" spans="6:11" ht="24" hidden="1" thickBot="1">
      <c r="F148" s="111"/>
      <c r="G148" s="128" t="str">
        <f>G19</f>
        <v>12001-Deposito a Ordem</v>
      </c>
      <c r="H148" s="117"/>
      <c r="I148" s="113">
        <f>SUM(H146:H147)</f>
        <v>149527.04964810677</v>
      </c>
    </row>
    <row r="149" spans="6:11" s="5" customFormat="1" ht="15.75" hidden="1" customHeight="1">
      <c r="F149" s="7"/>
      <c r="G149" s="32" t="s">
        <v>185</v>
      </c>
      <c r="H149" s="7"/>
      <c r="I149" s="21"/>
    </row>
    <row r="150" spans="6:11" s="5" customFormat="1" ht="15.75" hidden="1" customHeight="1">
      <c r="F150" s="7"/>
      <c r="G150" s="32"/>
      <c r="H150" s="7"/>
      <c r="I150" s="21"/>
    </row>
    <row r="151" spans="6:11" s="5" customFormat="1" ht="15.75" hidden="1" customHeight="1">
      <c r="F151" s="7"/>
      <c r="G151" s="32"/>
      <c r="H151" s="7"/>
      <c r="I151" s="21"/>
    </row>
    <row r="152" spans="6:11" s="5" customFormat="1" ht="15.75" hidden="1" customHeight="1">
      <c r="F152" s="7"/>
      <c r="G152" s="30" t="s">
        <v>181</v>
      </c>
      <c r="H152" s="7"/>
      <c r="I152" s="21"/>
    </row>
    <row r="153" spans="6:11" s="5" customFormat="1" ht="15.75" hidden="1" customHeight="1">
      <c r="F153" s="7"/>
      <c r="G153" s="31" t="str">
        <f>G75</f>
        <v>3611001-Compra de Materias pri. e Subsidiária</v>
      </c>
      <c r="H153" s="4">
        <f>I155/1.15</f>
        <v>1652173.9130434785</v>
      </c>
      <c r="I153" s="21"/>
    </row>
    <row r="154" spans="6:11" s="5" customFormat="1" ht="15.75" hidden="1" customHeight="1" thickBot="1">
      <c r="F154" s="7"/>
      <c r="G154" s="31" t="str">
        <f>G76</f>
        <v>2442301- Iva Dedutivel</v>
      </c>
      <c r="H154" s="4">
        <f>H153*0.15</f>
        <v>247826.08695652176</v>
      </c>
      <c r="I154" s="21"/>
    </row>
    <row r="155" spans="6:11" ht="24" hidden="1" thickBot="1">
      <c r="F155" s="111"/>
      <c r="G155" s="126" t="str">
        <f>G77</f>
        <v>12001-Deposito a Ordem</v>
      </c>
      <c r="H155" s="117"/>
      <c r="I155" s="113">
        <v>1900000</v>
      </c>
      <c r="K155" s="110"/>
    </row>
    <row r="156" spans="6:11" s="5" customFormat="1" ht="15.75" hidden="1" customHeight="1">
      <c r="F156" s="7"/>
      <c r="G156" s="32" t="str">
        <f>G78</f>
        <v>H Pela Compra das Materias primas e Subsidiária</v>
      </c>
      <c r="H156" s="7"/>
      <c r="I156" s="21"/>
    </row>
    <row r="157" spans="6:11" s="5" customFormat="1" ht="15.75" hidden="1" customHeight="1">
      <c r="F157" s="7"/>
      <c r="G157" s="32"/>
      <c r="H157" s="7"/>
      <c r="I157" s="21"/>
    </row>
    <row r="158" spans="6:11" s="5" customFormat="1" ht="15.75" hidden="1" customHeight="1">
      <c r="F158" s="7"/>
      <c r="G158" s="16" t="str">
        <f>G82</f>
        <v>1100001-Caixa</v>
      </c>
      <c r="H158" s="4">
        <f>'[6]Programa e Orçamento de venda '!$F$26</f>
        <v>4273932</v>
      </c>
      <c r="I158" s="21"/>
    </row>
    <row r="159" spans="6:11" s="5" customFormat="1" ht="15.75" hidden="1" customHeight="1">
      <c r="F159" s="7"/>
      <c r="G159" s="16" t="str">
        <f>G83</f>
        <v>2443001-Iva Liquidado</v>
      </c>
      <c r="H159" s="4"/>
      <c r="I159" s="23">
        <f>H158*0.06</f>
        <v>256435.91999999998</v>
      </c>
    </row>
    <row r="160" spans="6:11" s="5" customFormat="1" ht="15.75" hidden="1" customHeight="1">
      <c r="F160" s="7"/>
      <c r="G160" s="16" t="str">
        <f>G84</f>
        <v>712001-Vendas de Produtos</v>
      </c>
      <c r="H160" s="7"/>
      <c r="I160" s="23">
        <f>H158-I159</f>
        <v>4017496.08</v>
      </c>
    </row>
    <row r="161" spans="6:9" s="5" customFormat="1" ht="15.75" hidden="1" customHeight="1">
      <c r="F161" s="7"/>
      <c r="G161" s="32" t="str">
        <f>G85</f>
        <v>H pela venda dos produtos C/Iva a taxa de 6%</v>
      </c>
      <c r="H161" s="7"/>
      <c r="I161" s="21"/>
    </row>
    <row r="162" spans="6:9" s="5" customFormat="1" ht="15.75" hidden="1" customHeight="1" thickBot="1">
      <c r="F162" s="7"/>
      <c r="G162" s="16"/>
      <c r="H162" s="7"/>
      <c r="I162" s="21"/>
    </row>
    <row r="163" spans="6:9" ht="24" hidden="1" thickBot="1">
      <c r="F163" s="111"/>
      <c r="G163" s="124" t="str">
        <f>G87</f>
        <v>12001-Deposito a Ordem</v>
      </c>
      <c r="H163" s="113">
        <f>I164</f>
        <v>4273932</v>
      </c>
      <c r="I163" s="117"/>
    </row>
    <row r="164" spans="6:9" s="5" customFormat="1" ht="15.75" hidden="1" customHeight="1">
      <c r="F164" s="7"/>
      <c r="G164" s="16" t="str">
        <f>G88</f>
        <v>1100001-Caixa</v>
      </c>
      <c r="H164" s="7"/>
      <c r="I164" s="23">
        <f>H158</f>
        <v>4273932</v>
      </c>
    </row>
    <row r="165" spans="6:9" s="5" customFormat="1" ht="15.75" hidden="1" customHeight="1">
      <c r="F165" s="7"/>
      <c r="G165" s="32" t="str">
        <f>G89</f>
        <v>H Pela transferencia do Saldo de Caixa para o D.O</v>
      </c>
      <c r="H165" s="7"/>
      <c r="I165" s="21"/>
    </row>
    <row r="166" spans="6:9" s="5" customFormat="1" ht="15.75" hidden="1" customHeight="1">
      <c r="F166" s="7"/>
      <c r="G166" s="32"/>
      <c r="H166" s="7"/>
      <c r="I166" s="21"/>
    </row>
    <row r="167" spans="6:9" s="5" customFormat="1" ht="15.75" hidden="1" customHeight="1">
      <c r="F167" s="7"/>
      <c r="G167" s="31" t="s">
        <v>116</v>
      </c>
      <c r="H167" s="4">
        <f>[6]FSE!$H$10</f>
        <v>30000</v>
      </c>
      <c r="I167" s="21"/>
    </row>
    <row r="168" spans="6:9" s="5" customFormat="1" ht="15.75" hidden="1" customHeight="1">
      <c r="F168" s="7"/>
      <c r="G168" s="31" t="s">
        <v>117</v>
      </c>
      <c r="H168" s="4">
        <f>[6]FSE!$H$7</f>
        <v>75000</v>
      </c>
      <c r="I168" s="21"/>
    </row>
    <row r="169" spans="6:9" s="5" customFormat="1" ht="15.75" hidden="1" customHeight="1">
      <c r="F169" s="7"/>
      <c r="G169" s="34" t="s">
        <v>113</v>
      </c>
      <c r="H169" s="4">
        <f>[6]FSE!$H$9</f>
        <v>9000</v>
      </c>
      <c r="I169" s="21"/>
    </row>
    <row r="170" spans="6:9" s="5" customFormat="1" ht="15.75" hidden="1" customHeight="1">
      <c r="F170" s="7"/>
      <c r="G170" s="26" t="s">
        <v>126</v>
      </c>
      <c r="H170" s="4">
        <f>[6]FSE!$H$15</f>
        <v>45000</v>
      </c>
      <c r="I170" s="21"/>
    </row>
    <row r="171" spans="6:9" s="5" customFormat="1" ht="15.75" hidden="1" customHeight="1">
      <c r="F171" s="7"/>
      <c r="G171" s="26" t="s">
        <v>127</v>
      </c>
      <c r="H171" s="4">
        <f>[6]FSE!$H$12</f>
        <v>150000</v>
      </c>
      <c r="I171" s="21"/>
    </row>
    <row r="172" spans="6:9" s="5" customFormat="1" ht="15.75" hidden="1" customHeight="1">
      <c r="F172" s="7"/>
      <c r="G172" s="26" t="s">
        <v>128</v>
      </c>
      <c r="H172" s="4">
        <f>[6]FSE!$H$16</f>
        <v>54000</v>
      </c>
      <c r="I172" s="21"/>
    </row>
    <row r="173" spans="6:9" s="5" customFormat="1" ht="15.75" hidden="1" customHeight="1">
      <c r="F173" s="7"/>
      <c r="G173" s="26" t="s">
        <v>129</v>
      </c>
      <c r="H173" s="4">
        <f>[6]FSE!$H$17</f>
        <v>35175</v>
      </c>
      <c r="I173" s="21"/>
    </row>
    <row r="174" spans="6:9" s="5" customFormat="1" ht="15.75" hidden="1" customHeight="1" thickBot="1">
      <c r="F174" s="7"/>
      <c r="G174" s="26" t="s">
        <v>130</v>
      </c>
      <c r="H174" s="4">
        <f>[6]FSE!$H$18</f>
        <v>22125</v>
      </c>
      <c r="I174" s="21"/>
    </row>
    <row r="175" spans="6:9" ht="24" hidden="1" thickBot="1">
      <c r="F175" s="111"/>
      <c r="G175" s="126" t="s">
        <v>18</v>
      </c>
      <c r="H175" s="117"/>
      <c r="I175" s="113">
        <f>SUM(H167:H174)</f>
        <v>420300</v>
      </c>
    </row>
    <row r="176" spans="6:9" s="5" customFormat="1" ht="15.75" hidden="1" customHeight="1">
      <c r="F176" s="7"/>
      <c r="G176" s="32" t="s">
        <v>125</v>
      </c>
      <c r="H176" s="7"/>
      <c r="I176" s="21"/>
    </row>
    <row r="177" spans="6:9" s="5" customFormat="1" ht="15.75" hidden="1" customHeight="1">
      <c r="F177" s="7"/>
      <c r="G177" s="26" t="s">
        <v>132</v>
      </c>
      <c r="H177" s="4">
        <f>[6]FSE!$H$13</f>
        <v>45000</v>
      </c>
      <c r="I177" s="21"/>
    </row>
    <row r="178" spans="6:9" s="5" customFormat="1" ht="15.75" hidden="1" customHeight="1">
      <c r="F178" s="7"/>
      <c r="G178" s="16" t="s">
        <v>131</v>
      </c>
      <c r="H178" s="4"/>
      <c r="I178" s="23">
        <f>H177</f>
        <v>45000</v>
      </c>
    </row>
    <row r="179" spans="6:9" s="5" customFormat="1" ht="15.75" hidden="1" customHeight="1">
      <c r="F179" s="7"/>
      <c r="G179" s="32" t="s">
        <v>133</v>
      </c>
      <c r="H179" s="7"/>
      <c r="I179" s="21"/>
    </row>
    <row r="180" spans="6:9" s="5" customFormat="1" ht="15.75" hidden="1" customHeight="1">
      <c r="F180" s="7"/>
      <c r="G180" s="32"/>
      <c r="H180" s="7"/>
      <c r="I180" s="21"/>
    </row>
    <row r="181" spans="6:9" s="5" customFormat="1" ht="15.75" hidden="1" customHeight="1">
      <c r="F181" s="7"/>
      <c r="G181" s="26" t="s">
        <v>136</v>
      </c>
      <c r="H181" s="4">
        <f>SUM(I182:I184)</f>
        <v>230170.5</v>
      </c>
      <c r="I181" s="21"/>
    </row>
    <row r="182" spans="6:9" s="5" customFormat="1" ht="15.75" hidden="1" customHeight="1">
      <c r="F182" s="7"/>
      <c r="G182" s="26" t="s">
        <v>135</v>
      </c>
      <c r="H182" s="7"/>
      <c r="I182" s="23">
        <f>I107</f>
        <v>210000</v>
      </c>
    </row>
    <row r="183" spans="6:9" s="5" customFormat="1" ht="15.75" hidden="1" customHeight="1">
      <c r="F183" s="7"/>
      <c r="G183" s="26" t="s">
        <v>141</v>
      </c>
      <c r="H183" s="7"/>
      <c r="I183" s="23">
        <f>I108</f>
        <v>3370.5</v>
      </c>
    </row>
    <row r="184" spans="6:9" s="5" customFormat="1" ht="15.75" hidden="1" customHeight="1">
      <c r="F184" s="7"/>
      <c r="G184" s="26" t="s">
        <v>138</v>
      </c>
      <c r="H184" s="7"/>
      <c r="I184" s="23">
        <f>I109</f>
        <v>16800</v>
      </c>
    </row>
    <row r="185" spans="6:9" s="5" customFormat="1" ht="15.75" hidden="1" customHeight="1">
      <c r="F185" s="7"/>
      <c r="G185" s="32" t="s">
        <v>139</v>
      </c>
      <c r="H185" s="7"/>
      <c r="I185" s="23"/>
    </row>
    <row r="186" spans="6:9" s="5" customFormat="1" ht="15.75" hidden="1" customHeight="1">
      <c r="F186" s="7"/>
      <c r="G186" s="32"/>
      <c r="H186" s="7"/>
      <c r="I186" s="23"/>
    </row>
    <row r="187" spans="6:9" s="5" customFormat="1" ht="15.75" hidden="1" customHeight="1">
      <c r="F187" s="7"/>
      <c r="G187" s="26" t="s">
        <v>140</v>
      </c>
      <c r="H187" s="4">
        <f>H112</f>
        <v>10500</v>
      </c>
      <c r="I187" s="23"/>
    </row>
    <row r="188" spans="6:9" s="5" customFormat="1" ht="15.75" hidden="1" customHeight="1">
      <c r="F188" s="7"/>
      <c r="G188" s="31" t="s">
        <v>138</v>
      </c>
      <c r="H188" s="7"/>
      <c r="I188" s="23">
        <f>I113</f>
        <v>10500</v>
      </c>
    </row>
    <row r="189" spans="6:9" s="5" customFormat="1" ht="15.75" hidden="1" customHeight="1">
      <c r="F189" s="7"/>
      <c r="G189" s="32" t="s">
        <v>142</v>
      </c>
      <c r="H189" s="7"/>
      <c r="I189" s="21"/>
    </row>
    <row r="190" spans="6:9" s="5" customFormat="1" ht="15.75" hidden="1" customHeight="1">
      <c r="F190" s="7"/>
      <c r="G190" s="32"/>
      <c r="H190" s="7"/>
      <c r="I190" s="21"/>
    </row>
    <row r="191" spans="6:9" s="5" customFormat="1" ht="15.75" hidden="1" customHeight="1">
      <c r="F191" s="7"/>
      <c r="G191" s="26" t="s">
        <v>137</v>
      </c>
      <c r="H191" s="4">
        <f>SUM(I192:I194)</f>
        <v>278770.5</v>
      </c>
      <c r="I191" s="21"/>
    </row>
    <row r="192" spans="6:9" s="5" customFormat="1" ht="15.75" hidden="1" customHeight="1">
      <c r="F192" s="7"/>
      <c r="G192" s="26" t="s">
        <v>134</v>
      </c>
      <c r="H192" s="7"/>
      <c r="I192" s="23">
        <f>I117</f>
        <v>255000</v>
      </c>
    </row>
    <row r="193" spans="6:9" s="5" customFormat="1" ht="15.75" hidden="1" customHeight="1">
      <c r="F193" s="7"/>
      <c r="G193" s="26" t="s">
        <v>141</v>
      </c>
      <c r="H193" s="7"/>
      <c r="I193" s="23">
        <f>I118</f>
        <v>3370.5</v>
      </c>
    </row>
    <row r="194" spans="6:9" s="5" customFormat="1" ht="15.75" hidden="1" customHeight="1">
      <c r="F194" s="7"/>
      <c r="G194" s="26" t="s">
        <v>138</v>
      </c>
      <c r="H194" s="7"/>
      <c r="I194" s="23">
        <f>I119</f>
        <v>20400</v>
      </c>
    </row>
    <row r="195" spans="6:9" s="5" customFormat="1" ht="15.75" hidden="1" customHeight="1">
      <c r="F195" s="7"/>
      <c r="G195" s="32" t="s">
        <v>143</v>
      </c>
      <c r="H195" s="7"/>
      <c r="I195" s="21"/>
    </row>
    <row r="196" spans="6:9" s="5" customFormat="1" ht="15.75" hidden="1" customHeight="1">
      <c r="F196" s="7"/>
      <c r="G196" s="32"/>
      <c r="H196" s="7"/>
      <c r="I196" s="21"/>
    </row>
    <row r="197" spans="6:9" s="5" customFormat="1" ht="15.75" hidden="1" customHeight="1">
      <c r="F197" s="7"/>
      <c r="G197" s="1" t="s">
        <v>140</v>
      </c>
      <c r="H197" s="4">
        <f>H122</f>
        <v>38250</v>
      </c>
      <c r="I197" s="21"/>
    </row>
    <row r="198" spans="6:9" s="5" customFormat="1" ht="15.75" hidden="1" customHeight="1">
      <c r="F198" s="7"/>
      <c r="G198" s="1" t="s">
        <v>138</v>
      </c>
      <c r="H198" s="7"/>
      <c r="I198" s="23">
        <f>H197</f>
        <v>38250</v>
      </c>
    </row>
    <row r="199" spans="6:9" s="5" customFormat="1" ht="15.75" hidden="1" customHeight="1">
      <c r="F199" s="7"/>
      <c r="G199" s="32" t="s">
        <v>144</v>
      </c>
      <c r="H199" s="7"/>
      <c r="I199" s="21"/>
    </row>
    <row r="200" spans="6:9" s="5" customFormat="1" ht="15.75" hidden="1" customHeight="1">
      <c r="F200" s="7"/>
      <c r="G200" s="32"/>
      <c r="H200" s="7"/>
      <c r="I200" s="21"/>
    </row>
    <row r="201" spans="6:9" s="5" customFormat="1" ht="15.75" hidden="1" customHeight="1">
      <c r="F201" s="7"/>
      <c r="G201" s="31" t="s">
        <v>135</v>
      </c>
      <c r="H201" s="4">
        <f>H126</f>
        <v>210000</v>
      </c>
      <c r="I201" s="21"/>
    </row>
    <row r="202" spans="6:9" s="5" customFormat="1" ht="15.75" hidden="1" customHeight="1">
      <c r="F202" s="7"/>
      <c r="G202" s="31" t="s">
        <v>141</v>
      </c>
      <c r="H202" s="4">
        <f>H127</f>
        <v>3370.5</v>
      </c>
      <c r="I202" s="21"/>
    </row>
    <row r="203" spans="6:9" s="5" customFormat="1" ht="15.75" hidden="1" customHeight="1" thickBot="1">
      <c r="F203" s="7"/>
      <c r="G203" s="31" t="s">
        <v>138</v>
      </c>
      <c r="H203" s="4">
        <f>H128</f>
        <v>16800</v>
      </c>
      <c r="I203" s="21"/>
    </row>
    <row r="204" spans="6:9" ht="24" hidden="1" thickBot="1">
      <c r="F204" s="111"/>
      <c r="G204" s="126" t="s">
        <v>18</v>
      </c>
      <c r="H204" s="117"/>
      <c r="I204" s="113">
        <f>SUM(H201:H203)</f>
        <v>230170.5</v>
      </c>
    </row>
    <row r="205" spans="6:9" s="5" customFormat="1" ht="15.75" hidden="1" customHeight="1">
      <c r="F205" s="7"/>
      <c r="G205" s="32" t="s">
        <v>145</v>
      </c>
      <c r="H205" s="7"/>
      <c r="I205" s="21"/>
    </row>
    <row r="206" spans="6:9" s="5" customFormat="1" ht="15.75" hidden="1" customHeight="1">
      <c r="F206" s="7"/>
      <c r="G206" s="32"/>
      <c r="H206" s="7"/>
      <c r="I206" s="21"/>
    </row>
    <row r="207" spans="6:9" s="5" customFormat="1" ht="15.75" hidden="1" customHeight="1" thickBot="1">
      <c r="F207" s="7"/>
      <c r="G207" s="31" t="s">
        <v>138</v>
      </c>
      <c r="H207" s="4">
        <f>H132</f>
        <v>10500</v>
      </c>
      <c r="I207" s="21"/>
    </row>
    <row r="208" spans="6:9" ht="24" hidden="1" thickBot="1">
      <c r="F208" s="111"/>
      <c r="G208" s="126" t="s">
        <v>18</v>
      </c>
      <c r="H208" s="117"/>
      <c r="I208" s="113">
        <f>H207</f>
        <v>10500</v>
      </c>
    </row>
    <row r="209" spans="6:9" s="5" customFormat="1" ht="15.75" hidden="1" customHeight="1">
      <c r="F209" s="16"/>
      <c r="G209" s="32" t="s">
        <v>193</v>
      </c>
      <c r="H209" s="7"/>
      <c r="I209" s="21"/>
    </row>
    <row r="210" spans="6:9" s="5" customFormat="1" ht="16.5" hidden="1" customHeight="1" thickBot="1">
      <c r="F210" s="35"/>
      <c r="G210" s="1"/>
      <c r="H210" s="1"/>
      <c r="I210" s="1"/>
    </row>
    <row r="211" spans="6:9" s="5" customFormat="1" ht="15.75" hidden="1" customHeight="1">
      <c r="G211" s="1" t="s">
        <v>134</v>
      </c>
      <c r="H211" s="4">
        <f>H136</f>
        <v>255000</v>
      </c>
      <c r="I211" s="1"/>
    </row>
    <row r="212" spans="6:9" s="5" customFormat="1" ht="15.75" hidden="1" customHeight="1">
      <c r="G212" s="1" t="s">
        <v>141</v>
      </c>
      <c r="H212" s="4">
        <f>H137</f>
        <v>3370.5</v>
      </c>
      <c r="I212" s="1"/>
    </row>
    <row r="213" spans="6:9" s="5" customFormat="1" ht="15.75" hidden="1" customHeight="1" thickBot="1">
      <c r="G213" s="1" t="s">
        <v>138</v>
      </c>
      <c r="H213" s="4">
        <f>H138</f>
        <v>20400</v>
      </c>
      <c r="I213" s="1"/>
    </row>
    <row r="214" spans="6:9" ht="24" hidden="1" thickBot="1">
      <c r="G214" s="124" t="s">
        <v>18</v>
      </c>
      <c r="H214" s="117"/>
      <c r="I214" s="114">
        <f>SUM(H211:H213)</f>
        <v>278770.5</v>
      </c>
    </row>
    <row r="215" spans="6:9" s="5" customFormat="1" ht="15.75" hidden="1" customHeight="1">
      <c r="G215" s="32" t="s">
        <v>145</v>
      </c>
      <c r="H215" s="7"/>
      <c r="I215" s="1"/>
    </row>
    <row r="216" spans="6:9" s="5" customFormat="1" ht="15.75" hidden="1" customHeight="1">
      <c r="G216" s="1"/>
      <c r="H216" s="7"/>
      <c r="I216" s="1"/>
    </row>
    <row r="217" spans="6:9" s="5" customFormat="1" ht="15.75" hidden="1" customHeight="1" thickBot="1">
      <c r="G217" s="1" t="s">
        <v>138</v>
      </c>
      <c r="H217" s="4">
        <f>H142</f>
        <v>38250</v>
      </c>
      <c r="I217" s="1"/>
    </row>
    <row r="218" spans="6:9" ht="24" hidden="1" thickBot="1">
      <c r="G218" s="124" t="s">
        <v>18</v>
      </c>
      <c r="H218" s="117"/>
      <c r="I218" s="114">
        <f>H217</f>
        <v>38250</v>
      </c>
    </row>
    <row r="219" spans="6:9" s="5" customFormat="1" ht="15.75" hidden="1" customHeight="1">
      <c r="G219" s="32" t="s">
        <v>193</v>
      </c>
      <c r="H219" s="7"/>
      <c r="I219" s="1"/>
    </row>
    <row r="220" spans="6:9" s="5" customFormat="1" ht="15.75" hidden="1" customHeight="1">
      <c r="G220" s="32"/>
      <c r="H220" s="7"/>
      <c r="I220" s="1"/>
    </row>
    <row r="221" spans="6:9" s="5" customFormat="1" ht="15.75" hidden="1" customHeight="1">
      <c r="G221" s="32"/>
      <c r="H221" s="7"/>
      <c r="I221" s="1"/>
    </row>
    <row r="222" spans="6:9" s="5" customFormat="1" ht="15.75" hidden="1" customHeight="1">
      <c r="G222" s="32"/>
      <c r="H222" s="7"/>
      <c r="I222" s="1"/>
    </row>
    <row r="223" spans="6:9" s="5" customFormat="1" ht="15.75" hidden="1" customHeight="1">
      <c r="G223" s="30" t="s">
        <v>182</v>
      </c>
      <c r="H223" s="7"/>
      <c r="I223" s="1"/>
    </row>
    <row r="224" spans="6:9" s="5" customFormat="1" ht="15.75" hidden="1" customHeight="1">
      <c r="G224" s="30"/>
      <c r="H224" s="7"/>
      <c r="I224" s="1"/>
    </row>
    <row r="225" spans="7:9" s="5" customFormat="1" ht="15.75" hidden="1" customHeight="1">
      <c r="G225" s="31" t="str">
        <f>G153</f>
        <v>3611001-Compra de Materias pri. e Subsidiária</v>
      </c>
      <c r="H225" s="28">
        <f>I227/1.15</f>
        <v>1826086.9565217393</v>
      </c>
      <c r="I225" s="1"/>
    </row>
    <row r="226" spans="7:9" s="5" customFormat="1" ht="15.75" hidden="1" customHeight="1" thickBot="1">
      <c r="G226" s="31" t="str">
        <f>G154</f>
        <v>2442301- Iva Dedutivel</v>
      </c>
      <c r="H226" s="28">
        <f>H225*0.15</f>
        <v>273913.04347826086</v>
      </c>
      <c r="I226" s="1"/>
    </row>
    <row r="227" spans="7:9" ht="24" hidden="1" thickBot="1">
      <c r="G227" s="126" t="str">
        <f>G155</f>
        <v>12001-Deposito a Ordem</v>
      </c>
      <c r="H227" s="117"/>
      <c r="I227" s="112">
        <v>2100000</v>
      </c>
    </row>
    <row r="228" spans="7:9" s="5" customFormat="1" ht="15.75" hidden="1" customHeight="1">
      <c r="G228" s="32" t="str">
        <f>G156</f>
        <v>H Pela Compra das Materias primas e Subsidiária</v>
      </c>
      <c r="H228" s="7"/>
      <c r="I228" s="1"/>
    </row>
    <row r="229" spans="7:9" s="5" customFormat="1" ht="15.75" hidden="1" customHeight="1">
      <c r="G229" s="30"/>
      <c r="H229" s="7"/>
      <c r="I229" s="1"/>
    </row>
    <row r="230" spans="7:9" s="5" customFormat="1" ht="15.75" hidden="1" customHeight="1">
      <c r="G230" s="1" t="s">
        <v>59</v>
      </c>
      <c r="H230" s="25">
        <v>5378995.4400000004</v>
      </c>
      <c r="I230" s="28"/>
    </row>
    <row r="231" spans="7:9" s="5" customFormat="1" ht="15.75" hidden="1" customHeight="1">
      <c r="G231" s="26" t="s">
        <v>122</v>
      </c>
      <c r="H231" s="25"/>
      <c r="I231" s="28">
        <v>304471.44</v>
      </c>
    </row>
    <row r="232" spans="7:9" s="5" customFormat="1" ht="15.75" hidden="1" customHeight="1">
      <c r="G232" s="26" t="s">
        <v>121</v>
      </c>
      <c r="H232" s="25"/>
      <c r="I232" s="28">
        <v>5074524</v>
      </c>
    </row>
    <row r="233" spans="7:9" s="5" customFormat="1" ht="15.75" hidden="1" customHeight="1">
      <c r="G233" s="27" t="s">
        <v>190</v>
      </c>
      <c r="H233" s="25"/>
      <c r="I233" s="28"/>
    </row>
    <row r="234" spans="7:9" s="5" customFormat="1" ht="15.75" hidden="1" customHeight="1" thickBot="1">
      <c r="G234" s="29"/>
      <c r="H234" s="25"/>
      <c r="I234" s="28"/>
    </row>
    <row r="235" spans="7:9" ht="24" hidden="1" thickBot="1">
      <c r="G235" s="126" t="s">
        <v>18</v>
      </c>
      <c r="H235" s="112">
        <v>5378995.4400000004</v>
      </c>
      <c r="I235" s="112"/>
    </row>
    <row r="236" spans="7:9" s="5" customFormat="1" ht="15.75" hidden="1" customHeight="1">
      <c r="G236" s="31" t="s">
        <v>59</v>
      </c>
      <c r="H236" s="25"/>
      <c r="I236" s="28">
        <v>5378995.4400000004</v>
      </c>
    </row>
    <row r="237" spans="7:9" s="5" customFormat="1" ht="15.75" hidden="1" customHeight="1">
      <c r="G237" s="32" t="s">
        <v>124</v>
      </c>
      <c r="H237" s="25"/>
      <c r="I237" s="28"/>
    </row>
    <row r="238" spans="7:9" s="5" customFormat="1" ht="15.75" hidden="1" customHeight="1">
      <c r="G238" s="32"/>
      <c r="H238" s="25"/>
      <c r="I238" s="28"/>
    </row>
    <row r="239" spans="7:9" s="5" customFormat="1" ht="15.75" hidden="1" customHeight="1">
      <c r="G239" s="31" t="s">
        <v>116</v>
      </c>
      <c r="H239" s="25">
        <v>45000</v>
      </c>
      <c r="I239" s="28"/>
    </row>
    <row r="240" spans="7:9" s="5" customFormat="1" ht="15.75" hidden="1" customHeight="1">
      <c r="G240" s="31" t="s">
        <v>117</v>
      </c>
      <c r="H240" s="25">
        <v>90000</v>
      </c>
      <c r="I240" s="28"/>
    </row>
    <row r="241" spans="7:9" s="5" customFormat="1" ht="15.75" hidden="1" customHeight="1">
      <c r="G241" s="26" t="s">
        <v>113</v>
      </c>
      <c r="H241" s="25">
        <v>15000</v>
      </c>
      <c r="I241" s="28"/>
    </row>
    <row r="242" spans="7:9" s="5" customFormat="1" ht="15.75" hidden="1" customHeight="1">
      <c r="G242" s="26" t="s">
        <v>126</v>
      </c>
      <c r="H242" s="25">
        <v>45000</v>
      </c>
      <c r="I242" s="28"/>
    </row>
    <row r="243" spans="7:9" s="5" customFormat="1" ht="15.75" hidden="1" customHeight="1">
      <c r="G243" s="26" t="s">
        <v>127</v>
      </c>
      <c r="H243" s="25">
        <v>150000</v>
      </c>
      <c r="I243" s="28"/>
    </row>
    <row r="244" spans="7:9" s="5" customFormat="1" ht="15.75" hidden="1" customHeight="1">
      <c r="G244" s="26" t="s">
        <v>128</v>
      </c>
      <c r="H244" s="25">
        <v>54000</v>
      </c>
      <c r="I244" s="28"/>
    </row>
    <row r="245" spans="7:9" s="5" customFormat="1" ht="15.75" hidden="1" customHeight="1">
      <c r="G245" s="26" t="s">
        <v>129</v>
      </c>
      <c r="H245" s="25">
        <v>35175</v>
      </c>
      <c r="I245" s="28"/>
    </row>
    <row r="246" spans="7:9" s="5" customFormat="1" ht="15.75" hidden="1" customHeight="1" thickBot="1">
      <c r="G246" s="26" t="s">
        <v>130</v>
      </c>
      <c r="H246" s="25">
        <v>24750</v>
      </c>
      <c r="I246" s="28"/>
    </row>
    <row r="247" spans="7:9" ht="24" hidden="1" thickBot="1">
      <c r="G247" s="126" t="s">
        <v>18</v>
      </c>
      <c r="H247" s="112"/>
      <c r="I247" s="112">
        <f>SUM(H239:H246)</f>
        <v>458925</v>
      </c>
    </row>
    <row r="248" spans="7:9" s="5" customFormat="1" ht="15.75" hidden="1" customHeight="1">
      <c r="G248" s="32" t="s">
        <v>125</v>
      </c>
      <c r="H248" s="25"/>
      <c r="I248" s="28"/>
    </row>
    <row r="249" spans="7:9" s="5" customFormat="1" ht="15.75" hidden="1" customHeight="1">
      <c r="G249" s="1"/>
      <c r="H249" s="7"/>
      <c r="I249" s="21"/>
    </row>
    <row r="250" spans="7:9" s="5" customFormat="1" ht="15.75" hidden="1" customHeight="1">
      <c r="G250" s="26" t="s">
        <v>132</v>
      </c>
      <c r="H250" s="25">
        <v>45000</v>
      </c>
      <c r="I250" s="21"/>
    </row>
    <row r="251" spans="7:9" s="5" customFormat="1" ht="15.75" hidden="1" customHeight="1">
      <c r="G251" s="16" t="s">
        <v>131</v>
      </c>
      <c r="H251" s="7"/>
      <c r="I251" s="23">
        <v>45000</v>
      </c>
    </row>
    <row r="252" spans="7:9" s="5" customFormat="1" ht="15.75" hidden="1" customHeight="1">
      <c r="G252" s="32" t="s">
        <v>197</v>
      </c>
      <c r="H252" s="7"/>
      <c r="I252" s="21"/>
    </row>
    <row r="253" spans="7:9" s="5" customFormat="1" ht="15.75" hidden="1" customHeight="1">
      <c r="G253" s="32"/>
      <c r="H253" s="7"/>
      <c r="I253" s="21"/>
    </row>
    <row r="254" spans="7:9" s="5" customFormat="1" ht="15.75" hidden="1" customHeight="1">
      <c r="G254" s="26" t="s">
        <v>136</v>
      </c>
      <c r="H254" s="25">
        <v>230170.5</v>
      </c>
      <c r="I254" s="21"/>
    </row>
    <row r="255" spans="7:9" s="5" customFormat="1" ht="15.75" hidden="1" customHeight="1">
      <c r="G255" s="26" t="s">
        <v>135</v>
      </c>
      <c r="H255" s="7"/>
      <c r="I255" s="33">
        <v>210000</v>
      </c>
    </row>
    <row r="256" spans="7:9" s="5" customFormat="1" ht="15.75" hidden="1" customHeight="1">
      <c r="G256" s="26" t="s">
        <v>141</v>
      </c>
      <c r="H256" s="7"/>
      <c r="I256" s="33">
        <v>3370.5</v>
      </c>
    </row>
    <row r="257" spans="7:9" s="5" customFormat="1" ht="15.75" hidden="1" customHeight="1">
      <c r="G257" s="26" t="s">
        <v>138</v>
      </c>
      <c r="H257" s="7"/>
      <c r="I257" s="33">
        <v>16800</v>
      </c>
    </row>
    <row r="258" spans="7:9" s="5" customFormat="1" ht="15.75" hidden="1" customHeight="1">
      <c r="G258" s="32" t="s">
        <v>139</v>
      </c>
      <c r="H258" s="7"/>
      <c r="I258" s="21"/>
    </row>
    <row r="259" spans="7:9" s="5" customFormat="1" ht="15.75" hidden="1" customHeight="1">
      <c r="G259" s="32"/>
      <c r="H259" s="7"/>
      <c r="I259" s="21"/>
    </row>
    <row r="260" spans="7:9" s="5" customFormat="1" ht="15.75" hidden="1" customHeight="1">
      <c r="G260" s="26" t="s">
        <v>140</v>
      </c>
      <c r="H260" s="25">
        <v>10500</v>
      </c>
      <c r="I260" s="21"/>
    </row>
    <row r="261" spans="7:9" s="5" customFormat="1" ht="15.75" hidden="1" customHeight="1">
      <c r="G261" s="31" t="s">
        <v>138</v>
      </c>
      <c r="H261" s="7"/>
      <c r="I261" s="28">
        <v>10500</v>
      </c>
    </row>
    <row r="262" spans="7:9" s="5" customFormat="1" ht="15.75" hidden="1" customHeight="1">
      <c r="G262" s="32" t="s">
        <v>142</v>
      </c>
      <c r="H262" s="7"/>
      <c r="I262" s="21"/>
    </row>
    <row r="263" spans="7:9" s="5" customFormat="1" ht="15.75" hidden="1" customHeight="1">
      <c r="G263" s="32"/>
      <c r="H263" s="7"/>
      <c r="I263" s="21"/>
    </row>
    <row r="264" spans="7:9" s="5" customFormat="1" ht="15.75" hidden="1" customHeight="1">
      <c r="G264" s="26" t="s">
        <v>137</v>
      </c>
      <c r="H264" s="25">
        <v>278770.5</v>
      </c>
      <c r="I264" s="21"/>
    </row>
    <row r="265" spans="7:9" s="5" customFormat="1" ht="15.75" hidden="1" customHeight="1">
      <c r="G265" s="26" t="s">
        <v>134</v>
      </c>
      <c r="H265" s="7"/>
      <c r="I265" s="28">
        <v>255000</v>
      </c>
    </row>
    <row r="266" spans="7:9" s="5" customFormat="1" ht="15.75" hidden="1" customHeight="1">
      <c r="G266" s="26" t="s">
        <v>141</v>
      </c>
      <c r="H266" s="7"/>
      <c r="I266" s="28">
        <v>3370.5</v>
      </c>
    </row>
    <row r="267" spans="7:9" s="5" customFormat="1" ht="15.75" hidden="1" customHeight="1">
      <c r="G267" s="26" t="s">
        <v>138</v>
      </c>
      <c r="H267" s="7"/>
      <c r="I267" s="28">
        <v>20400</v>
      </c>
    </row>
    <row r="268" spans="7:9" s="5" customFormat="1" ht="15.75" hidden="1" customHeight="1">
      <c r="G268" s="32" t="s">
        <v>143</v>
      </c>
      <c r="H268" s="7"/>
      <c r="I268" s="21"/>
    </row>
    <row r="269" spans="7:9" s="5" customFormat="1" ht="15.75" hidden="1" customHeight="1">
      <c r="G269" s="32"/>
      <c r="H269" s="7"/>
      <c r="I269" s="21"/>
    </row>
    <row r="270" spans="7:9" s="5" customFormat="1" ht="15.75" hidden="1" customHeight="1">
      <c r="G270" s="1" t="s">
        <v>140</v>
      </c>
      <c r="H270" s="25">
        <v>38250</v>
      </c>
      <c r="I270" s="21"/>
    </row>
    <row r="271" spans="7:9" s="5" customFormat="1" ht="15.75" hidden="1" customHeight="1">
      <c r="G271" s="1" t="s">
        <v>138</v>
      </c>
      <c r="H271" s="7"/>
      <c r="I271" s="23">
        <v>38250</v>
      </c>
    </row>
    <row r="272" spans="7:9" s="5" customFormat="1" ht="15.75" hidden="1" customHeight="1">
      <c r="G272" s="32" t="s">
        <v>144</v>
      </c>
      <c r="H272" s="7"/>
      <c r="I272" s="21"/>
    </row>
    <row r="273" spans="7:9" s="5" customFormat="1" ht="15.75" hidden="1" customHeight="1">
      <c r="G273" s="32"/>
      <c r="H273" s="7"/>
      <c r="I273" s="21"/>
    </row>
    <row r="274" spans="7:9" s="5" customFormat="1" ht="15.75" hidden="1" customHeight="1">
      <c r="G274" s="31" t="s">
        <v>135</v>
      </c>
      <c r="H274" s="4">
        <v>210000</v>
      </c>
      <c r="I274" s="1"/>
    </row>
    <row r="275" spans="7:9" s="5" customFormat="1" ht="15.75" hidden="1" customHeight="1">
      <c r="G275" s="31" t="s">
        <v>141</v>
      </c>
      <c r="H275" s="4">
        <v>3370.5</v>
      </c>
      <c r="I275" s="1"/>
    </row>
    <row r="276" spans="7:9" s="5" customFormat="1" ht="15.75" hidden="1" customHeight="1" thickBot="1">
      <c r="G276" s="31" t="s">
        <v>138</v>
      </c>
      <c r="H276" s="4">
        <v>16800</v>
      </c>
      <c r="I276" s="1"/>
    </row>
    <row r="277" spans="7:9" ht="24" hidden="1" thickBot="1">
      <c r="G277" s="126" t="s">
        <v>18</v>
      </c>
      <c r="H277" s="112"/>
      <c r="I277" s="113">
        <v>230170.5</v>
      </c>
    </row>
    <row r="278" spans="7:9" s="5" customFormat="1" ht="15.75" hidden="1" customHeight="1">
      <c r="G278" s="32" t="s">
        <v>145</v>
      </c>
      <c r="H278" s="25"/>
      <c r="I278" s="1"/>
    </row>
    <row r="279" spans="7:9" s="5" customFormat="1" ht="15.75" hidden="1" customHeight="1">
      <c r="G279" s="32"/>
      <c r="H279" s="25"/>
      <c r="I279" s="1"/>
    </row>
    <row r="280" spans="7:9" s="5" customFormat="1" ht="15.75" hidden="1" customHeight="1" thickBot="1">
      <c r="G280" s="31" t="s">
        <v>138</v>
      </c>
      <c r="H280" s="25">
        <v>10500</v>
      </c>
      <c r="I280" s="1"/>
    </row>
    <row r="281" spans="7:9" ht="24" hidden="1" thickBot="1">
      <c r="G281" s="126" t="s">
        <v>18</v>
      </c>
      <c r="H281" s="112"/>
      <c r="I281" s="114">
        <v>10500</v>
      </c>
    </row>
    <row r="282" spans="7:9" s="5" customFormat="1" ht="15.75" hidden="1" customHeight="1">
      <c r="G282" s="32" t="s">
        <v>193</v>
      </c>
      <c r="H282" s="25"/>
      <c r="I282" s="2"/>
    </row>
    <row r="283" spans="7:9" s="5" customFormat="1" ht="15.75" hidden="1" customHeight="1">
      <c r="G283" s="1"/>
      <c r="H283" s="7"/>
      <c r="I283" s="1"/>
    </row>
    <row r="284" spans="7:9" s="5" customFormat="1" ht="15.75" hidden="1" customHeight="1">
      <c r="G284" s="1" t="s">
        <v>134</v>
      </c>
      <c r="H284" s="4">
        <v>255000</v>
      </c>
      <c r="I284" s="23"/>
    </row>
    <row r="285" spans="7:9" s="5" customFormat="1" ht="15.75" hidden="1" customHeight="1">
      <c r="G285" s="1" t="s">
        <v>141</v>
      </c>
      <c r="H285" s="4">
        <v>3370.5</v>
      </c>
      <c r="I285" s="23"/>
    </row>
    <row r="286" spans="7:9" s="5" customFormat="1" ht="15.75" hidden="1" customHeight="1" thickBot="1">
      <c r="G286" s="1" t="s">
        <v>138</v>
      </c>
      <c r="H286" s="4">
        <v>20400</v>
      </c>
      <c r="I286" s="23"/>
    </row>
    <row r="287" spans="7:9" ht="24" hidden="1" thickBot="1">
      <c r="G287" s="124" t="s">
        <v>18</v>
      </c>
      <c r="H287" s="117"/>
      <c r="I287" s="113">
        <v>278770.5</v>
      </c>
    </row>
    <row r="288" spans="7:9" s="5" customFormat="1" ht="15.75" hidden="1" customHeight="1">
      <c r="G288" s="32" t="s">
        <v>145</v>
      </c>
      <c r="H288" s="7"/>
      <c r="I288" s="21"/>
    </row>
    <row r="289" spans="7:9" s="5" customFormat="1" ht="15.75" hidden="1" customHeight="1">
      <c r="G289" s="32"/>
      <c r="H289" s="7"/>
      <c r="I289" s="21"/>
    </row>
    <row r="290" spans="7:9" s="5" customFormat="1" ht="15.75" hidden="1" customHeight="1" thickBot="1">
      <c r="G290" s="16" t="s">
        <v>138</v>
      </c>
      <c r="H290" s="4">
        <v>38250</v>
      </c>
      <c r="I290" s="21"/>
    </row>
    <row r="291" spans="7:9" ht="24" hidden="1" thickBot="1">
      <c r="G291" s="124" t="s">
        <v>18</v>
      </c>
      <c r="H291" s="117"/>
      <c r="I291" s="113">
        <v>38250</v>
      </c>
    </row>
    <row r="292" spans="7:9" s="5" customFormat="1" ht="15.75" hidden="1" customHeight="1">
      <c r="G292" s="32" t="s">
        <v>193</v>
      </c>
      <c r="H292" s="7"/>
      <c r="I292" s="21"/>
    </row>
    <row r="293" spans="7:9" s="5" customFormat="1" ht="15.75" hidden="1" customHeight="1">
      <c r="G293" s="32"/>
      <c r="H293" s="7"/>
      <c r="I293" s="21"/>
    </row>
    <row r="294" spans="7:9" s="5" customFormat="1" ht="15.75" customHeight="1" thickBot="1">
      <c r="G294" s="31" t="s">
        <v>17</v>
      </c>
      <c r="H294" s="4">
        <v>113592.11028428876</v>
      </c>
      <c r="I294" s="21"/>
    </row>
    <row r="295" spans="7:9" ht="24" hidden="1" thickBot="1">
      <c r="G295" s="127" t="s">
        <v>186</v>
      </c>
      <c r="H295" s="113">
        <v>35934.939363818012</v>
      </c>
      <c r="I295" s="117"/>
    </row>
    <row r="296" spans="7:9" ht="24" hidden="1" thickBot="1">
      <c r="G296" s="128" t="s">
        <v>18</v>
      </c>
      <c r="H296" s="117"/>
      <c r="I296" s="113">
        <v>149527.04964810677</v>
      </c>
    </row>
    <row r="297" spans="7:9" s="5" customFormat="1" ht="15.75" hidden="1" customHeight="1">
      <c r="G297" s="32" t="s">
        <v>185</v>
      </c>
      <c r="H297" s="7"/>
      <c r="I297" s="21"/>
    </row>
    <row r="298" spans="7:9" s="5" customFormat="1" ht="15.75" hidden="1" customHeight="1">
      <c r="G298" s="32"/>
      <c r="H298" s="7"/>
      <c r="I298" s="7"/>
    </row>
    <row r="299" spans="7:9" s="5" customFormat="1" ht="15.75" hidden="1" customHeight="1">
      <c r="G299" s="32"/>
      <c r="H299" s="7"/>
      <c r="I299" s="7"/>
    </row>
    <row r="300" spans="7:9" s="5" customFormat="1" ht="15.75" hidden="1" customHeight="1">
      <c r="G300" s="1"/>
      <c r="H300" s="7"/>
      <c r="I300" s="7"/>
    </row>
    <row r="301" spans="7:9" s="5" customFormat="1" ht="15.75" hidden="1" customHeight="1">
      <c r="G301" s="38" t="s">
        <v>189</v>
      </c>
      <c r="H301" s="7"/>
      <c r="I301" s="7"/>
    </row>
    <row r="302" spans="7:9" s="5" customFormat="1" ht="15.75" hidden="1" customHeight="1">
      <c r="G302" s="36"/>
      <c r="H302" s="7"/>
      <c r="I302" s="7"/>
    </row>
    <row r="303" spans="7:9" s="5" customFormat="1" ht="15.75" hidden="1" customHeight="1">
      <c r="G303" s="1" t="s">
        <v>119</v>
      </c>
      <c r="H303" s="4">
        <f>I305/1.15</f>
        <v>1565217.3913043479</v>
      </c>
      <c r="I303" s="4"/>
    </row>
    <row r="304" spans="7:9" s="5" customFormat="1" ht="15.75" hidden="1" customHeight="1" thickBot="1">
      <c r="G304" s="1" t="s">
        <v>111</v>
      </c>
      <c r="H304" s="4">
        <f>H303*0.15</f>
        <v>234782.60869565219</v>
      </c>
      <c r="I304" s="4"/>
    </row>
    <row r="305" spans="7:9" ht="24" hidden="1" thickBot="1">
      <c r="G305" s="124" t="s">
        <v>18</v>
      </c>
      <c r="H305" s="113"/>
      <c r="I305" s="116">
        <v>1800000</v>
      </c>
    </row>
    <row r="306" spans="7:9" s="5" customFormat="1" ht="15.75" hidden="1" customHeight="1">
      <c r="G306" s="3" t="s">
        <v>112</v>
      </c>
      <c r="H306" s="4"/>
      <c r="I306" s="4"/>
    </row>
    <row r="307" spans="7:9" s="5" customFormat="1" ht="15.75" hidden="1" customHeight="1">
      <c r="G307" s="3"/>
      <c r="H307" s="4"/>
      <c r="I307" s="4"/>
    </row>
    <row r="308" spans="7:9" s="5" customFormat="1" ht="15.75" hidden="1" customHeight="1">
      <c r="G308" s="1" t="s">
        <v>59</v>
      </c>
      <c r="H308" s="4">
        <v>4273932</v>
      </c>
      <c r="I308" s="4"/>
    </row>
    <row r="309" spans="7:9" s="5" customFormat="1" ht="15.75" hidden="1" customHeight="1">
      <c r="G309" s="1" t="s">
        <v>122</v>
      </c>
      <c r="H309" s="4"/>
      <c r="I309" s="4">
        <v>256435.91999999998</v>
      </c>
    </row>
    <row r="310" spans="7:9" s="5" customFormat="1" ht="15.75" hidden="1" customHeight="1">
      <c r="G310" s="1" t="s">
        <v>121</v>
      </c>
      <c r="H310" s="4"/>
      <c r="I310" s="4">
        <v>4017496.08</v>
      </c>
    </row>
    <row r="311" spans="7:9" s="5" customFormat="1" ht="15.75" hidden="1" customHeight="1">
      <c r="G311" s="3" t="s">
        <v>190</v>
      </c>
      <c r="H311" s="4"/>
      <c r="I311" s="4"/>
    </row>
    <row r="312" spans="7:9" s="5" customFormat="1" ht="15.75" hidden="1" customHeight="1" thickBot="1">
      <c r="G312" s="1"/>
      <c r="H312" s="4"/>
      <c r="I312" s="4"/>
    </row>
    <row r="313" spans="7:9" ht="24" hidden="1" thickBot="1">
      <c r="G313" s="124" t="s">
        <v>18</v>
      </c>
      <c r="H313" s="113">
        <v>4273932</v>
      </c>
      <c r="I313" s="116"/>
    </row>
    <row r="314" spans="7:9" s="5" customFormat="1" ht="15.75" hidden="1" customHeight="1">
      <c r="G314" s="1" t="s">
        <v>59</v>
      </c>
      <c r="H314" s="4"/>
      <c r="I314" s="4">
        <v>4273932</v>
      </c>
    </row>
    <row r="315" spans="7:9" s="5" customFormat="1" ht="15.75" hidden="1" customHeight="1">
      <c r="G315" s="3" t="s">
        <v>203</v>
      </c>
      <c r="H315" s="4"/>
      <c r="I315" s="4"/>
    </row>
    <row r="316" spans="7:9" s="5" customFormat="1" ht="15.75" hidden="1" customHeight="1">
      <c r="G316" s="3"/>
      <c r="H316" s="4"/>
      <c r="I316" s="4"/>
    </row>
    <row r="317" spans="7:9" s="5" customFormat="1" ht="15.75" hidden="1" customHeight="1">
      <c r="G317" s="1" t="s">
        <v>116</v>
      </c>
      <c r="H317" s="4">
        <v>30000</v>
      </c>
      <c r="I317" s="4"/>
    </row>
    <row r="318" spans="7:9" s="5" customFormat="1" ht="15.75" hidden="1" customHeight="1">
      <c r="G318" s="1" t="s">
        <v>117</v>
      </c>
      <c r="H318" s="4">
        <v>75000</v>
      </c>
      <c r="I318" s="4"/>
    </row>
    <row r="319" spans="7:9" s="5" customFormat="1" ht="15.75" hidden="1" customHeight="1">
      <c r="G319" s="1" t="s">
        <v>113</v>
      </c>
      <c r="H319" s="4">
        <v>9000</v>
      </c>
      <c r="I319" s="4"/>
    </row>
    <row r="320" spans="7:9" s="5" customFormat="1" ht="15.75" hidden="1" customHeight="1">
      <c r="G320" s="1" t="s">
        <v>126</v>
      </c>
      <c r="H320" s="4">
        <v>45000</v>
      </c>
      <c r="I320" s="4"/>
    </row>
    <row r="321" spans="7:9" s="5" customFormat="1" ht="15.75" hidden="1" customHeight="1">
      <c r="G321" s="1" t="s">
        <v>127</v>
      </c>
      <c r="H321" s="4">
        <v>150000</v>
      </c>
      <c r="I321" s="4"/>
    </row>
    <row r="322" spans="7:9" s="5" customFormat="1" ht="15.75" hidden="1" customHeight="1">
      <c r="G322" s="1" t="s">
        <v>128</v>
      </c>
      <c r="H322" s="4">
        <v>54000</v>
      </c>
      <c r="I322" s="4"/>
    </row>
    <row r="323" spans="7:9" s="5" customFormat="1" ht="15.75" hidden="1" customHeight="1">
      <c r="G323" s="1" t="s">
        <v>129</v>
      </c>
      <c r="H323" s="4">
        <v>35175</v>
      </c>
      <c r="I323" s="4"/>
    </row>
    <row r="324" spans="7:9" s="5" customFormat="1" ht="15.75" hidden="1" customHeight="1" thickBot="1">
      <c r="G324" s="1" t="s">
        <v>130</v>
      </c>
      <c r="H324" s="4">
        <v>22125</v>
      </c>
      <c r="I324" s="4"/>
    </row>
    <row r="325" spans="7:9" ht="24" hidden="1" thickBot="1">
      <c r="G325" s="124" t="s">
        <v>18</v>
      </c>
      <c r="H325" s="113"/>
      <c r="I325" s="116">
        <v>420300</v>
      </c>
    </row>
    <row r="326" spans="7:9" s="5" customFormat="1" ht="15.75" hidden="1" customHeight="1">
      <c r="G326" s="3" t="s">
        <v>125</v>
      </c>
      <c r="H326" s="4"/>
      <c r="I326" s="4"/>
    </row>
    <row r="327" spans="7:9" s="5" customFormat="1" ht="15.75" hidden="1" customHeight="1">
      <c r="G327" s="3"/>
      <c r="H327" s="4"/>
      <c r="I327" s="4"/>
    </row>
    <row r="328" spans="7:9" s="5" customFormat="1" ht="15.75" hidden="1" customHeight="1">
      <c r="G328" s="1" t="s">
        <v>132</v>
      </c>
      <c r="H328" s="4">
        <v>45000</v>
      </c>
      <c r="I328" s="4"/>
    </row>
    <row r="329" spans="7:9" s="5" customFormat="1" ht="15.75" hidden="1" customHeight="1">
      <c r="G329" s="1" t="s">
        <v>131</v>
      </c>
      <c r="H329" s="4"/>
      <c r="I329" s="4">
        <v>45000</v>
      </c>
    </row>
    <row r="330" spans="7:9" s="5" customFormat="1" ht="15.75" hidden="1" customHeight="1">
      <c r="G330" s="3" t="s">
        <v>133</v>
      </c>
      <c r="H330" s="4"/>
      <c r="I330" s="4"/>
    </row>
    <row r="331" spans="7:9" s="5" customFormat="1" ht="15.75" hidden="1" customHeight="1">
      <c r="G331" s="1"/>
      <c r="H331" s="4"/>
      <c r="I331" s="4"/>
    </row>
    <row r="332" spans="7:9" s="5" customFormat="1" ht="15.75" hidden="1" customHeight="1">
      <c r="G332" s="1" t="s">
        <v>136</v>
      </c>
      <c r="H332" s="4">
        <v>230170.5</v>
      </c>
      <c r="I332" s="4"/>
    </row>
    <row r="333" spans="7:9" s="5" customFormat="1" ht="15.75" hidden="1" customHeight="1">
      <c r="G333" s="1" t="s">
        <v>135</v>
      </c>
      <c r="H333" s="4"/>
      <c r="I333" s="4">
        <v>210000</v>
      </c>
    </row>
    <row r="334" spans="7:9" s="5" customFormat="1" ht="15.75" hidden="1" customHeight="1">
      <c r="G334" s="1" t="s">
        <v>141</v>
      </c>
      <c r="H334" s="4"/>
      <c r="I334" s="4">
        <v>3370.5</v>
      </c>
    </row>
    <row r="335" spans="7:9" s="5" customFormat="1" ht="15.75" hidden="1" customHeight="1">
      <c r="G335" s="1" t="s">
        <v>138</v>
      </c>
      <c r="H335" s="4"/>
      <c r="I335" s="4">
        <v>16800</v>
      </c>
    </row>
    <row r="336" spans="7:9" s="5" customFormat="1" ht="15.75" hidden="1" customHeight="1">
      <c r="G336" s="3" t="s">
        <v>202</v>
      </c>
      <c r="H336" s="4"/>
      <c r="I336" s="4"/>
    </row>
    <row r="337" spans="7:9" s="5" customFormat="1" ht="15.75" hidden="1" customHeight="1">
      <c r="G337" s="1"/>
      <c r="H337" s="4"/>
      <c r="I337" s="4"/>
    </row>
    <row r="338" spans="7:9" s="5" customFormat="1" ht="15.75" hidden="1" customHeight="1">
      <c r="G338" s="1" t="s">
        <v>140</v>
      </c>
      <c r="H338" s="4">
        <v>10500</v>
      </c>
      <c r="I338" s="4"/>
    </row>
    <row r="339" spans="7:9" s="5" customFormat="1" ht="15.75" hidden="1" customHeight="1">
      <c r="G339" s="1" t="s">
        <v>138</v>
      </c>
      <c r="H339" s="4"/>
      <c r="I339" s="4">
        <v>10500</v>
      </c>
    </row>
    <row r="340" spans="7:9" s="5" customFormat="1" ht="15.75" hidden="1" customHeight="1">
      <c r="G340" s="3" t="s">
        <v>201</v>
      </c>
      <c r="H340" s="4"/>
      <c r="I340" s="4"/>
    </row>
    <row r="341" spans="7:9" s="5" customFormat="1" ht="15.75" hidden="1" customHeight="1">
      <c r="G341" s="1"/>
      <c r="H341" s="4"/>
      <c r="I341" s="4"/>
    </row>
    <row r="342" spans="7:9" s="5" customFormat="1" ht="15.75" hidden="1" customHeight="1">
      <c r="G342" s="1" t="s">
        <v>137</v>
      </c>
      <c r="H342" s="4">
        <v>278770.5</v>
      </c>
      <c r="I342" s="4"/>
    </row>
    <row r="343" spans="7:9" s="5" customFormat="1" ht="15.75" hidden="1" customHeight="1">
      <c r="G343" s="1" t="s">
        <v>134</v>
      </c>
      <c r="H343" s="4"/>
      <c r="I343" s="4">
        <v>255000</v>
      </c>
    </row>
    <row r="344" spans="7:9" s="5" customFormat="1" ht="15.75" hidden="1" customHeight="1">
      <c r="G344" s="1" t="s">
        <v>141</v>
      </c>
      <c r="H344" s="4"/>
      <c r="I344" s="4">
        <v>3370.5</v>
      </c>
    </row>
    <row r="345" spans="7:9" s="5" customFormat="1" ht="15.75" hidden="1" customHeight="1">
      <c r="G345" s="1" t="s">
        <v>138</v>
      </c>
      <c r="H345" s="4"/>
      <c r="I345" s="4">
        <v>20400</v>
      </c>
    </row>
    <row r="346" spans="7:9" s="5" customFormat="1" ht="15.75" hidden="1" customHeight="1">
      <c r="G346" s="3" t="s">
        <v>200</v>
      </c>
      <c r="H346" s="4"/>
      <c r="I346" s="4"/>
    </row>
    <row r="347" spans="7:9" s="5" customFormat="1" ht="15.75" hidden="1" customHeight="1">
      <c r="G347" s="1"/>
      <c r="H347" s="4"/>
      <c r="I347" s="4"/>
    </row>
    <row r="348" spans="7:9" s="5" customFormat="1" ht="15.75" hidden="1" customHeight="1">
      <c r="G348" s="1" t="s">
        <v>140</v>
      </c>
      <c r="H348" s="4">
        <v>38250</v>
      </c>
      <c r="I348" s="4"/>
    </row>
    <row r="349" spans="7:9" s="5" customFormat="1" ht="15.75" hidden="1" customHeight="1">
      <c r="G349" s="1" t="s">
        <v>138</v>
      </c>
      <c r="H349" s="4"/>
      <c r="I349" s="4">
        <v>38250</v>
      </c>
    </row>
    <row r="350" spans="7:9" s="5" customFormat="1" ht="15.75" hidden="1" customHeight="1">
      <c r="G350" s="3" t="s">
        <v>199</v>
      </c>
      <c r="H350" s="4"/>
      <c r="I350" s="4"/>
    </row>
    <row r="351" spans="7:9" s="5" customFormat="1" ht="15.75" hidden="1" customHeight="1">
      <c r="G351" s="1"/>
      <c r="H351" s="4"/>
      <c r="I351" s="4"/>
    </row>
    <row r="352" spans="7:9" s="5" customFormat="1" ht="15.75" hidden="1" customHeight="1">
      <c r="G352" s="1" t="s">
        <v>135</v>
      </c>
      <c r="H352" s="4">
        <v>210000</v>
      </c>
      <c r="I352" s="4"/>
    </row>
    <row r="353" spans="7:9" s="5" customFormat="1" ht="15.75" hidden="1" customHeight="1">
      <c r="G353" s="1" t="s">
        <v>141</v>
      </c>
      <c r="H353" s="4">
        <v>3370.5</v>
      </c>
      <c r="I353" s="4"/>
    </row>
    <row r="354" spans="7:9" s="5" customFormat="1" ht="15.75" hidden="1" customHeight="1" thickBot="1">
      <c r="G354" s="1" t="s">
        <v>138</v>
      </c>
      <c r="H354" s="4">
        <v>16800</v>
      </c>
      <c r="I354" s="4"/>
    </row>
    <row r="355" spans="7:9" ht="24" hidden="1" thickBot="1">
      <c r="G355" s="124" t="s">
        <v>18</v>
      </c>
      <c r="H355" s="113"/>
      <c r="I355" s="116">
        <v>230170.5</v>
      </c>
    </row>
    <row r="356" spans="7:9" s="5" customFormat="1" ht="15.75" hidden="1" customHeight="1">
      <c r="G356" s="3" t="s">
        <v>145</v>
      </c>
      <c r="H356" s="4"/>
      <c r="I356" s="4"/>
    </row>
    <row r="357" spans="7:9" s="5" customFormat="1" ht="15.75" hidden="1" customHeight="1">
      <c r="G357" s="1"/>
      <c r="H357" s="4"/>
      <c r="I357" s="4"/>
    </row>
    <row r="358" spans="7:9" s="5" customFormat="1" ht="15.75" hidden="1" customHeight="1" thickBot="1">
      <c r="G358" s="1" t="s">
        <v>138</v>
      </c>
      <c r="H358" s="4">
        <v>10500</v>
      </c>
      <c r="I358" s="4"/>
    </row>
    <row r="359" spans="7:9" ht="24" hidden="1" thickBot="1">
      <c r="G359" s="124" t="s">
        <v>18</v>
      </c>
      <c r="H359" s="113"/>
      <c r="I359" s="116">
        <v>10500</v>
      </c>
    </row>
    <row r="360" spans="7:9" s="5" customFormat="1" ht="15.75" hidden="1" customHeight="1">
      <c r="G360" s="3" t="s">
        <v>198</v>
      </c>
      <c r="H360" s="4"/>
      <c r="I360" s="4"/>
    </row>
    <row r="361" spans="7:9" s="5" customFormat="1" ht="15.75" hidden="1" customHeight="1">
      <c r="G361" s="1"/>
      <c r="H361" s="4"/>
      <c r="I361" s="4"/>
    </row>
    <row r="362" spans="7:9" s="5" customFormat="1" ht="15.75" hidden="1" customHeight="1">
      <c r="G362" s="1" t="s">
        <v>134</v>
      </c>
      <c r="H362" s="4">
        <v>255000</v>
      </c>
      <c r="I362" s="4"/>
    </row>
    <row r="363" spans="7:9" s="5" customFormat="1" ht="15.75" hidden="1" customHeight="1">
      <c r="G363" s="1" t="s">
        <v>141</v>
      </c>
      <c r="H363" s="4">
        <v>3370.5</v>
      </c>
      <c r="I363" s="4"/>
    </row>
    <row r="364" spans="7:9" s="5" customFormat="1" ht="15.75" hidden="1" customHeight="1" thickBot="1">
      <c r="G364" s="1" t="s">
        <v>138</v>
      </c>
      <c r="H364" s="4">
        <v>20400</v>
      </c>
      <c r="I364" s="4"/>
    </row>
    <row r="365" spans="7:9" ht="24" hidden="1" thickBot="1">
      <c r="G365" s="124" t="s">
        <v>18</v>
      </c>
      <c r="H365" s="113"/>
      <c r="I365" s="116">
        <v>278770.5</v>
      </c>
    </row>
    <row r="366" spans="7:9" s="5" customFormat="1" ht="15.75" hidden="1" customHeight="1">
      <c r="G366" s="1" t="s">
        <v>145</v>
      </c>
      <c r="H366" s="4"/>
      <c r="I366" s="4"/>
    </row>
    <row r="367" spans="7:9" s="5" customFormat="1" ht="15.75" hidden="1" customHeight="1">
      <c r="G367" s="1"/>
      <c r="H367" s="4"/>
      <c r="I367" s="4"/>
    </row>
    <row r="368" spans="7:9" s="5" customFormat="1" ht="15.75" hidden="1" customHeight="1" thickBot="1">
      <c r="G368" s="1" t="s">
        <v>138</v>
      </c>
      <c r="H368" s="4">
        <v>38250</v>
      </c>
      <c r="I368" s="4"/>
    </row>
    <row r="369" spans="7:10" ht="24" hidden="1" thickBot="1">
      <c r="G369" s="124" t="s">
        <v>18</v>
      </c>
      <c r="H369" s="113"/>
      <c r="I369" s="116">
        <v>38250</v>
      </c>
    </row>
    <row r="370" spans="7:10" s="5" customFormat="1" ht="15.75" hidden="1" customHeight="1" thickBot="1">
      <c r="G370" s="3" t="s">
        <v>198</v>
      </c>
      <c r="H370" s="4"/>
      <c r="I370" s="4"/>
    </row>
    <row r="371" spans="7:10" s="5" customFormat="1" ht="16.5" hidden="1" customHeight="1" thickBot="1">
      <c r="G371" s="121" t="s">
        <v>192</v>
      </c>
      <c r="H371" s="37">
        <f>SUM(H2:H370)</f>
        <v>61354709.606264405</v>
      </c>
      <c r="I371" s="37">
        <f>SUM(I2:I370)</f>
        <v>61354709.606264398</v>
      </c>
    </row>
    <row r="372" spans="7:10">
      <c r="G372" s="129"/>
    </row>
    <row r="373" spans="7:10" ht="24" thickBot="1">
      <c r="G373" s="130" t="s">
        <v>192</v>
      </c>
      <c r="H373" s="120">
        <f>SUM(H368,H368,H364,H363,H358,H354,H353,H290,H286,H285,H280,H276,H275,H217,H213,H212,H207,H203,H202,H142,H138,H137,H132,H128,H127)</f>
        <v>409014</v>
      </c>
      <c r="I373" s="118">
        <f>SUM(I349,I345,I344,I339,I335,I334,I271,I266,I267,I261,I257,I256,I198,I194,I193,I188,I184,I183,I123,I119,I118,I113,I109,I108)</f>
        <v>370764</v>
      </c>
    </row>
    <row r="374" spans="7:10">
      <c r="H374" s="138"/>
      <c r="I374" s="139">
        <f>H373-I373</f>
        <v>38250</v>
      </c>
      <c r="J374" s="140"/>
    </row>
    <row r="375" spans="7:10">
      <c r="I375" s="114">
        <f>SUM(I83,I159,I231,I309)</f>
        <v>1121814.72</v>
      </c>
    </row>
    <row r="376" spans="7:10">
      <c r="H376" s="114"/>
      <c r="I376" s="114"/>
    </row>
    <row r="377" spans="7:10">
      <c r="J377" s="110"/>
    </row>
  </sheetData>
  <sheetProtection sort="0" autoFilter="0"/>
  <autoFilter ref="A1:WVV371">
    <filterColumn colId="6">
      <filters>
        <filter val="231101-Emprestimo Bancario"/>
      </filters>
    </filterColumn>
    <sortState ref="A70:WVV317">
      <sortCondition ref="G1:G371"/>
    </sortState>
  </autoFilter>
  <pageMargins left="0.7" right="0.7" top="0.75" bottom="0.75" header="0.3" footer="0.3"/>
  <pageSetup paperSize="9" scale="47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I51"/>
  <sheetViews>
    <sheetView showGridLines="0" showZeros="0" zoomScaleNormal="100" workbookViewId="0">
      <selection sqref="A1:F45"/>
    </sheetView>
  </sheetViews>
  <sheetFormatPr defaultRowHeight="12.95" customHeight="1"/>
  <cols>
    <col min="1" max="1" width="48.7109375" style="230" customWidth="1"/>
    <col min="2" max="2" width="9.7109375" style="233" customWidth="1"/>
    <col min="3" max="3" width="4.7109375" style="232" customWidth="1"/>
    <col min="4" max="4" width="8.7109375" style="230" customWidth="1"/>
    <col min="5" max="6" width="11.7109375" style="231" customWidth="1"/>
    <col min="7" max="35" width="10.7109375" style="230" customWidth="1"/>
    <col min="36" max="16384" width="9.140625" style="230"/>
  </cols>
  <sheetData>
    <row r="1" spans="1:6" ht="12.95" customHeight="1">
      <c r="A1" s="255" t="s">
        <v>345</v>
      </c>
    </row>
    <row r="2" spans="1:6" ht="12.95" customHeight="1">
      <c r="A2" s="254" t="s">
        <v>430</v>
      </c>
    </row>
    <row r="3" spans="1:6" ht="12.95" customHeight="1">
      <c r="A3" s="670" t="s">
        <v>268</v>
      </c>
      <c r="B3" s="671"/>
      <c r="C3" s="671"/>
      <c r="D3" s="674" t="s">
        <v>65</v>
      </c>
      <c r="E3" s="676">
        <f>'DRN '!E3:F3</f>
        <v>2012</v>
      </c>
      <c r="F3" s="677"/>
    </row>
    <row r="4" spans="1:6" ht="12.95" customHeight="1">
      <c r="A4" s="672"/>
      <c r="B4" s="673"/>
      <c r="C4" s="673"/>
      <c r="D4" s="675"/>
      <c r="E4" s="253" t="str">
        <f>'DRN '!E4</f>
        <v>31.12.2012</v>
      </c>
      <c r="F4" s="253" t="str">
        <f>'DRN '!F4</f>
        <v>PREVISÂO</v>
      </c>
    </row>
    <row r="5" spans="1:6" ht="12.95" customHeight="1">
      <c r="A5" s="251" t="s">
        <v>269</v>
      </c>
      <c r="B5" s="243"/>
      <c r="C5" s="242"/>
      <c r="D5" s="241"/>
      <c r="E5" s="240"/>
      <c r="F5" s="239"/>
    </row>
    <row r="6" spans="1:6" ht="12.95" customHeight="1">
      <c r="A6" s="250" t="s">
        <v>270</v>
      </c>
      <c r="B6" s="243"/>
      <c r="C6" s="242" t="s">
        <v>305</v>
      </c>
      <c r="D6" s="241"/>
      <c r="E6" s="240">
        <f>Razão!$J$41-'Balanço '!D21</f>
        <v>45667950.713043481</v>
      </c>
      <c r="F6" s="239">
        <f>[7]DFC!E6</f>
        <v>44372265.565217398</v>
      </c>
    </row>
    <row r="7" spans="1:6" ht="12.95" customHeight="1">
      <c r="A7" s="250" t="s">
        <v>271</v>
      </c>
      <c r="B7" s="243"/>
      <c r="C7" s="242" t="s">
        <v>304</v>
      </c>
      <c r="D7" s="241"/>
      <c r="E7" s="240">
        <f>-SUM(DRE!C55-DRE!C12-DRE!C20)+1748797</f>
        <v>-22993082.478260871</v>
      </c>
      <c r="F7" s="239">
        <f>[7]DFC!E7</f>
        <v>-24751831.652173914</v>
      </c>
    </row>
    <row r="8" spans="1:6" ht="12.95" customHeight="1">
      <c r="A8" s="250" t="s">
        <v>272</v>
      </c>
      <c r="B8" s="243"/>
      <c r="C8" s="242" t="s">
        <v>304</v>
      </c>
      <c r="D8" s="241"/>
      <c r="E8" s="240">
        <f>-SUM(Balancete!K31:K33)</f>
        <v>-14250600</v>
      </c>
      <c r="F8" s="239">
        <f>[7]DFC!E8</f>
        <v>-14250600</v>
      </c>
    </row>
    <row r="9" spans="1:6" ht="12.95" customHeight="1">
      <c r="A9" s="252" t="s">
        <v>312</v>
      </c>
      <c r="B9" s="243"/>
      <c r="C9" s="242" t="s">
        <v>300</v>
      </c>
      <c r="D9" s="241"/>
      <c r="E9" s="246">
        <f>SUM(E6:E8)</f>
        <v>8424268.2347826101</v>
      </c>
      <c r="F9" s="245">
        <f>SUM(F6:F8)</f>
        <v>5369833.9130434841</v>
      </c>
    </row>
    <row r="10" spans="1:6" ht="12.95" customHeight="1">
      <c r="A10" s="250" t="s">
        <v>274</v>
      </c>
      <c r="B10" s="243"/>
      <c r="C10" s="242" t="s">
        <v>311</v>
      </c>
      <c r="D10" s="241"/>
      <c r="E10" s="240"/>
      <c r="F10" s="239"/>
    </row>
    <row r="11" spans="1:6" ht="12.95" customHeight="1">
      <c r="A11" s="250" t="s">
        <v>275</v>
      </c>
      <c r="B11" s="243"/>
      <c r="C11" s="242" t="s">
        <v>300</v>
      </c>
      <c r="D11" s="241"/>
      <c r="E11" s="240"/>
      <c r="F11" s="239"/>
    </row>
    <row r="12" spans="1:6" ht="12.95" customHeight="1">
      <c r="A12" s="248" t="s">
        <v>310</v>
      </c>
      <c r="B12" s="243" t="s">
        <v>309</v>
      </c>
      <c r="C12" s="242" t="s">
        <v>300</v>
      </c>
      <c r="D12" s="241"/>
      <c r="E12" s="246">
        <f>SUM(E9:E11)</f>
        <v>8424268.2347826101</v>
      </c>
      <c r="F12" s="245">
        <f>SUM(F9:F11)</f>
        <v>5369833.9130434841</v>
      </c>
    </row>
    <row r="13" spans="1:6" ht="12.95" customHeight="1">
      <c r="A13" s="251" t="s">
        <v>277</v>
      </c>
      <c r="B13" s="243"/>
      <c r="C13" s="242"/>
      <c r="D13" s="241"/>
      <c r="E13" s="240"/>
      <c r="F13" s="239"/>
    </row>
    <row r="14" spans="1:6" ht="12.95" customHeight="1">
      <c r="A14" s="244" t="s">
        <v>278</v>
      </c>
      <c r="B14" s="243"/>
      <c r="C14" s="242"/>
      <c r="D14" s="241"/>
      <c r="E14" s="240"/>
      <c r="F14" s="239"/>
    </row>
    <row r="15" spans="1:6" ht="12.95" customHeight="1">
      <c r="A15" s="250" t="s">
        <v>46</v>
      </c>
      <c r="B15" s="243"/>
      <c r="C15" s="242" t="s">
        <v>304</v>
      </c>
      <c r="D15" s="241"/>
      <c r="E15" s="240"/>
      <c r="F15" s="239"/>
    </row>
    <row r="16" spans="1:6" ht="12.95" customHeight="1">
      <c r="A16" s="250" t="s">
        <v>47</v>
      </c>
      <c r="B16" s="243"/>
      <c r="C16" s="242" t="s">
        <v>304</v>
      </c>
      <c r="D16" s="241"/>
      <c r="E16" s="240"/>
      <c r="F16" s="239"/>
    </row>
    <row r="17" spans="1:9" ht="12.95" customHeight="1">
      <c r="A17" s="250" t="s">
        <v>279</v>
      </c>
      <c r="B17" s="243"/>
      <c r="C17" s="242" t="s">
        <v>304</v>
      </c>
      <c r="D17" s="241"/>
      <c r="E17" s="240"/>
      <c r="F17" s="239"/>
    </row>
    <row r="18" spans="1:9" ht="12.95" customHeight="1">
      <c r="A18" s="250" t="s">
        <v>280</v>
      </c>
      <c r="B18" s="243"/>
      <c r="C18" s="242" t="s">
        <v>304</v>
      </c>
      <c r="D18" s="241"/>
      <c r="E18" s="240"/>
      <c r="F18" s="239"/>
    </row>
    <row r="19" spans="1:9" ht="12.95" customHeight="1">
      <c r="A19" s="244" t="s">
        <v>281</v>
      </c>
      <c r="B19" s="243"/>
      <c r="C19" s="242"/>
      <c r="D19" s="241"/>
      <c r="E19" s="240"/>
      <c r="F19" s="239"/>
    </row>
    <row r="20" spans="1:9" ht="12.95" customHeight="1">
      <c r="A20" s="250" t="s">
        <v>46</v>
      </c>
      <c r="B20" s="243"/>
      <c r="C20" s="242" t="s">
        <v>305</v>
      </c>
      <c r="D20" s="241"/>
      <c r="E20" s="240"/>
      <c r="F20" s="239"/>
    </row>
    <row r="21" spans="1:9" ht="12.95" customHeight="1">
      <c r="A21" s="250" t="s">
        <v>308</v>
      </c>
      <c r="B21" s="243"/>
      <c r="C21" s="242" t="s">
        <v>305</v>
      </c>
      <c r="D21" s="241"/>
      <c r="E21" s="240"/>
      <c r="F21" s="239"/>
    </row>
    <row r="22" spans="1:9" ht="12.95" customHeight="1">
      <c r="A22" s="250" t="s">
        <v>280</v>
      </c>
      <c r="B22" s="243"/>
      <c r="C22" s="242" t="s">
        <v>305</v>
      </c>
      <c r="D22" s="241"/>
      <c r="E22" s="240"/>
      <c r="F22" s="239"/>
    </row>
    <row r="23" spans="1:9" ht="12.95" customHeight="1">
      <c r="A23" s="250" t="s">
        <v>282</v>
      </c>
      <c r="B23" s="243"/>
      <c r="C23" s="242" t="s">
        <v>305</v>
      </c>
      <c r="D23" s="241"/>
      <c r="E23" s="240"/>
      <c r="F23" s="239"/>
    </row>
    <row r="24" spans="1:9" ht="12.95" customHeight="1">
      <c r="A24" s="250" t="s">
        <v>283</v>
      </c>
      <c r="B24" s="243"/>
      <c r="C24" s="242" t="s">
        <v>305</v>
      </c>
      <c r="D24" s="241"/>
      <c r="E24" s="240"/>
      <c r="F24" s="239"/>
    </row>
    <row r="25" spans="1:9" ht="12.95" customHeight="1">
      <c r="A25" s="250" t="s">
        <v>284</v>
      </c>
      <c r="B25" s="243"/>
      <c r="C25" s="242" t="s">
        <v>305</v>
      </c>
      <c r="D25" s="241"/>
      <c r="E25" s="240"/>
      <c r="F25" s="239"/>
      <c r="I25" s="249"/>
    </row>
    <row r="26" spans="1:9" ht="12.95" customHeight="1">
      <c r="A26" s="248" t="s">
        <v>277</v>
      </c>
      <c r="B26" s="243" t="s">
        <v>307</v>
      </c>
      <c r="C26" s="242" t="s">
        <v>300</v>
      </c>
      <c r="D26" s="241"/>
      <c r="E26" s="246">
        <f>SUM(E20:E25)+SUM(E15:E18)</f>
        <v>0</v>
      </c>
      <c r="F26" s="245">
        <f>SUM(F20:F25)+SUM(F15:F18)</f>
        <v>0</v>
      </c>
    </row>
    <row r="27" spans="1:9" ht="12.95" customHeight="1">
      <c r="A27" s="251" t="s">
        <v>286</v>
      </c>
      <c r="B27" s="243"/>
      <c r="C27" s="242"/>
      <c r="D27" s="241"/>
      <c r="E27" s="240"/>
      <c r="F27" s="239"/>
    </row>
    <row r="28" spans="1:9" ht="12.95" customHeight="1">
      <c r="A28" s="250" t="s">
        <v>281</v>
      </c>
      <c r="B28" s="243"/>
      <c r="C28" s="242"/>
      <c r="D28" s="241"/>
      <c r="E28" s="240"/>
      <c r="F28" s="239"/>
    </row>
    <row r="29" spans="1:9" ht="12.95" customHeight="1">
      <c r="A29" s="250" t="s">
        <v>38</v>
      </c>
      <c r="B29" s="243"/>
      <c r="C29" s="242" t="s">
        <v>305</v>
      </c>
      <c r="D29" s="241"/>
      <c r="E29" s="240"/>
      <c r="F29" s="239"/>
    </row>
    <row r="30" spans="1:9" ht="12.95" customHeight="1">
      <c r="A30" s="250" t="s">
        <v>287</v>
      </c>
      <c r="B30" s="243"/>
      <c r="C30" s="242" t="s">
        <v>305</v>
      </c>
      <c r="D30" s="241"/>
      <c r="E30" s="240"/>
      <c r="F30" s="239"/>
    </row>
    <row r="31" spans="1:9" ht="12.95" customHeight="1">
      <c r="A31" s="250" t="s">
        <v>288</v>
      </c>
      <c r="B31" s="243"/>
      <c r="C31" s="242" t="s">
        <v>305</v>
      </c>
      <c r="D31" s="241"/>
      <c r="E31" s="240"/>
      <c r="F31" s="239"/>
    </row>
    <row r="32" spans="1:9" ht="12.95" customHeight="1">
      <c r="A32" s="250" t="s">
        <v>289</v>
      </c>
      <c r="B32" s="243"/>
      <c r="C32" s="242" t="s">
        <v>305</v>
      </c>
      <c r="D32" s="241"/>
      <c r="E32" s="240"/>
      <c r="F32" s="239"/>
      <c r="H32" s="249"/>
    </row>
    <row r="33" spans="1:8" ht="12.95" customHeight="1">
      <c r="A33" s="250" t="s">
        <v>306</v>
      </c>
      <c r="B33" s="243"/>
      <c r="C33" s="242" t="s">
        <v>305</v>
      </c>
      <c r="D33" s="241"/>
      <c r="E33" s="240"/>
      <c r="F33" s="239"/>
    </row>
    <row r="34" spans="1:8" ht="12.95" customHeight="1">
      <c r="A34" s="244" t="s">
        <v>278</v>
      </c>
      <c r="B34" s="243"/>
      <c r="C34" s="242"/>
      <c r="D34" s="241"/>
      <c r="E34" s="240"/>
      <c r="F34" s="239"/>
    </row>
    <row r="35" spans="1:8" ht="12.95" customHeight="1">
      <c r="A35" s="250" t="s">
        <v>38</v>
      </c>
      <c r="B35" s="243"/>
      <c r="C35" s="242" t="s">
        <v>304</v>
      </c>
      <c r="D35" s="241"/>
      <c r="E35" s="240">
        <f>-'Amortização Emprestimo taxa 8,7'!H19</f>
        <v>-1731496.9325738717</v>
      </c>
      <c r="F35" s="239">
        <f>[7]DFC!E35</f>
        <v>-1216583.6573048208</v>
      </c>
    </row>
    <row r="36" spans="1:8" ht="12.95" customHeight="1">
      <c r="A36" s="250" t="s">
        <v>291</v>
      </c>
      <c r="B36" s="243"/>
      <c r="C36" s="242" t="s">
        <v>304</v>
      </c>
      <c r="D36" s="241"/>
      <c r="E36" s="240">
        <f>-SUM(Razão!$Z$90,Razão!$F$63)</f>
        <v>-444949.67216705694</v>
      </c>
      <c r="F36" s="239">
        <f>[7]DFC!E36</f>
        <v>-291825.68111330573</v>
      </c>
    </row>
    <row r="37" spans="1:8" ht="12.95" customHeight="1">
      <c r="A37" s="250" t="s">
        <v>284</v>
      </c>
      <c r="B37" s="243"/>
      <c r="C37" s="242" t="s">
        <v>304</v>
      </c>
      <c r="D37" s="241"/>
      <c r="E37" s="240"/>
      <c r="F37" s="239"/>
    </row>
    <row r="38" spans="1:8" ht="12.95" customHeight="1">
      <c r="A38" s="250" t="s">
        <v>292</v>
      </c>
      <c r="B38" s="243"/>
      <c r="C38" s="242" t="s">
        <v>304</v>
      </c>
      <c r="D38" s="241"/>
      <c r="E38" s="240"/>
      <c r="F38" s="239"/>
    </row>
    <row r="39" spans="1:8" ht="12.95" customHeight="1">
      <c r="A39" s="250" t="s">
        <v>290</v>
      </c>
      <c r="B39" s="243"/>
      <c r="C39" s="242" t="s">
        <v>304</v>
      </c>
      <c r="D39" s="241"/>
      <c r="E39" s="240"/>
      <c r="F39" s="239"/>
    </row>
    <row r="40" spans="1:8" ht="12.95" customHeight="1">
      <c r="A40" s="248" t="s">
        <v>286</v>
      </c>
      <c r="B40" s="243" t="s">
        <v>303</v>
      </c>
      <c r="C40" s="242"/>
      <c r="D40" s="241"/>
      <c r="E40" s="246">
        <f>SUM(E35:E39)+SUM(E29:E33)</f>
        <v>-2176446.6047409289</v>
      </c>
      <c r="F40" s="245">
        <f>SUM(F35:F39)+SUM(F29:F33)</f>
        <v>-1508409.3384181266</v>
      </c>
      <c r="H40" s="249"/>
    </row>
    <row r="41" spans="1:8" ht="12.95" customHeight="1">
      <c r="A41" s="248"/>
      <c r="B41" s="243"/>
      <c r="C41" s="242"/>
      <c r="D41" s="241"/>
      <c r="E41" s="240"/>
      <c r="F41" s="239"/>
    </row>
    <row r="42" spans="1:8" ht="12.95" customHeight="1">
      <c r="A42" s="247" t="s">
        <v>302</v>
      </c>
      <c r="B42" s="243" t="s">
        <v>301</v>
      </c>
      <c r="C42" s="242"/>
      <c r="D42" s="241"/>
      <c r="E42" s="246">
        <f>E12+E26+E40</f>
        <v>6247821.6300416812</v>
      </c>
      <c r="F42" s="245">
        <f>F12+F26+F40</f>
        <v>3861424.5746253575</v>
      </c>
    </row>
    <row r="43" spans="1:8" ht="12.95" customHeight="1">
      <c r="A43" s="244" t="s">
        <v>295</v>
      </c>
      <c r="B43" s="243"/>
      <c r="C43" s="242" t="s">
        <v>300</v>
      </c>
      <c r="D43" s="241"/>
      <c r="E43" s="240"/>
      <c r="F43" s="239"/>
    </row>
    <row r="44" spans="1:8" ht="12.95" customHeight="1">
      <c r="A44" s="244" t="s">
        <v>296</v>
      </c>
      <c r="B44" s="243"/>
      <c r="C44" s="242" t="s">
        <v>300</v>
      </c>
      <c r="D44" s="241"/>
      <c r="E44" s="240">
        <f>'BALANÇO INCIAL'!F31</f>
        <v>3761068.2277600002</v>
      </c>
      <c r="F44" s="239">
        <f>[7]DFC!E44</f>
        <v>1661068.2277600002</v>
      </c>
    </row>
    <row r="45" spans="1:8" ht="12.95" customHeight="1">
      <c r="A45" s="244" t="s">
        <v>297</v>
      </c>
      <c r="B45" s="243"/>
      <c r="C45" s="242" t="s">
        <v>300</v>
      </c>
      <c r="D45" s="241"/>
      <c r="E45" s="240">
        <f>'BALANÇO FINAL'!F33</f>
        <v>10008889.856162548</v>
      </c>
      <c r="F45" s="239">
        <f>[7]DFC!E45</f>
        <v>5522492.8036680743</v>
      </c>
    </row>
    <row r="46" spans="1:8" ht="12.95" customHeight="1">
      <c r="A46" s="678"/>
      <c r="B46" s="678"/>
      <c r="C46" s="678"/>
      <c r="D46" s="678"/>
      <c r="E46" s="678"/>
      <c r="F46" s="678"/>
    </row>
    <row r="47" spans="1:8" ht="12.95" customHeight="1">
      <c r="A47" s="238"/>
      <c r="B47" s="238"/>
      <c r="C47" s="238"/>
      <c r="D47" s="238"/>
      <c r="E47" s="238"/>
      <c r="F47" s="238"/>
    </row>
    <row r="48" spans="1:8" s="234" customFormat="1" ht="12.95" customHeight="1">
      <c r="A48" s="237" t="s">
        <v>299</v>
      </c>
      <c r="B48" s="233"/>
      <c r="C48" s="233"/>
      <c r="D48" s="236"/>
      <c r="E48" s="235">
        <f>E45-E44-E43-E42</f>
        <v>-1.6391333192586899E-3</v>
      </c>
      <c r="F48" s="235">
        <f>F45-F44-F43-F42</f>
        <v>1.2827166356146336E-3</v>
      </c>
    </row>
    <row r="51" spans="3:3" ht="12.95" customHeight="1">
      <c r="C51" s="233"/>
    </row>
  </sheetData>
  <mergeCells count="4">
    <mergeCell ref="A3:C4"/>
    <mergeCell ref="D3:D4"/>
    <mergeCell ref="E3:F3"/>
    <mergeCell ref="A46:F46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9" orientation="portrait" r:id="rId1"/>
  <headerFooter scaleWithDoc="0">
    <oddHeader>&amp;L&amp;8&amp;K03-048MANUAL DE PRESTAÇÃO DE CONTAS NAS SOCIEDADES COMERCIAIS&amp;R&amp;8&amp;K03-048Demonstrações financeiras do SNC: &amp;A</oddHeader>
    <oddFooter>&amp;L&amp;K03-048&amp;F&amp;R&amp;K03-048&amp;D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3:T26"/>
  <sheetViews>
    <sheetView showGridLines="0" showZeros="0" zoomScale="60" zoomScaleNormal="60" workbookViewId="0">
      <selection activeCell="A3" sqref="A3:Q26"/>
    </sheetView>
  </sheetViews>
  <sheetFormatPr defaultColWidth="36.42578125" defaultRowHeight="11.25"/>
  <cols>
    <col min="1" max="1" width="39.7109375" style="230" customWidth="1"/>
    <col min="2" max="2" width="27.42578125" style="232" customWidth="1"/>
    <col min="3" max="3" width="9.85546875" style="230" bestFit="1" customWidth="1"/>
    <col min="4" max="4" width="19.85546875" style="231" bestFit="1" customWidth="1"/>
    <col min="5" max="5" width="16.28515625" style="231" hidden="1" customWidth="1"/>
    <col min="6" max="6" width="36.140625" style="231" hidden="1" customWidth="1"/>
    <col min="7" max="7" width="13.42578125" style="231" hidden="1" customWidth="1"/>
    <col min="8" max="9" width="19" style="231" bestFit="1" customWidth="1"/>
    <col min="10" max="10" width="15" style="231" hidden="1" customWidth="1"/>
    <col min="11" max="11" width="19.85546875" style="231" hidden="1" customWidth="1"/>
    <col min="12" max="12" width="15.7109375" style="231" hidden="1" customWidth="1"/>
    <col min="13" max="13" width="22.140625" style="231" hidden="1" customWidth="1"/>
    <col min="14" max="14" width="18.7109375" style="231" bestFit="1" customWidth="1"/>
    <col min="15" max="15" width="6.5703125" style="231" bestFit="1" customWidth="1"/>
    <col min="16" max="16" width="14.7109375" style="231" bestFit="1" customWidth="1"/>
    <col min="17" max="17" width="19.5703125" style="485" bestFit="1" customWidth="1"/>
    <col min="18" max="16384" width="36.42578125" style="230"/>
  </cols>
  <sheetData>
    <row r="3" spans="1:20" ht="12">
      <c r="A3" s="255" t="s">
        <v>517</v>
      </c>
    </row>
    <row r="4" spans="1:20" ht="12">
      <c r="A4" s="254" t="s">
        <v>518</v>
      </c>
    </row>
    <row r="5" spans="1:20" ht="12.75" customHeight="1">
      <c r="A5" s="679" t="s">
        <v>458</v>
      </c>
      <c r="B5" s="680"/>
      <c r="C5" s="683" t="s">
        <v>65</v>
      </c>
      <c r="D5" s="685" t="s">
        <v>459</v>
      </c>
      <c r="E5" s="686"/>
      <c r="F5" s="686"/>
      <c r="G5" s="686"/>
      <c r="H5" s="686"/>
      <c r="I5" s="686"/>
      <c r="J5" s="686"/>
      <c r="K5" s="686"/>
      <c r="L5" s="686"/>
      <c r="M5" s="686"/>
      <c r="N5" s="686"/>
      <c r="O5" s="687"/>
      <c r="P5" s="688" t="s">
        <v>85</v>
      </c>
      <c r="Q5" s="690" t="s">
        <v>418</v>
      </c>
    </row>
    <row r="6" spans="1:20" s="486" customFormat="1" ht="54.95" customHeight="1">
      <c r="A6" s="681"/>
      <c r="B6" s="682"/>
      <c r="C6" s="684"/>
      <c r="D6" s="502" t="s">
        <v>82</v>
      </c>
      <c r="E6" s="502" t="s">
        <v>50</v>
      </c>
      <c r="F6" s="502" t="s">
        <v>460</v>
      </c>
      <c r="G6" s="502" t="s">
        <v>52</v>
      </c>
      <c r="H6" s="502" t="s">
        <v>53</v>
      </c>
      <c r="I6" s="502" t="s">
        <v>54</v>
      </c>
      <c r="J6" s="502" t="s">
        <v>55</v>
      </c>
      <c r="K6" s="502" t="s">
        <v>56</v>
      </c>
      <c r="L6" s="502" t="s">
        <v>83</v>
      </c>
      <c r="M6" s="502" t="s">
        <v>57</v>
      </c>
      <c r="N6" s="502" t="s">
        <v>84</v>
      </c>
      <c r="O6" s="502" t="s">
        <v>334</v>
      </c>
      <c r="P6" s="689"/>
      <c r="Q6" s="691"/>
    </row>
    <row r="7" spans="1:20" s="234" customFormat="1" ht="30">
      <c r="A7" s="511" t="s">
        <v>477</v>
      </c>
      <c r="B7" s="487">
        <v>6</v>
      </c>
      <c r="C7" s="503"/>
      <c r="D7" s="504"/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  <c r="P7" s="504"/>
      <c r="Q7" s="505">
        <f>O7+P7</f>
        <v>0</v>
      </c>
    </row>
    <row r="8" spans="1:20" s="234" customFormat="1" ht="19.899999999999999" customHeight="1">
      <c r="A8" s="512" t="s">
        <v>461</v>
      </c>
      <c r="B8" s="243"/>
      <c r="C8" s="506"/>
      <c r="D8" s="507"/>
      <c r="E8" s="507"/>
      <c r="F8" s="507"/>
      <c r="G8" s="507"/>
      <c r="H8" s="507"/>
      <c r="I8" s="507"/>
      <c r="J8" s="507"/>
      <c r="K8" s="507"/>
      <c r="L8" s="507"/>
      <c r="M8" s="507"/>
      <c r="N8" s="507"/>
      <c r="O8" s="507"/>
      <c r="P8" s="507"/>
      <c r="Q8" s="508"/>
    </row>
    <row r="9" spans="1:20" ht="30">
      <c r="A9" s="513" t="s">
        <v>462</v>
      </c>
      <c r="B9" s="488"/>
      <c r="C9" s="506"/>
      <c r="D9" s="507"/>
      <c r="E9" s="507"/>
      <c r="F9" s="507"/>
      <c r="G9" s="507"/>
      <c r="H9" s="507"/>
      <c r="I9" s="507"/>
      <c r="J9" s="507"/>
      <c r="K9" s="507"/>
      <c r="L9" s="507"/>
      <c r="M9" s="507"/>
      <c r="N9" s="507"/>
      <c r="O9" s="507"/>
      <c r="P9" s="507"/>
      <c r="Q9" s="508">
        <f t="shared" ref="Q9:Q15" si="0">O9+P9</f>
        <v>0</v>
      </c>
      <c r="T9" s="501"/>
    </row>
    <row r="10" spans="1:20" ht="30">
      <c r="A10" s="513" t="s">
        <v>463</v>
      </c>
      <c r="B10" s="488"/>
      <c r="C10" s="506"/>
      <c r="D10" s="507"/>
      <c r="E10" s="507"/>
      <c r="F10" s="507"/>
      <c r="G10" s="507"/>
      <c r="H10" s="507"/>
      <c r="I10" s="507"/>
      <c r="J10" s="507"/>
      <c r="K10" s="507"/>
      <c r="L10" s="507"/>
      <c r="M10" s="507"/>
      <c r="N10" s="507"/>
      <c r="O10" s="507"/>
      <c r="P10" s="507"/>
      <c r="Q10" s="508">
        <f t="shared" si="0"/>
        <v>0</v>
      </c>
    </row>
    <row r="11" spans="1:20" ht="30">
      <c r="A11" s="513" t="s">
        <v>464</v>
      </c>
      <c r="B11" s="488"/>
      <c r="C11" s="506"/>
      <c r="D11" s="507"/>
      <c r="E11" s="507"/>
      <c r="F11" s="507"/>
      <c r="G11" s="507"/>
      <c r="H11" s="507"/>
      <c r="I11" s="507"/>
      <c r="J11" s="507"/>
      <c r="K11" s="507"/>
      <c r="L11" s="507"/>
      <c r="M11" s="507"/>
      <c r="N11" s="507"/>
      <c r="O11" s="507"/>
      <c r="P11" s="507"/>
      <c r="Q11" s="508">
        <f t="shared" si="0"/>
        <v>0</v>
      </c>
    </row>
    <row r="12" spans="1:20" ht="45">
      <c r="A12" s="513" t="s">
        <v>465</v>
      </c>
      <c r="B12" s="488"/>
      <c r="C12" s="506"/>
      <c r="D12" s="507"/>
      <c r="E12" s="507"/>
      <c r="F12" s="507"/>
      <c r="G12" s="507"/>
      <c r="H12" s="507"/>
      <c r="I12" s="507"/>
      <c r="J12" s="507"/>
      <c r="K12" s="507"/>
      <c r="L12" s="507"/>
      <c r="M12" s="507"/>
      <c r="N12" s="507"/>
      <c r="O12" s="507"/>
      <c r="P12" s="507"/>
      <c r="Q12" s="508">
        <f t="shared" si="0"/>
        <v>0</v>
      </c>
    </row>
    <row r="13" spans="1:20" ht="45">
      <c r="A13" s="513" t="s">
        <v>466</v>
      </c>
      <c r="B13" s="488"/>
      <c r="C13" s="506"/>
      <c r="D13" s="507"/>
      <c r="E13" s="507"/>
      <c r="F13" s="507"/>
      <c r="G13" s="507"/>
      <c r="H13" s="507"/>
      <c r="I13" s="507"/>
      <c r="J13" s="507"/>
      <c r="K13" s="507"/>
      <c r="L13" s="507"/>
      <c r="M13" s="507"/>
      <c r="N13" s="507"/>
      <c r="O13" s="507"/>
      <c r="P13" s="507"/>
      <c r="Q13" s="508">
        <f t="shared" si="0"/>
        <v>0</v>
      </c>
    </row>
    <row r="14" spans="1:20" ht="30">
      <c r="A14" s="513" t="s">
        <v>467</v>
      </c>
      <c r="B14" s="488"/>
      <c r="C14" s="506"/>
      <c r="D14" s="507"/>
      <c r="E14" s="507"/>
      <c r="F14" s="507"/>
      <c r="G14" s="507"/>
      <c r="H14" s="507"/>
      <c r="I14" s="507"/>
      <c r="J14" s="507"/>
      <c r="K14" s="507"/>
      <c r="L14" s="507"/>
      <c r="M14" s="507"/>
      <c r="N14" s="507"/>
      <c r="O14" s="507"/>
      <c r="P14" s="507"/>
      <c r="Q14" s="508">
        <f t="shared" si="0"/>
        <v>0</v>
      </c>
    </row>
    <row r="15" spans="1:20" ht="30">
      <c r="A15" s="513" t="s">
        <v>468</v>
      </c>
      <c r="B15" s="488"/>
      <c r="C15" s="506"/>
      <c r="D15" s="507"/>
      <c r="E15" s="507"/>
      <c r="F15" s="507"/>
      <c r="G15" s="507"/>
      <c r="H15" s="507"/>
      <c r="I15" s="507"/>
      <c r="J15" s="507"/>
      <c r="K15" s="507"/>
      <c r="L15" s="507"/>
      <c r="M15" s="507"/>
      <c r="N15" s="507"/>
      <c r="O15" s="507"/>
      <c r="P15" s="507"/>
      <c r="Q15" s="508">
        <f t="shared" si="0"/>
        <v>0</v>
      </c>
    </row>
    <row r="16" spans="1:20" s="234" customFormat="1" ht="19.899999999999999" customHeight="1">
      <c r="A16" s="512"/>
      <c r="B16" s="243">
        <v>7</v>
      </c>
      <c r="C16" s="506"/>
      <c r="D16" s="504">
        <f>SUM(D9:D15)</f>
        <v>0</v>
      </c>
      <c r="E16" s="504">
        <f>SUM(E9:E15)</f>
        <v>0</v>
      </c>
      <c r="F16" s="504">
        <f t="shared" ref="F16:P16" si="1">SUM(F9:F15)</f>
        <v>0</v>
      </c>
      <c r="G16" s="504">
        <f t="shared" si="1"/>
        <v>0</v>
      </c>
      <c r="H16" s="504">
        <f t="shared" si="1"/>
        <v>0</v>
      </c>
      <c r="I16" s="504">
        <f t="shared" si="1"/>
        <v>0</v>
      </c>
      <c r="J16" s="504">
        <f t="shared" si="1"/>
        <v>0</v>
      </c>
      <c r="K16" s="504">
        <f>SUM(K9:K15)</f>
        <v>0</v>
      </c>
      <c r="L16" s="504">
        <f t="shared" si="1"/>
        <v>0</v>
      </c>
      <c r="M16" s="504">
        <f t="shared" si="1"/>
        <v>0</v>
      </c>
      <c r="N16" s="504">
        <f t="shared" si="1"/>
        <v>0</v>
      </c>
      <c r="O16" s="504">
        <f t="shared" si="1"/>
        <v>0</v>
      </c>
      <c r="P16" s="504">
        <f t="shared" si="1"/>
        <v>0</v>
      </c>
      <c r="Q16" s="505">
        <f>SUM(Q9:Q15)</f>
        <v>0</v>
      </c>
    </row>
    <row r="17" spans="1:17" s="234" customFormat="1" ht="30">
      <c r="A17" s="512" t="s">
        <v>469</v>
      </c>
      <c r="B17" s="243">
        <v>8</v>
      </c>
      <c r="C17" s="506"/>
      <c r="D17" s="507"/>
      <c r="E17" s="507"/>
      <c r="F17" s="507"/>
      <c r="G17" s="507"/>
      <c r="H17" s="507"/>
      <c r="I17" s="507"/>
      <c r="J17" s="507"/>
      <c r="K17" s="507"/>
      <c r="L17" s="507"/>
      <c r="M17" s="507"/>
      <c r="N17" s="507"/>
      <c r="O17" s="507"/>
      <c r="P17" s="507">
        <f>'Balanço '!F45</f>
        <v>0</v>
      </c>
      <c r="Q17" s="508"/>
    </row>
    <row r="18" spans="1:17" s="234" customFormat="1" ht="19.899999999999999" customHeight="1">
      <c r="A18" s="512" t="s">
        <v>470</v>
      </c>
      <c r="B18" s="243" t="s">
        <v>478</v>
      </c>
      <c r="C18" s="506"/>
      <c r="D18" s="507"/>
      <c r="E18" s="507"/>
      <c r="F18" s="507"/>
      <c r="G18" s="507"/>
      <c r="H18" s="507"/>
      <c r="I18" s="507"/>
      <c r="J18" s="507"/>
      <c r="K18" s="507"/>
      <c r="L18" s="507"/>
      <c r="M18" s="507"/>
      <c r="N18" s="504">
        <f>N16+N17</f>
        <v>0</v>
      </c>
      <c r="O18" s="504">
        <f>O16+O17</f>
        <v>0</v>
      </c>
      <c r="P18" s="504">
        <f>P16+P17</f>
        <v>0</v>
      </c>
      <c r="Q18" s="505">
        <f>O18</f>
        <v>0</v>
      </c>
    </row>
    <row r="19" spans="1:17" s="234" customFormat="1" ht="30">
      <c r="A19" s="512" t="s">
        <v>471</v>
      </c>
      <c r="B19" s="243"/>
      <c r="C19" s="506"/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8"/>
    </row>
    <row r="20" spans="1:17" ht="19.899999999999999" customHeight="1">
      <c r="A20" s="513" t="s">
        <v>472</v>
      </c>
      <c r="B20" s="488"/>
      <c r="C20" s="506"/>
      <c r="D20" s="507">
        <f>'Balanço '!D35</f>
        <v>3000000</v>
      </c>
      <c r="E20" s="507"/>
      <c r="F20" s="507"/>
      <c r="G20" s="507"/>
      <c r="H20" s="507"/>
      <c r="I20" s="507"/>
      <c r="J20" s="507"/>
      <c r="K20" s="507"/>
      <c r="L20" s="507"/>
      <c r="M20" s="507"/>
      <c r="N20" s="507">
        <f>'DRN '!E27</f>
        <v>7111134.4646666646</v>
      </c>
      <c r="O20" s="507"/>
      <c r="P20" s="507"/>
      <c r="Q20" s="508">
        <f>SUM(D20:P20)</f>
        <v>10111134.464666665</v>
      </c>
    </row>
    <row r="21" spans="1:17" ht="15">
      <c r="A21" s="513" t="s">
        <v>473</v>
      </c>
      <c r="B21" s="488"/>
      <c r="C21" s="506"/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8">
        <f>O21+P21</f>
        <v>0</v>
      </c>
    </row>
    <row r="22" spans="1:17" ht="15">
      <c r="A22" s="513" t="s">
        <v>474</v>
      </c>
      <c r="B22" s="488"/>
      <c r="C22" s="506"/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8">
        <f>O22+P22</f>
        <v>0</v>
      </c>
    </row>
    <row r="23" spans="1:17" ht="15">
      <c r="A23" s="513" t="s">
        <v>475</v>
      </c>
      <c r="B23" s="488"/>
      <c r="C23" s="506"/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8">
        <f>O23+P23</f>
        <v>0</v>
      </c>
    </row>
    <row r="24" spans="1:17" ht="19.899999999999999" customHeight="1">
      <c r="A24" s="513" t="s">
        <v>476</v>
      </c>
      <c r="B24" s="488"/>
      <c r="C24" s="506"/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8">
        <f>O24+P24</f>
        <v>0</v>
      </c>
    </row>
    <row r="25" spans="1:17" ht="19.899999999999999" customHeight="1">
      <c r="A25" s="514"/>
      <c r="B25" s="243">
        <v>10</v>
      </c>
      <c r="C25" s="506"/>
      <c r="D25" s="504">
        <f>SUM(D20:D24)</f>
        <v>3000000</v>
      </c>
      <c r="E25" s="504">
        <f t="shared" ref="E25:O25" si="2">SUM(E20:E24)</f>
        <v>0</v>
      </c>
      <c r="F25" s="504">
        <f t="shared" si="2"/>
        <v>0</v>
      </c>
      <c r="G25" s="504">
        <f t="shared" si="2"/>
        <v>0</v>
      </c>
      <c r="H25" s="504">
        <f>SUM(H20:H24)</f>
        <v>0</v>
      </c>
      <c r="I25" s="504">
        <f>SUM(I20:I24)</f>
        <v>0</v>
      </c>
      <c r="J25" s="504">
        <f t="shared" si="2"/>
        <v>0</v>
      </c>
      <c r="K25" s="504">
        <f t="shared" si="2"/>
        <v>0</v>
      </c>
      <c r="L25" s="504">
        <f>SUM(L20:L24)</f>
        <v>0</v>
      </c>
      <c r="M25" s="504">
        <f t="shared" si="2"/>
        <v>0</v>
      </c>
      <c r="N25" s="504">
        <f>SUM(N20:N24)</f>
        <v>7111134.4646666646</v>
      </c>
      <c r="O25" s="504">
        <f t="shared" si="2"/>
        <v>0</v>
      </c>
      <c r="P25" s="504">
        <f>SUM(P20:P24)</f>
        <v>0</v>
      </c>
      <c r="Q25" s="505">
        <f>SUM(Q20:Q24)</f>
        <v>10111134.464666665</v>
      </c>
    </row>
    <row r="26" spans="1:17" s="234" customFormat="1" ht="30">
      <c r="A26" s="512" t="s">
        <v>479</v>
      </c>
      <c r="B26" s="243" t="s">
        <v>480</v>
      </c>
      <c r="C26" s="506"/>
      <c r="D26" s="509">
        <f>SUM(D7,D16,D17,D18,D25)</f>
        <v>3000000</v>
      </c>
      <c r="E26" s="509">
        <f>E7+E16+E17+E25</f>
        <v>0</v>
      </c>
      <c r="F26" s="509">
        <f t="shared" ref="F26:P26" si="3">F7+F16+F17+F25</f>
        <v>0</v>
      </c>
      <c r="G26" s="509">
        <f t="shared" si="3"/>
        <v>0</v>
      </c>
      <c r="H26" s="509">
        <f>'Balanço '!D39</f>
        <v>355556.72323333332</v>
      </c>
      <c r="I26" s="509">
        <f>'Balanço '!D40</f>
        <v>355556.72323333332</v>
      </c>
      <c r="J26" s="509">
        <f>J7+J16+J17+J25</f>
        <v>0</v>
      </c>
      <c r="K26" s="509">
        <f t="shared" si="3"/>
        <v>0</v>
      </c>
      <c r="L26" s="509">
        <f t="shared" si="3"/>
        <v>0</v>
      </c>
      <c r="M26" s="509">
        <f t="shared" si="3"/>
        <v>0</v>
      </c>
      <c r="N26" s="509">
        <f>'Balanço '!D41</f>
        <v>6400021.0181999998</v>
      </c>
      <c r="O26" s="509"/>
      <c r="P26" s="509">
        <f t="shared" si="3"/>
        <v>0</v>
      </c>
      <c r="Q26" s="510">
        <f>SUM(D26:P26)</f>
        <v>10111134.464666666</v>
      </c>
    </row>
  </sheetData>
  <mergeCells count="5">
    <mergeCell ref="A5:B6"/>
    <mergeCell ref="C5:C6"/>
    <mergeCell ref="D5:O5"/>
    <mergeCell ref="P5:P6"/>
    <mergeCell ref="Q5:Q6"/>
  </mergeCells>
  <printOptions horizontalCentered="1" verticalCentered="1"/>
  <pageMargins left="0" right="0.78740157480314965" top="0.78740157480314965" bottom="0.78740157480314965" header="0.14895833333333333" footer="0.39370078740157483"/>
  <pageSetup paperSize="9" scale="29" orientation="portrait" r:id="rId1"/>
  <headerFooter scaleWithDoc="0">
    <oddHeader>&amp;L&amp;8&amp;K03-047MANUAL DE PRESTAÇÃO DE CONTAS NAS SOCIEDADES COMERCIAIS&amp;R&amp;8&amp;K03-047Demonstrações financeiras do SNC: &amp;A</oddHeader>
    <oddFooter>&amp;L&amp;K03-048&amp;F&amp;R&amp;K03-048&amp;D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Q242"/>
  <sheetViews>
    <sheetView topLeftCell="A19" zoomScaleNormal="100" workbookViewId="0">
      <selection activeCell="AN15" sqref="AN15"/>
    </sheetView>
  </sheetViews>
  <sheetFormatPr defaultColWidth="2.7109375" defaultRowHeight="12.75"/>
  <cols>
    <col min="1" max="1" width="1" style="529" customWidth="1"/>
    <col min="2" max="8" width="2.7109375" style="529" customWidth="1"/>
    <col min="9" max="9" width="2.28515625" style="529" customWidth="1"/>
    <col min="10" max="16" width="2.7109375" style="529" customWidth="1"/>
    <col min="17" max="17" width="2.5703125" style="529" customWidth="1"/>
    <col min="18" max="20" width="2.7109375" style="529" customWidth="1"/>
    <col min="21" max="21" width="4.85546875" style="529" customWidth="1"/>
    <col min="22" max="22" width="2.7109375" style="529" customWidth="1"/>
    <col min="23" max="23" width="2.5703125" style="529" customWidth="1"/>
    <col min="24" max="30" width="2.7109375" style="529" customWidth="1"/>
    <col min="31" max="31" width="2.5703125" style="529" bestFit="1" customWidth="1"/>
    <col min="32" max="34" width="2.7109375" style="529" customWidth="1"/>
    <col min="35" max="35" width="2.5703125" style="529" bestFit="1" customWidth="1"/>
    <col min="36" max="36" width="6" style="529" customWidth="1"/>
    <col min="37" max="37" width="0.85546875" style="529" customWidth="1"/>
    <col min="38" max="42" width="2.7109375" style="529"/>
    <col min="43" max="43" width="16.28515625" style="529" bestFit="1" customWidth="1"/>
    <col min="44" max="256" width="2.7109375" style="529"/>
    <col min="257" max="257" width="1" style="529" customWidth="1"/>
    <col min="258" max="264" width="2.7109375" style="529" customWidth="1"/>
    <col min="265" max="265" width="2.28515625" style="529" customWidth="1"/>
    <col min="266" max="272" width="2.7109375" style="529" customWidth="1"/>
    <col min="273" max="273" width="2.5703125" style="529" customWidth="1"/>
    <col min="274" max="278" width="2.7109375" style="529" customWidth="1"/>
    <col min="279" max="279" width="2.5703125" style="529" customWidth="1"/>
    <col min="280" max="290" width="2.7109375" style="529" customWidth="1"/>
    <col min="291" max="291" width="4.28515625" style="529" customWidth="1"/>
    <col min="292" max="292" width="2.85546875" style="529" customWidth="1"/>
    <col min="293" max="293" width="0.85546875" style="529" customWidth="1"/>
    <col min="294" max="512" width="2.7109375" style="529"/>
    <col min="513" max="513" width="1" style="529" customWidth="1"/>
    <col min="514" max="520" width="2.7109375" style="529" customWidth="1"/>
    <col min="521" max="521" width="2.28515625" style="529" customWidth="1"/>
    <col min="522" max="528" width="2.7109375" style="529" customWidth="1"/>
    <col min="529" max="529" width="2.5703125" style="529" customWidth="1"/>
    <col min="530" max="534" width="2.7109375" style="529" customWidth="1"/>
    <col min="535" max="535" width="2.5703125" style="529" customWidth="1"/>
    <col min="536" max="546" width="2.7109375" style="529" customWidth="1"/>
    <col min="547" max="547" width="4.28515625" style="529" customWidth="1"/>
    <col min="548" max="548" width="2.85546875" style="529" customWidth="1"/>
    <col min="549" max="549" width="0.85546875" style="529" customWidth="1"/>
    <col min="550" max="768" width="2.7109375" style="529"/>
    <col min="769" max="769" width="1" style="529" customWidth="1"/>
    <col min="770" max="776" width="2.7109375" style="529" customWidth="1"/>
    <col min="777" max="777" width="2.28515625" style="529" customWidth="1"/>
    <col min="778" max="784" width="2.7109375" style="529" customWidth="1"/>
    <col min="785" max="785" width="2.5703125" style="529" customWidth="1"/>
    <col min="786" max="790" width="2.7109375" style="529" customWidth="1"/>
    <col min="791" max="791" width="2.5703125" style="529" customWidth="1"/>
    <col min="792" max="802" width="2.7109375" style="529" customWidth="1"/>
    <col min="803" max="803" width="4.28515625" style="529" customWidth="1"/>
    <col min="804" max="804" width="2.85546875" style="529" customWidth="1"/>
    <col min="805" max="805" width="0.85546875" style="529" customWidth="1"/>
    <col min="806" max="1024" width="2.7109375" style="529"/>
    <col min="1025" max="1025" width="1" style="529" customWidth="1"/>
    <col min="1026" max="1032" width="2.7109375" style="529" customWidth="1"/>
    <col min="1033" max="1033" width="2.28515625" style="529" customWidth="1"/>
    <col min="1034" max="1040" width="2.7109375" style="529" customWidth="1"/>
    <col min="1041" max="1041" width="2.5703125" style="529" customWidth="1"/>
    <col min="1042" max="1046" width="2.7109375" style="529" customWidth="1"/>
    <col min="1047" max="1047" width="2.5703125" style="529" customWidth="1"/>
    <col min="1048" max="1058" width="2.7109375" style="529" customWidth="1"/>
    <col min="1059" max="1059" width="4.28515625" style="529" customWidth="1"/>
    <col min="1060" max="1060" width="2.85546875" style="529" customWidth="1"/>
    <col min="1061" max="1061" width="0.85546875" style="529" customWidth="1"/>
    <col min="1062" max="1280" width="2.7109375" style="529"/>
    <col min="1281" max="1281" width="1" style="529" customWidth="1"/>
    <col min="1282" max="1288" width="2.7109375" style="529" customWidth="1"/>
    <col min="1289" max="1289" width="2.28515625" style="529" customWidth="1"/>
    <col min="1290" max="1296" width="2.7109375" style="529" customWidth="1"/>
    <col min="1297" max="1297" width="2.5703125" style="529" customWidth="1"/>
    <col min="1298" max="1302" width="2.7109375" style="529" customWidth="1"/>
    <col min="1303" max="1303" width="2.5703125" style="529" customWidth="1"/>
    <col min="1304" max="1314" width="2.7109375" style="529" customWidth="1"/>
    <col min="1315" max="1315" width="4.28515625" style="529" customWidth="1"/>
    <col min="1316" max="1316" width="2.85546875" style="529" customWidth="1"/>
    <col min="1317" max="1317" width="0.85546875" style="529" customWidth="1"/>
    <col min="1318" max="1536" width="2.7109375" style="529"/>
    <col min="1537" max="1537" width="1" style="529" customWidth="1"/>
    <col min="1538" max="1544" width="2.7109375" style="529" customWidth="1"/>
    <col min="1545" max="1545" width="2.28515625" style="529" customWidth="1"/>
    <col min="1546" max="1552" width="2.7109375" style="529" customWidth="1"/>
    <col min="1553" max="1553" width="2.5703125" style="529" customWidth="1"/>
    <col min="1554" max="1558" width="2.7109375" style="529" customWidth="1"/>
    <col min="1559" max="1559" width="2.5703125" style="529" customWidth="1"/>
    <col min="1560" max="1570" width="2.7109375" style="529" customWidth="1"/>
    <col min="1571" max="1571" width="4.28515625" style="529" customWidth="1"/>
    <col min="1572" max="1572" width="2.85546875" style="529" customWidth="1"/>
    <col min="1573" max="1573" width="0.85546875" style="529" customWidth="1"/>
    <col min="1574" max="1792" width="2.7109375" style="529"/>
    <col min="1793" max="1793" width="1" style="529" customWidth="1"/>
    <col min="1794" max="1800" width="2.7109375" style="529" customWidth="1"/>
    <col min="1801" max="1801" width="2.28515625" style="529" customWidth="1"/>
    <col min="1802" max="1808" width="2.7109375" style="529" customWidth="1"/>
    <col min="1809" max="1809" width="2.5703125" style="529" customWidth="1"/>
    <col min="1810" max="1814" width="2.7109375" style="529" customWidth="1"/>
    <col min="1815" max="1815" width="2.5703125" style="529" customWidth="1"/>
    <col min="1816" max="1826" width="2.7109375" style="529" customWidth="1"/>
    <col min="1827" max="1827" width="4.28515625" style="529" customWidth="1"/>
    <col min="1828" max="1828" width="2.85546875" style="529" customWidth="1"/>
    <col min="1829" max="1829" width="0.85546875" style="529" customWidth="1"/>
    <col min="1830" max="2048" width="2.7109375" style="529"/>
    <col min="2049" max="2049" width="1" style="529" customWidth="1"/>
    <col min="2050" max="2056" width="2.7109375" style="529" customWidth="1"/>
    <col min="2057" max="2057" width="2.28515625" style="529" customWidth="1"/>
    <col min="2058" max="2064" width="2.7109375" style="529" customWidth="1"/>
    <col min="2065" max="2065" width="2.5703125" style="529" customWidth="1"/>
    <col min="2066" max="2070" width="2.7109375" style="529" customWidth="1"/>
    <col min="2071" max="2071" width="2.5703125" style="529" customWidth="1"/>
    <col min="2072" max="2082" width="2.7109375" style="529" customWidth="1"/>
    <col min="2083" max="2083" width="4.28515625" style="529" customWidth="1"/>
    <col min="2084" max="2084" width="2.85546875" style="529" customWidth="1"/>
    <col min="2085" max="2085" width="0.85546875" style="529" customWidth="1"/>
    <col min="2086" max="2304" width="2.7109375" style="529"/>
    <col min="2305" max="2305" width="1" style="529" customWidth="1"/>
    <col min="2306" max="2312" width="2.7109375" style="529" customWidth="1"/>
    <col min="2313" max="2313" width="2.28515625" style="529" customWidth="1"/>
    <col min="2314" max="2320" width="2.7109375" style="529" customWidth="1"/>
    <col min="2321" max="2321" width="2.5703125" style="529" customWidth="1"/>
    <col min="2322" max="2326" width="2.7109375" style="529" customWidth="1"/>
    <col min="2327" max="2327" width="2.5703125" style="529" customWidth="1"/>
    <col min="2328" max="2338" width="2.7109375" style="529" customWidth="1"/>
    <col min="2339" max="2339" width="4.28515625" style="529" customWidth="1"/>
    <col min="2340" max="2340" width="2.85546875" style="529" customWidth="1"/>
    <col min="2341" max="2341" width="0.85546875" style="529" customWidth="1"/>
    <col min="2342" max="2560" width="2.7109375" style="529"/>
    <col min="2561" max="2561" width="1" style="529" customWidth="1"/>
    <col min="2562" max="2568" width="2.7109375" style="529" customWidth="1"/>
    <col min="2569" max="2569" width="2.28515625" style="529" customWidth="1"/>
    <col min="2570" max="2576" width="2.7109375" style="529" customWidth="1"/>
    <col min="2577" max="2577" width="2.5703125" style="529" customWidth="1"/>
    <col min="2578" max="2582" width="2.7109375" style="529" customWidth="1"/>
    <col min="2583" max="2583" width="2.5703125" style="529" customWidth="1"/>
    <col min="2584" max="2594" width="2.7109375" style="529" customWidth="1"/>
    <col min="2595" max="2595" width="4.28515625" style="529" customWidth="1"/>
    <col min="2596" max="2596" width="2.85546875" style="529" customWidth="1"/>
    <col min="2597" max="2597" width="0.85546875" style="529" customWidth="1"/>
    <col min="2598" max="2816" width="2.7109375" style="529"/>
    <col min="2817" max="2817" width="1" style="529" customWidth="1"/>
    <col min="2818" max="2824" width="2.7109375" style="529" customWidth="1"/>
    <col min="2825" max="2825" width="2.28515625" style="529" customWidth="1"/>
    <col min="2826" max="2832" width="2.7109375" style="529" customWidth="1"/>
    <col min="2833" max="2833" width="2.5703125" style="529" customWidth="1"/>
    <col min="2834" max="2838" width="2.7109375" style="529" customWidth="1"/>
    <col min="2839" max="2839" width="2.5703125" style="529" customWidth="1"/>
    <col min="2840" max="2850" width="2.7109375" style="529" customWidth="1"/>
    <col min="2851" max="2851" width="4.28515625" style="529" customWidth="1"/>
    <col min="2852" max="2852" width="2.85546875" style="529" customWidth="1"/>
    <col min="2853" max="2853" width="0.85546875" style="529" customWidth="1"/>
    <col min="2854" max="3072" width="2.7109375" style="529"/>
    <col min="3073" max="3073" width="1" style="529" customWidth="1"/>
    <col min="3074" max="3080" width="2.7109375" style="529" customWidth="1"/>
    <col min="3081" max="3081" width="2.28515625" style="529" customWidth="1"/>
    <col min="3082" max="3088" width="2.7109375" style="529" customWidth="1"/>
    <col min="3089" max="3089" width="2.5703125" style="529" customWidth="1"/>
    <col min="3090" max="3094" width="2.7109375" style="529" customWidth="1"/>
    <col min="3095" max="3095" width="2.5703125" style="529" customWidth="1"/>
    <col min="3096" max="3106" width="2.7109375" style="529" customWidth="1"/>
    <col min="3107" max="3107" width="4.28515625" style="529" customWidth="1"/>
    <col min="3108" max="3108" width="2.85546875" style="529" customWidth="1"/>
    <col min="3109" max="3109" width="0.85546875" style="529" customWidth="1"/>
    <col min="3110" max="3328" width="2.7109375" style="529"/>
    <col min="3329" max="3329" width="1" style="529" customWidth="1"/>
    <col min="3330" max="3336" width="2.7109375" style="529" customWidth="1"/>
    <col min="3337" max="3337" width="2.28515625" style="529" customWidth="1"/>
    <col min="3338" max="3344" width="2.7109375" style="529" customWidth="1"/>
    <col min="3345" max="3345" width="2.5703125" style="529" customWidth="1"/>
    <col min="3346" max="3350" width="2.7109375" style="529" customWidth="1"/>
    <col min="3351" max="3351" width="2.5703125" style="529" customWidth="1"/>
    <col min="3352" max="3362" width="2.7109375" style="529" customWidth="1"/>
    <col min="3363" max="3363" width="4.28515625" style="529" customWidth="1"/>
    <col min="3364" max="3364" width="2.85546875" style="529" customWidth="1"/>
    <col min="3365" max="3365" width="0.85546875" style="529" customWidth="1"/>
    <col min="3366" max="3584" width="2.7109375" style="529"/>
    <col min="3585" max="3585" width="1" style="529" customWidth="1"/>
    <col min="3586" max="3592" width="2.7109375" style="529" customWidth="1"/>
    <col min="3593" max="3593" width="2.28515625" style="529" customWidth="1"/>
    <col min="3594" max="3600" width="2.7109375" style="529" customWidth="1"/>
    <col min="3601" max="3601" width="2.5703125" style="529" customWidth="1"/>
    <col min="3602" max="3606" width="2.7109375" style="529" customWidth="1"/>
    <col min="3607" max="3607" width="2.5703125" style="529" customWidth="1"/>
    <col min="3608" max="3618" width="2.7109375" style="529" customWidth="1"/>
    <col min="3619" max="3619" width="4.28515625" style="529" customWidth="1"/>
    <col min="3620" max="3620" width="2.85546875" style="529" customWidth="1"/>
    <col min="3621" max="3621" width="0.85546875" style="529" customWidth="1"/>
    <col min="3622" max="3840" width="2.7109375" style="529"/>
    <col min="3841" max="3841" width="1" style="529" customWidth="1"/>
    <col min="3842" max="3848" width="2.7109375" style="529" customWidth="1"/>
    <col min="3849" max="3849" width="2.28515625" style="529" customWidth="1"/>
    <col min="3850" max="3856" width="2.7109375" style="529" customWidth="1"/>
    <col min="3857" max="3857" width="2.5703125" style="529" customWidth="1"/>
    <col min="3858" max="3862" width="2.7109375" style="529" customWidth="1"/>
    <col min="3863" max="3863" width="2.5703125" style="529" customWidth="1"/>
    <col min="3864" max="3874" width="2.7109375" style="529" customWidth="1"/>
    <col min="3875" max="3875" width="4.28515625" style="529" customWidth="1"/>
    <col min="3876" max="3876" width="2.85546875" style="529" customWidth="1"/>
    <col min="3877" max="3877" width="0.85546875" style="529" customWidth="1"/>
    <col min="3878" max="4096" width="2.7109375" style="529"/>
    <col min="4097" max="4097" width="1" style="529" customWidth="1"/>
    <col min="4098" max="4104" width="2.7109375" style="529" customWidth="1"/>
    <col min="4105" max="4105" width="2.28515625" style="529" customWidth="1"/>
    <col min="4106" max="4112" width="2.7109375" style="529" customWidth="1"/>
    <col min="4113" max="4113" width="2.5703125" style="529" customWidth="1"/>
    <col min="4114" max="4118" width="2.7109375" style="529" customWidth="1"/>
    <col min="4119" max="4119" width="2.5703125" style="529" customWidth="1"/>
    <col min="4120" max="4130" width="2.7109375" style="529" customWidth="1"/>
    <col min="4131" max="4131" width="4.28515625" style="529" customWidth="1"/>
    <col min="4132" max="4132" width="2.85546875" style="529" customWidth="1"/>
    <col min="4133" max="4133" width="0.85546875" style="529" customWidth="1"/>
    <col min="4134" max="4352" width="2.7109375" style="529"/>
    <col min="4353" max="4353" width="1" style="529" customWidth="1"/>
    <col min="4354" max="4360" width="2.7109375" style="529" customWidth="1"/>
    <col min="4361" max="4361" width="2.28515625" style="529" customWidth="1"/>
    <col min="4362" max="4368" width="2.7109375" style="529" customWidth="1"/>
    <col min="4369" max="4369" width="2.5703125" style="529" customWidth="1"/>
    <col min="4370" max="4374" width="2.7109375" style="529" customWidth="1"/>
    <col min="4375" max="4375" width="2.5703125" style="529" customWidth="1"/>
    <col min="4376" max="4386" width="2.7109375" style="529" customWidth="1"/>
    <col min="4387" max="4387" width="4.28515625" style="529" customWidth="1"/>
    <col min="4388" max="4388" width="2.85546875" style="529" customWidth="1"/>
    <col min="4389" max="4389" width="0.85546875" style="529" customWidth="1"/>
    <col min="4390" max="4608" width="2.7109375" style="529"/>
    <col min="4609" max="4609" width="1" style="529" customWidth="1"/>
    <col min="4610" max="4616" width="2.7109375" style="529" customWidth="1"/>
    <col min="4617" max="4617" width="2.28515625" style="529" customWidth="1"/>
    <col min="4618" max="4624" width="2.7109375" style="529" customWidth="1"/>
    <col min="4625" max="4625" width="2.5703125" style="529" customWidth="1"/>
    <col min="4626" max="4630" width="2.7109375" style="529" customWidth="1"/>
    <col min="4631" max="4631" width="2.5703125" style="529" customWidth="1"/>
    <col min="4632" max="4642" width="2.7109375" style="529" customWidth="1"/>
    <col min="4643" max="4643" width="4.28515625" style="529" customWidth="1"/>
    <col min="4644" max="4644" width="2.85546875" style="529" customWidth="1"/>
    <col min="4645" max="4645" width="0.85546875" style="529" customWidth="1"/>
    <col min="4646" max="4864" width="2.7109375" style="529"/>
    <col min="4865" max="4865" width="1" style="529" customWidth="1"/>
    <col min="4866" max="4872" width="2.7109375" style="529" customWidth="1"/>
    <col min="4873" max="4873" width="2.28515625" style="529" customWidth="1"/>
    <col min="4874" max="4880" width="2.7109375" style="529" customWidth="1"/>
    <col min="4881" max="4881" width="2.5703125" style="529" customWidth="1"/>
    <col min="4882" max="4886" width="2.7109375" style="529" customWidth="1"/>
    <col min="4887" max="4887" width="2.5703125" style="529" customWidth="1"/>
    <col min="4888" max="4898" width="2.7109375" style="529" customWidth="1"/>
    <col min="4899" max="4899" width="4.28515625" style="529" customWidth="1"/>
    <col min="4900" max="4900" width="2.85546875" style="529" customWidth="1"/>
    <col min="4901" max="4901" width="0.85546875" style="529" customWidth="1"/>
    <col min="4902" max="5120" width="2.7109375" style="529"/>
    <col min="5121" max="5121" width="1" style="529" customWidth="1"/>
    <col min="5122" max="5128" width="2.7109375" style="529" customWidth="1"/>
    <col min="5129" max="5129" width="2.28515625" style="529" customWidth="1"/>
    <col min="5130" max="5136" width="2.7109375" style="529" customWidth="1"/>
    <col min="5137" max="5137" width="2.5703125" style="529" customWidth="1"/>
    <col min="5138" max="5142" width="2.7109375" style="529" customWidth="1"/>
    <col min="5143" max="5143" width="2.5703125" style="529" customWidth="1"/>
    <col min="5144" max="5154" width="2.7109375" style="529" customWidth="1"/>
    <col min="5155" max="5155" width="4.28515625" style="529" customWidth="1"/>
    <col min="5156" max="5156" width="2.85546875" style="529" customWidth="1"/>
    <col min="5157" max="5157" width="0.85546875" style="529" customWidth="1"/>
    <col min="5158" max="5376" width="2.7109375" style="529"/>
    <col min="5377" max="5377" width="1" style="529" customWidth="1"/>
    <col min="5378" max="5384" width="2.7109375" style="529" customWidth="1"/>
    <col min="5385" max="5385" width="2.28515625" style="529" customWidth="1"/>
    <col min="5386" max="5392" width="2.7109375" style="529" customWidth="1"/>
    <col min="5393" max="5393" width="2.5703125" style="529" customWidth="1"/>
    <col min="5394" max="5398" width="2.7109375" style="529" customWidth="1"/>
    <col min="5399" max="5399" width="2.5703125" style="529" customWidth="1"/>
    <col min="5400" max="5410" width="2.7109375" style="529" customWidth="1"/>
    <col min="5411" max="5411" width="4.28515625" style="529" customWidth="1"/>
    <col min="5412" max="5412" width="2.85546875" style="529" customWidth="1"/>
    <col min="5413" max="5413" width="0.85546875" style="529" customWidth="1"/>
    <col min="5414" max="5632" width="2.7109375" style="529"/>
    <col min="5633" max="5633" width="1" style="529" customWidth="1"/>
    <col min="5634" max="5640" width="2.7109375" style="529" customWidth="1"/>
    <col min="5641" max="5641" width="2.28515625" style="529" customWidth="1"/>
    <col min="5642" max="5648" width="2.7109375" style="529" customWidth="1"/>
    <col min="5649" max="5649" width="2.5703125" style="529" customWidth="1"/>
    <col min="5650" max="5654" width="2.7109375" style="529" customWidth="1"/>
    <col min="5655" max="5655" width="2.5703125" style="529" customWidth="1"/>
    <col min="5656" max="5666" width="2.7109375" style="529" customWidth="1"/>
    <col min="5667" max="5667" width="4.28515625" style="529" customWidth="1"/>
    <col min="5668" max="5668" width="2.85546875" style="529" customWidth="1"/>
    <col min="5669" max="5669" width="0.85546875" style="529" customWidth="1"/>
    <col min="5670" max="5888" width="2.7109375" style="529"/>
    <col min="5889" max="5889" width="1" style="529" customWidth="1"/>
    <col min="5890" max="5896" width="2.7109375" style="529" customWidth="1"/>
    <col min="5897" max="5897" width="2.28515625" style="529" customWidth="1"/>
    <col min="5898" max="5904" width="2.7109375" style="529" customWidth="1"/>
    <col min="5905" max="5905" width="2.5703125" style="529" customWidth="1"/>
    <col min="5906" max="5910" width="2.7109375" style="529" customWidth="1"/>
    <col min="5911" max="5911" width="2.5703125" style="529" customWidth="1"/>
    <col min="5912" max="5922" width="2.7109375" style="529" customWidth="1"/>
    <col min="5923" max="5923" width="4.28515625" style="529" customWidth="1"/>
    <col min="5924" max="5924" width="2.85546875" style="529" customWidth="1"/>
    <col min="5925" max="5925" width="0.85546875" style="529" customWidth="1"/>
    <col min="5926" max="6144" width="2.7109375" style="529"/>
    <col min="6145" max="6145" width="1" style="529" customWidth="1"/>
    <col min="6146" max="6152" width="2.7109375" style="529" customWidth="1"/>
    <col min="6153" max="6153" width="2.28515625" style="529" customWidth="1"/>
    <col min="6154" max="6160" width="2.7109375" style="529" customWidth="1"/>
    <col min="6161" max="6161" width="2.5703125" style="529" customWidth="1"/>
    <col min="6162" max="6166" width="2.7109375" style="529" customWidth="1"/>
    <col min="6167" max="6167" width="2.5703125" style="529" customWidth="1"/>
    <col min="6168" max="6178" width="2.7109375" style="529" customWidth="1"/>
    <col min="6179" max="6179" width="4.28515625" style="529" customWidth="1"/>
    <col min="6180" max="6180" width="2.85546875" style="529" customWidth="1"/>
    <col min="6181" max="6181" width="0.85546875" style="529" customWidth="1"/>
    <col min="6182" max="6400" width="2.7109375" style="529"/>
    <col min="6401" max="6401" width="1" style="529" customWidth="1"/>
    <col min="6402" max="6408" width="2.7109375" style="529" customWidth="1"/>
    <col min="6409" max="6409" width="2.28515625" style="529" customWidth="1"/>
    <col min="6410" max="6416" width="2.7109375" style="529" customWidth="1"/>
    <col min="6417" max="6417" width="2.5703125" style="529" customWidth="1"/>
    <col min="6418" max="6422" width="2.7109375" style="529" customWidth="1"/>
    <col min="6423" max="6423" width="2.5703125" style="529" customWidth="1"/>
    <col min="6424" max="6434" width="2.7109375" style="529" customWidth="1"/>
    <col min="6435" max="6435" width="4.28515625" style="529" customWidth="1"/>
    <col min="6436" max="6436" width="2.85546875" style="529" customWidth="1"/>
    <col min="6437" max="6437" width="0.85546875" style="529" customWidth="1"/>
    <col min="6438" max="6656" width="2.7109375" style="529"/>
    <col min="6657" max="6657" width="1" style="529" customWidth="1"/>
    <col min="6658" max="6664" width="2.7109375" style="529" customWidth="1"/>
    <col min="6665" max="6665" width="2.28515625" style="529" customWidth="1"/>
    <col min="6666" max="6672" width="2.7109375" style="529" customWidth="1"/>
    <col min="6673" max="6673" width="2.5703125" style="529" customWidth="1"/>
    <col min="6674" max="6678" width="2.7109375" style="529" customWidth="1"/>
    <col min="6679" max="6679" width="2.5703125" style="529" customWidth="1"/>
    <col min="6680" max="6690" width="2.7109375" style="529" customWidth="1"/>
    <col min="6691" max="6691" width="4.28515625" style="529" customWidth="1"/>
    <col min="6692" max="6692" width="2.85546875" style="529" customWidth="1"/>
    <col min="6693" max="6693" width="0.85546875" style="529" customWidth="1"/>
    <col min="6694" max="6912" width="2.7109375" style="529"/>
    <col min="6913" max="6913" width="1" style="529" customWidth="1"/>
    <col min="6914" max="6920" width="2.7109375" style="529" customWidth="1"/>
    <col min="6921" max="6921" width="2.28515625" style="529" customWidth="1"/>
    <col min="6922" max="6928" width="2.7109375" style="529" customWidth="1"/>
    <col min="6929" max="6929" width="2.5703125" style="529" customWidth="1"/>
    <col min="6930" max="6934" width="2.7109375" style="529" customWidth="1"/>
    <col min="6935" max="6935" width="2.5703125" style="529" customWidth="1"/>
    <col min="6936" max="6946" width="2.7109375" style="529" customWidth="1"/>
    <col min="6947" max="6947" width="4.28515625" style="529" customWidth="1"/>
    <col min="6948" max="6948" width="2.85546875" style="529" customWidth="1"/>
    <col min="6949" max="6949" width="0.85546875" style="529" customWidth="1"/>
    <col min="6950" max="7168" width="2.7109375" style="529"/>
    <col min="7169" max="7169" width="1" style="529" customWidth="1"/>
    <col min="7170" max="7176" width="2.7109375" style="529" customWidth="1"/>
    <col min="7177" max="7177" width="2.28515625" style="529" customWidth="1"/>
    <col min="7178" max="7184" width="2.7109375" style="529" customWidth="1"/>
    <col min="7185" max="7185" width="2.5703125" style="529" customWidth="1"/>
    <col min="7186" max="7190" width="2.7109375" style="529" customWidth="1"/>
    <col min="7191" max="7191" width="2.5703125" style="529" customWidth="1"/>
    <col min="7192" max="7202" width="2.7109375" style="529" customWidth="1"/>
    <col min="7203" max="7203" width="4.28515625" style="529" customWidth="1"/>
    <col min="7204" max="7204" width="2.85546875" style="529" customWidth="1"/>
    <col min="7205" max="7205" width="0.85546875" style="529" customWidth="1"/>
    <col min="7206" max="7424" width="2.7109375" style="529"/>
    <col min="7425" max="7425" width="1" style="529" customWidth="1"/>
    <col min="7426" max="7432" width="2.7109375" style="529" customWidth="1"/>
    <col min="7433" max="7433" width="2.28515625" style="529" customWidth="1"/>
    <col min="7434" max="7440" width="2.7109375" style="529" customWidth="1"/>
    <col min="7441" max="7441" width="2.5703125" style="529" customWidth="1"/>
    <col min="7442" max="7446" width="2.7109375" style="529" customWidth="1"/>
    <col min="7447" max="7447" width="2.5703125" style="529" customWidth="1"/>
    <col min="7448" max="7458" width="2.7109375" style="529" customWidth="1"/>
    <col min="7459" max="7459" width="4.28515625" style="529" customWidth="1"/>
    <col min="7460" max="7460" width="2.85546875" style="529" customWidth="1"/>
    <col min="7461" max="7461" width="0.85546875" style="529" customWidth="1"/>
    <col min="7462" max="7680" width="2.7109375" style="529"/>
    <col min="7681" max="7681" width="1" style="529" customWidth="1"/>
    <col min="7682" max="7688" width="2.7109375" style="529" customWidth="1"/>
    <col min="7689" max="7689" width="2.28515625" style="529" customWidth="1"/>
    <col min="7690" max="7696" width="2.7109375" style="529" customWidth="1"/>
    <col min="7697" max="7697" width="2.5703125" style="529" customWidth="1"/>
    <col min="7698" max="7702" width="2.7109375" style="529" customWidth="1"/>
    <col min="7703" max="7703" width="2.5703125" style="529" customWidth="1"/>
    <col min="7704" max="7714" width="2.7109375" style="529" customWidth="1"/>
    <col min="7715" max="7715" width="4.28515625" style="529" customWidth="1"/>
    <col min="7716" max="7716" width="2.85546875" style="529" customWidth="1"/>
    <col min="7717" max="7717" width="0.85546875" style="529" customWidth="1"/>
    <col min="7718" max="7936" width="2.7109375" style="529"/>
    <col min="7937" max="7937" width="1" style="529" customWidth="1"/>
    <col min="7938" max="7944" width="2.7109375" style="529" customWidth="1"/>
    <col min="7945" max="7945" width="2.28515625" style="529" customWidth="1"/>
    <col min="7946" max="7952" width="2.7109375" style="529" customWidth="1"/>
    <col min="7953" max="7953" width="2.5703125" style="529" customWidth="1"/>
    <col min="7954" max="7958" width="2.7109375" style="529" customWidth="1"/>
    <col min="7959" max="7959" width="2.5703125" style="529" customWidth="1"/>
    <col min="7960" max="7970" width="2.7109375" style="529" customWidth="1"/>
    <col min="7971" max="7971" width="4.28515625" style="529" customWidth="1"/>
    <col min="7972" max="7972" width="2.85546875" style="529" customWidth="1"/>
    <col min="7973" max="7973" width="0.85546875" style="529" customWidth="1"/>
    <col min="7974" max="8192" width="2.7109375" style="529"/>
    <col min="8193" max="8193" width="1" style="529" customWidth="1"/>
    <col min="8194" max="8200" width="2.7109375" style="529" customWidth="1"/>
    <col min="8201" max="8201" width="2.28515625" style="529" customWidth="1"/>
    <col min="8202" max="8208" width="2.7109375" style="529" customWidth="1"/>
    <col min="8209" max="8209" width="2.5703125" style="529" customWidth="1"/>
    <col min="8210" max="8214" width="2.7109375" style="529" customWidth="1"/>
    <col min="8215" max="8215" width="2.5703125" style="529" customWidth="1"/>
    <col min="8216" max="8226" width="2.7109375" style="529" customWidth="1"/>
    <col min="8227" max="8227" width="4.28515625" style="529" customWidth="1"/>
    <col min="8228" max="8228" width="2.85546875" style="529" customWidth="1"/>
    <col min="8229" max="8229" width="0.85546875" style="529" customWidth="1"/>
    <col min="8230" max="8448" width="2.7109375" style="529"/>
    <col min="8449" max="8449" width="1" style="529" customWidth="1"/>
    <col min="8450" max="8456" width="2.7109375" style="529" customWidth="1"/>
    <col min="8457" max="8457" width="2.28515625" style="529" customWidth="1"/>
    <col min="8458" max="8464" width="2.7109375" style="529" customWidth="1"/>
    <col min="8465" max="8465" width="2.5703125" style="529" customWidth="1"/>
    <col min="8466" max="8470" width="2.7109375" style="529" customWidth="1"/>
    <col min="8471" max="8471" width="2.5703125" style="529" customWidth="1"/>
    <col min="8472" max="8482" width="2.7109375" style="529" customWidth="1"/>
    <col min="8483" max="8483" width="4.28515625" style="529" customWidth="1"/>
    <col min="8484" max="8484" width="2.85546875" style="529" customWidth="1"/>
    <col min="8485" max="8485" width="0.85546875" style="529" customWidth="1"/>
    <col min="8486" max="8704" width="2.7109375" style="529"/>
    <col min="8705" max="8705" width="1" style="529" customWidth="1"/>
    <col min="8706" max="8712" width="2.7109375" style="529" customWidth="1"/>
    <col min="8713" max="8713" width="2.28515625" style="529" customWidth="1"/>
    <col min="8714" max="8720" width="2.7109375" style="529" customWidth="1"/>
    <col min="8721" max="8721" width="2.5703125" style="529" customWidth="1"/>
    <col min="8722" max="8726" width="2.7109375" style="529" customWidth="1"/>
    <col min="8727" max="8727" width="2.5703125" style="529" customWidth="1"/>
    <col min="8728" max="8738" width="2.7109375" style="529" customWidth="1"/>
    <col min="8739" max="8739" width="4.28515625" style="529" customWidth="1"/>
    <col min="8740" max="8740" width="2.85546875" style="529" customWidth="1"/>
    <col min="8741" max="8741" width="0.85546875" style="529" customWidth="1"/>
    <col min="8742" max="8960" width="2.7109375" style="529"/>
    <col min="8961" max="8961" width="1" style="529" customWidth="1"/>
    <col min="8962" max="8968" width="2.7109375" style="529" customWidth="1"/>
    <col min="8969" max="8969" width="2.28515625" style="529" customWidth="1"/>
    <col min="8970" max="8976" width="2.7109375" style="529" customWidth="1"/>
    <col min="8977" max="8977" width="2.5703125" style="529" customWidth="1"/>
    <col min="8978" max="8982" width="2.7109375" style="529" customWidth="1"/>
    <col min="8983" max="8983" width="2.5703125" style="529" customWidth="1"/>
    <col min="8984" max="8994" width="2.7109375" style="529" customWidth="1"/>
    <col min="8995" max="8995" width="4.28515625" style="529" customWidth="1"/>
    <col min="8996" max="8996" width="2.85546875" style="529" customWidth="1"/>
    <col min="8997" max="8997" width="0.85546875" style="529" customWidth="1"/>
    <col min="8998" max="9216" width="2.7109375" style="529"/>
    <col min="9217" max="9217" width="1" style="529" customWidth="1"/>
    <col min="9218" max="9224" width="2.7109375" style="529" customWidth="1"/>
    <col min="9225" max="9225" width="2.28515625" style="529" customWidth="1"/>
    <col min="9226" max="9232" width="2.7109375" style="529" customWidth="1"/>
    <col min="9233" max="9233" width="2.5703125" style="529" customWidth="1"/>
    <col min="9234" max="9238" width="2.7109375" style="529" customWidth="1"/>
    <col min="9239" max="9239" width="2.5703125" style="529" customWidth="1"/>
    <col min="9240" max="9250" width="2.7109375" style="529" customWidth="1"/>
    <col min="9251" max="9251" width="4.28515625" style="529" customWidth="1"/>
    <col min="9252" max="9252" width="2.85546875" style="529" customWidth="1"/>
    <col min="9253" max="9253" width="0.85546875" style="529" customWidth="1"/>
    <col min="9254" max="9472" width="2.7109375" style="529"/>
    <col min="9473" max="9473" width="1" style="529" customWidth="1"/>
    <col min="9474" max="9480" width="2.7109375" style="529" customWidth="1"/>
    <col min="9481" max="9481" width="2.28515625" style="529" customWidth="1"/>
    <col min="9482" max="9488" width="2.7109375" style="529" customWidth="1"/>
    <col min="9489" max="9489" width="2.5703125" style="529" customWidth="1"/>
    <col min="9490" max="9494" width="2.7109375" style="529" customWidth="1"/>
    <col min="9495" max="9495" width="2.5703125" style="529" customWidth="1"/>
    <col min="9496" max="9506" width="2.7109375" style="529" customWidth="1"/>
    <col min="9507" max="9507" width="4.28515625" style="529" customWidth="1"/>
    <col min="9508" max="9508" width="2.85546875" style="529" customWidth="1"/>
    <col min="9509" max="9509" width="0.85546875" style="529" customWidth="1"/>
    <col min="9510" max="9728" width="2.7109375" style="529"/>
    <col min="9729" max="9729" width="1" style="529" customWidth="1"/>
    <col min="9730" max="9736" width="2.7109375" style="529" customWidth="1"/>
    <col min="9737" max="9737" width="2.28515625" style="529" customWidth="1"/>
    <col min="9738" max="9744" width="2.7109375" style="529" customWidth="1"/>
    <col min="9745" max="9745" width="2.5703125" style="529" customWidth="1"/>
    <col min="9746" max="9750" width="2.7109375" style="529" customWidth="1"/>
    <col min="9751" max="9751" width="2.5703125" style="529" customWidth="1"/>
    <col min="9752" max="9762" width="2.7109375" style="529" customWidth="1"/>
    <col min="9763" max="9763" width="4.28515625" style="529" customWidth="1"/>
    <col min="9764" max="9764" width="2.85546875" style="529" customWidth="1"/>
    <col min="9765" max="9765" width="0.85546875" style="529" customWidth="1"/>
    <col min="9766" max="9984" width="2.7109375" style="529"/>
    <col min="9985" max="9985" width="1" style="529" customWidth="1"/>
    <col min="9986" max="9992" width="2.7109375" style="529" customWidth="1"/>
    <col min="9993" max="9993" width="2.28515625" style="529" customWidth="1"/>
    <col min="9994" max="10000" width="2.7109375" style="529" customWidth="1"/>
    <col min="10001" max="10001" width="2.5703125" style="529" customWidth="1"/>
    <col min="10002" max="10006" width="2.7109375" style="529" customWidth="1"/>
    <col min="10007" max="10007" width="2.5703125" style="529" customWidth="1"/>
    <col min="10008" max="10018" width="2.7109375" style="529" customWidth="1"/>
    <col min="10019" max="10019" width="4.28515625" style="529" customWidth="1"/>
    <col min="10020" max="10020" width="2.85546875" style="529" customWidth="1"/>
    <col min="10021" max="10021" width="0.85546875" style="529" customWidth="1"/>
    <col min="10022" max="10240" width="2.7109375" style="529"/>
    <col min="10241" max="10241" width="1" style="529" customWidth="1"/>
    <col min="10242" max="10248" width="2.7109375" style="529" customWidth="1"/>
    <col min="10249" max="10249" width="2.28515625" style="529" customWidth="1"/>
    <col min="10250" max="10256" width="2.7109375" style="529" customWidth="1"/>
    <col min="10257" max="10257" width="2.5703125" style="529" customWidth="1"/>
    <col min="10258" max="10262" width="2.7109375" style="529" customWidth="1"/>
    <col min="10263" max="10263" width="2.5703125" style="529" customWidth="1"/>
    <col min="10264" max="10274" width="2.7109375" style="529" customWidth="1"/>
    <col min="10275" max="10275" width="4.28515625" style="529" customWidth="1"/>
    <col min="10276" max="10276" width="2.85546875" style="529" customWidth="1"/>
    <col min="10277" max="10277" width="0.85546875" style="529" customWidth="1"/>
    <col min="10278" max="10496" width="2.7109375" style="529"/>
    <col min="10497" max="10497" width="1" style="529" customWidth="1"/>
    <col min="10498" max="10504" width="2.7109375" style="529" customWidth="1"/>
    <col min="10505" max="10505" width="2.28515625" style="529" customWidth="1"/>
    <col min="10506" max="10512" width="2.7109375" style="529" customWidth="1"/>
    <col min="10513" max="10513" width="2.5703125" style="529" customWidth="1"/>
    <col min="10514" max="10518" width="2.7109375" style="529" customWidth="1"/>
    <col min="10519" max="10519" width="2.5703125" style="529" customWidth="1"/>
    <col min="10520" max="10530" width="2.7109375" style="529" customWidth="1"/>
    <col min="10531" max="10531" width="4.28515625" style="529" customWidth="1"/>
    <col min="10532" max="10532" width="2.85546875" style="529" customWidth="1"/>
    <col min="10533" max="10533" width="0.85546875" style="529" customWidth="1"/>
    <col min="10534" max="10752" width="2.7109375" style="529"/>
    <col min="10753" max="10753" width="1" style="529" customWidth="1"/>
    <col min="10754" max="10760" width="2.7109375" style="529" customWidth="1"/>
    <col min="10761" max="10761" width="2.28515625" style="529" customWidth="1"/>
    <col min="10762" max="10768" width="2.7109375" style="529" customWidth="1"/>
    <col min="10769" max="10769" width="2.5703125" style="529" customWidth="1"/>
    <col min="10770" max="10774" width="2.7109375" style="529" customWidth="1"/>
    <col min="10775" max="10775" width="2.5703125" style="529" customWidth="1"/>
    <col min="10776" max="10786" width="2.7109375" style="529" customWidth="1"/>
    <col min="10787" max="10787" width="4.28515625" style="529" customWidth="1"/>
    <col min="10788" max="10788" width="2.85546875" style="529" customWidth="1"/>
    <col min="10789" max="10789" width="0.85546875" style="529" customWidth="1"/>
    <col min="10790" max="11008" width="2.7109375" style="529"/>
    <col min="11009" max="11009" width="1" style="529" customWidth="1"/>
    <col min="11010" max="11016" width="2.7109375" style="529" customWidth="1"/>
    <col min="11017" max="11017" width="2.28515625" style="529" customWidth="1"/>
    <col min="11018" max="11024" width="2.7109375" style="529" customWidth="1"/>
    <col min="11025" max="11025" width="2.5703125" style="529" customWidth="1"/>
    <col min="11026" max="11030" width="2.7109375" style="529" customWidth="1"/>
    <col min="11031" max="11031" width="2.5703125" style="529" customWidth="1"/>
    <col min="11032" max="11042" width="2.7109375" style="529" customWidth="1"/>
    <col min="11043" max="11043" width="4.28515625" style="529" customWidth="1"/>
    <col min="11044" max="11044" width="2.85546875" style="529" customWidth="1"/>
    <col min="11045" max="11045" width="0.85546875" style="529" customWidth="1"/>
    <col min="11046" max="11264" width="2.7109375" style="529"/>
    <col min="11265" max="11265" width="1" style="529" customWidth="1"/>
    <col min="11266" max="11272" width="2.7109375" style="529" customWidth="1"/>
    <col min="11273" max="11273" width="2.28515625" style="529" customWidth="1"/>
    <col min="11274" max="11280" width="2.7109375" style="529" customWidth="1"/>
    <col min="11281" max="11281" width="2.5703125" style="529" customWidth="1"/>
    <col min="11282" max="11286" width="2.7109375" style="529" customWidth="1"/>
    <col min="11287" max="11287" width="2.5703125" style="529" customWidth="1"/>
    <col min="11288" max="11298" width="2.7109375" style="529" customWidth="1"/>
    <col min="11299" max="11299" width="4.28515625" style="529" customWidth="1"/>
    <col min="11300" max="11300" width="2.85546875" style="529" customWidth="1"/>
    <col min="11301" max="11301" width="0.85546875" style="529" customWidth="1"/>
    <col min="11302" max="11520" width="2.7109375" style="529"/>
    <col min="11521" max="11521" width="1" style="529" customWidth="1"/>
    <col min="11522" max="11528" width="2.7109375" style="529" customWidth="1"/>
    <col min="11529" max="11529" width="2.28515625" style="529" customWidth="1"/>
    <col min="11530" max="11536" width="2.7109375" style="529" customWidth="1"/>
    <col min="11537" max="11537" width="2.5703125" style="529" customWidth="1"/>
    <col min="11538" max="11542" width="2.7109375" style="529" customWidth="1"/>
    <col min="11543" max="11543" width="2.5703125" style="529" customWidth="1"/>
    <col min="11544" max="11554" width="2.7109375" style="529" customWidth="1"/>
    <col min="11555" max="11555" width="4.28515625" style="529" customWidth="1"/>
    <col min="11556" max="11556" width="2.85546875" style="529" customWidth="1"/>
    <col min="11557" max="11557" width="0.85546875" style="529" customWidth="1"/>
    <col min="11558" max="11776" width="2.7109375" style="529"/>
    <col min="11777" max="11777" width="1" style="529" customWidth="1"/>
    <col min="11778" max="11784" width="2.7109375" style="529" customWidth="1"/>
    <col min="11785" max="11785" width="2.28515625" style="529" customWidth="1"/>
    <col min="11786" max="11792" width="2.7109375" style="529" customWidth="1"/>
    <col min="11793" max="11793" width="2.5703125" style="529" customWidth="1"/>
    <col min="11794" max="11798" width="2.7109375" style="529" customWidth="1"/>
    <col min="11799" max="11799" width="2.5703125" style="529" customWidth="1"/>
    <col min="11800" max="11810" width="2.7109375" style="529" customWidth="1"/>
    <col min="11811" max="11811" width="4.28515625" style="529" customWidth="1"/>
    <col min="11812" max="11812" width="2.85546875" style="529" customWidth="1"/>
    <col min="11813" max="11813" width="0.85546875" style="529" customWidth="1"/>
    <col min="11814" max="12032" width="2.7109375" style="529"/>
    <col min="12033" max="12033" width="1" style="529" customWidth="1"/>
    <col min="12034" max="12040" width="2.7109375" style="529" customWidth="1"/>
    <col min="12041" max="12041" width="2.28515625" style="529" customWidth="1"/>
    <col min="12042" max="12048" width="2.7109375" style="529" customWidth="1"/>
    <col min="12049" max="12049" width="2.5703125" style="529" customWidth="1"/>
    <col min="12050" max="12054" width="2.7109375" style="529" customWidth="1"/>
    <col min="12055" max="12055" width="2.5703125" style="529" customWidth="1"/>
    <col min="12056" max="12066" width="2.7109375" style="529" customWidth="1"/>
    <col min="12067" max="12067" width="4.28515625" style="529" customWidth="1"/>
    <col min="12068" max="12068" width="2.85546875" style="529" customWidth="1"/>
    <col min="12069" max="12069" width="0.85546875" style="529" customWidth="1"/>
    <col min="12070" max="12288" width="2.7109375" style="529"/>
    <col min="12289" max="12289" width="1" style="529" customWidth="1"/>
    <col min="12290" max="12296" width="2.7109375" style="529" customWidth="1"/>
    <col min="12297" max="12297" width="2.28515625" style="529" customWidth="1"/>
    <col min="12298" max="12304" width="2.7109375" style="529" customWidth="1"/>
    <col min="12305" max="12305" width="2.5703125" style="529" customWidth="1"/>
    <col min="12306" max="12310" width="2.7109375" style="529" customWidth="1"/>
    <col min="12311" max="12311" width="2.5703125" style="529" customWidth="1"/>
    <col min="12312" max="12322" width="2.7109375" style="529" customWidth="1"/>
    <col min="12323" max="12323" width="4.28515625" style="529" customWidth="1"/>
    <col min="12324" max="12324" width="2.85546875" style="529" customWidth="1"/>
    <col min="12325" max="12325" width="0.85546875" style="529" customWidth="1"/>
    <col min="12326" max="12544" width="2.7109375" style="529"/>
    <col min="12545" max="12545" width="1" style="529" customWidth="1"/>
    <col min="12546" max="12552" width="2.7109375" style="529" customWidth="1"/>
    <col min="12553" max="12553" width="2.28515625" style="529" customWidth="1"/>
    <col min="12554" max="12560" width="2.7109375" style="529" customWidth="1"/>
    <col min="12561" max="12561" width="2.5703125" style="529" customWidth="1"/>
    <col min="12562" max="12566" width="2.7109375" style="529" customWidth="1"/>
    <col min="12567" max="12567" width="2.5703125" style="529" customWidth="1"/>
    <col min="12568" max="12578" width="2.7109375" style="529" customWidth="1"/>
    <col min="12579" max="12579" width="4.28515625" style="529" customWidth="1"/>
    <col min="12580" max="12580" width="2.85546875" style="529" customWidth="1"/>
    <col min="12581" max="12581" width="0.85546875" style="529" customWidth="1"/>
    <col min="12582" max="12800" width="2.7109375" style="529"/>
    <col min="12801" max="12801" width="1" style="529" customWidth="1"/>
    <col min="12802" max="12808" width="2.7109375" style="529" customWidth="1"/>
    <col min="12809" max="12809" width="2.28515625" style="529" customWidth="1"/>
    <col min="12810" max="12816" width="2.7109375" style="529" customWidth="1"/>
    <col min="12817" max="12817" width="2.5703125" style="529" customWidth="1"/>
    <col min="12818" max="12822" width="2.7109375" style="529" customWidth="1"/>
    <col min="12823" max="12823" width="2.5703125" style="529" customWidth="1"/>
    <col min="12824" max="12834" width="2.7109375" style="529" customWidth="1"/>
    <col min="12835" max="12835" width="4.28515625" style="529" customWidth="1"/>
    <col min="12836" max="12836" width="2.85546875" style="529" customWidth="1"/>
    <col min="12837" max="12837" width="0.85546875" style="529" customWidth="1"/>
    <col min="12838" max="13056" width="2.7109375" style="529"/>
    <col min="13057" max="13057" width="1" style="529" customWidth="1"/>
    <col min="13058" max="13064" width="2.7109375" style="529" customWidth="1"/>
    <col min="13065" max="13065" width="2.28515625" style="529" customWidth="1"/>
    <col min="13066" max="13072" width="2.7109375" style="529" customWidth="1"/>
    <col min="13073" max="13073" width="2.5703125" style="529" customWidth="1"/>
    <col min="13074" max="13078" width="2.7109375" style="529" customWidth="1"/>
    <col min="13079" max="13079" width="2.5703125" style="529" customWidth="1"/>
    <col min="13080" max="13090" width="2.7109375" style="529" customWidth="1"/>
    <col min="13091" max="13091" width="4.28515625" style="529" customWidth="1"/>
    <col min="13092" max="13092" width="2.85546875" style="529" customWidth="1"/>
    <col min="13093" max="13093" width="0.85546875" style="529" customWidth="1"/>
    <col min="13094" max="13312" width="2.7109375" style="529"/>
    <col min="13313" max="13313" width="1" style="529" customWidth="1"/>
    <col min="13314" max="13320" width="2.7109375" style="529" customWidth="1"/>
    <col min="13321" max="13321" width="2.28515625" style="529" customWidth="1"/>
    <col min="13322" max="13328" width="2.7109375" style="529" customWidth="1"/>
    <col min="13329" max="13329" width="2.5703125" style="529" customWidth="1"/>
    <col min="13330" max="13334" width="2.7109375" style="529" customWidth="1"/>
    <col min="13335" max="13335" width="2.5703125" style="529" customWidth="1"/>
    <col min="13336" max="13346" width="2.7109375" style="529" customWidth="1"/>
    <col min="13347" max="13347" width="4.28515625" style="529" customWidth="1"/>
    <col min="13348" max="13348" width="2.85546875" style="529" customWidth="1"/>
    <col min="13349" max="13349" width="0.85546875" style="529" customWidth="1"/>
    <col min="13350" max="13568" width="2.7109375" style="529"/>
    <col min="13569" max="13569" width="1" style="529" customWidth="1"/>
    <col min="13570" max="13576" width="2.7109375" style="529" customWidth="1"/>
    <col min="13577" max="13577" width="2.28515625" style="529" customWidth="1"/>
    <col min="13578" max="13584" width="2.7109375" style="529" customWidth="1"/>
    <col min="13585" max="13585" width="2.5703125" style="529" customWidth="1"/>
    <col min="13586" max="13590" width="2.7109375" style="529" customWidth="1"/>
    <col min="13591" max="13591" width="2.5703125" style="529" customWidth="1"/>
    <col min="13592" max="13602" width="2.7109375" style="529" customWidth="1"/>
    <col min="13603" max="13603" width="4.28515625" style="529" customWidth="1"/>
    <col min="13604" max="13604" width="2.85546875" style="529" customWidth="1"/>
    <col min="13605" max="13605" width="0.85546875" style="529" customWidth="1"/>
    <col min="13606" max="13824" width="2.7109375" style="529"/>
    <col min="13825" max="13825" width="1" style="529" customWidth="1"/>
    <col min="13826" max="13832" width="2.7109375" style="529" customWidth="1"/>
    <col min="13833" max="13833" width="2.28515625" style="529" customWidth="1"/>
    <col min="13834" max="13840" width="2.7109375" style="529" customWidth="1"/>
    <col min="13841" max="13841" width="2.5703125" style="529" customWidth="1"/>
    <col min="13842" max="13846" width="2.7109375" style="529" customWidth="1"/>
    <col min="13847" max="13847" width="2.5703125" style="529" customWidth="1"/>
    <col min="13848" max="13858" width="2.7109375" style="529" customWidth="1"/>
    <col min="13859" max="13859" width="4.28515625" style="529" customWidth="1"/>
    <col min="13860" max="13860" width="2.85546875" style="529" customWidth="1"/>
    <col min="13861" max="13861" width="0.85546875" style="529" customWidth="1"/>
    <col min="13862" max="14080" width="2.7109375" style="529"/>
    <col min="14081" max="14081" width="1" style="529" customWidth="1"/>
    <col min="14082" max="14088" width="2.7109375" style="529" customWidth="1"/>
    <col min="14089" max="14089" width="2.28515625" style="529" customWidth="1"/>
    <col min="14090" max="14096" width="2.7109375" style="529" customWidth="1"/>
    <col min="14097" max="14097" width="2.5703125" style="529" customWidth="1"/>
    <col min="14098" max="14102" width="2.7109375" style="529" customWidth="1"/>
    <col min="14103" max="14103" width="2.5703125" style="529" customWidth="1"/>
    <col min="14104" max="14114" width="2.7109375" style="529" customWidth="1"/>
    <col min="14115" max="14115" width="4.28515625" style="529" customWidth="1"/>
    <col min="14116" max="14116" width="2.85546875" style="529" customWidth="1"/>
    <col min="14117" max="14117" width="0.85546875" style="529" customWidth="1"/>
    <col min="14118" max="14336" width="2.7109375" style="529"/>
    <col min="14337" max="14337" width="1" style="529" customWidth="1"/>
    <col min="14338" max="14344" width="2.7109375" style="529" customWidth="1"/>
    <col min="14345" max="14345" width="2.28515625" style="529" customWidth="1"/>
    <col min="14346" max="14352" width="2.7109375" style="529" customWidth="1"/>
    <col min="14353" max="14353" width="2.5703125" style="529" customWidth="1"/>
    <col min="14354" max="14358" width="2.7109375" style="529" customWidth="1"/>
    <col min="14359" max="14359" width="2.5703125" style="529" customWidth="1"/>
    <col min="14360" max="14370" width="2.7109375" style="529" customWidth="1"/>
    <col min="14371" max="14371" width="4.28515625" style="529" customWidth="1"/>
    <col min="14372" max="14372" width="2.85546875" style="529" customWidth="1"/>
    <col min="14373" max="14373" width="0.85546875" style="529" customWidth="1"/>
    <col min="14374" max="14592" width="2.7109375" style="529"/>
    <col min="14593" max="14593" width="1" style="529" customWidth="1"/>
    <col min="14594" max="14600" width="2.7109375" style="529" customWidth="1"/>
    <col min="14601" max="14601" width="2.28515625" style="529" customWidth="1"/>
    <col min="14602" max="14608" width="2.7109375" style="529" customWidth="1"/>
    <col min="14609" max="14609" width="2.5703125" style="529" customWidth="1"/>
    <col min="14610" max="14614" width="2.7109375" style="529" customWidth="1"/>
    <col min="14615" max="14615" width="2.5703125" style="529" customWidth="1"/>
    <col min="14616" max="14626" width="2.7109375" style="529" customWidth="1"/>
    <col min="14627" max="14627" width="4.28515625" style="529" customWidth="1"/>
    <col min="14628" max="14628" width="2.85546875" style="529" customWidth="1"/>
    <col min="14629" max="14629" width="0.85546875" style="529" customWidth="1"/>
    <col min="14630" max="14848" width="2.7109375" style="529"/>
    <col min="14849" max="14849" width="1" style="529" customWidth="1"/>
    <col min="14850" max="14856" width="2.7109375" style="529" customWidth="1"/>
    <col min="14857" max="14857" width="2.28515625" style="529" customWidth="1"/>
    <col min="14858" max="14864" width="2.7109375" style="529" customWidth="1"/>
    <col min="14865" max="14865" width="2.5703125" style="529" customWidth="1"/>
    <col min="14866" max="14870" width="2.7109375" style="529" customWidth="1"/>
    <col min="14871" max="14871" width="2.5703125" style="529" customWidth="1"/>
    <col min="14872" max="14882" width="2.7109375" style="529" customWidth="1"/>
    <col min="14883" max="14883" width="4.28515625" style="529" customWidth="1"/>
    <col min="14884" max="14884" width="2.85546875" style="529" customWidth="1"/>
    <col min="14885" max="14885" width="0.85546875" style="529" customWidth="1"/>
    <col min="14886" max="15104" width="2.7109375" style="529"/>
    <col min="15105" max="15105" width="1" style="529" customWidth="1"/>
    <col min="15106" max="15112" width="2.7109375" style="529" customWidth="1"/>
    <col min="15113" max="15113" width="2.28515625" style="529" customWidth="1"/>
    <col min="15114" max="15120" width="2.7109375" style="529" customWidth="1"/>
    <col min="15121" max="15121" width="2.5703125" style="529" customWidth="1"/>
    <col min="15122" max="15126" width="2.7109375" style="529" customWidth="1"/>
    <col min="15127" max="15127" width="2.5703125" style="529" customWidth="1"/>
    <col min="15128" max="15138" width="2.7109375" style="529" customWidth="1"/>
    <col min="15139" max="15139" width="4.28515625" style="529" customWidth="1"/>
    <col min="15140" max="15140" width="2.85546875" style="529" customWidth="1"/>
    <col min="15141" max="15141" width="0.85546875" style="529" customWidth="1"/>
    <col min="15142" max="15360" width="2.7109375" style="529"/>
    <col min="15361" max="15361" width="1" style="529" customWidth="1"/>
    <col min="15362" max="15368" width="2.7109375" style="529" customWidth="1"/>
    <col min="15369" max="15369" width="2.28515625" style="529" customWidth="1"/>
    <col min="15370" max="15376" width="2.7109375" style="529" customWidth="1"/>
    <col min="15377" max="15377" width="2.5703125" style="529" customWidth="1"/>
    <col min="15378" max="15382" width="2.7109375" style="529" customWidth="1"/>
    <col min="15383" max="15383" width="2.5703125" style="529" customWidth="1"/>
    <col min="15384" max="15394" width="2.7109375" style="529" customWidth="1"/>
    <col min="15395" max="15395" width="4.28515625" style="529" customWidth="1"/>
    <col min="15396" max="15396" width="2.85546875" style="529" customWidth="1"/>
    <col min="15397" max="15397" width="0.85546875" style="529" customWidth="1"/>
    <col min="15398" max="15616" width="2.7109375" style="529"/>
    <col min="15617" max="15617" width="1" style="529" customWidth="1"/>
    <col min="15618" max="15624" width="2.7109375" style="529" customWidth="1"/>
    <col min="15625" max="15625" width="2.28515625" style="529" customWidth="1"/>
    <col min="15626" max="15632" width="2.7109375" style="529" customWidth="1"/>
    <col min="15633" max="15633" width="2.5703125" style="529" customWidth="1"/>
    <col min="15634" max="15638" width="2.7109375" style="529" customWidth="1"/>
    <col min="15639" max="15639" width="2.5703125" style="529" customWidth="1"/>
    <col min="15640" max="15650" width="2.7109375" style="529" customWidth="1"/>
    <col min="15651" max="15651" width="4.28515625" style="529" customWidth="1"/>
    <col min="15652" max="15652" width="2.85546875" style="529" customWidth="1"/>
    <col min="15653" max="15653" width="0.85546875" style="529" customWidth="1"/>
    <col min="15654" max="15872" width="2.7109375" style="529"/>
    <col min="15873" max="15873" width="1" style="529" customWidth="1"/>
    <col min="15874" max="15880" width="2.7109375" style="529" customWidth="1"/>
    <col min="15881" max="15881" width="2.28515625" style="529" customWidth="1"/>
    <col min="15882" max="15888" width="2.7109375" style="529" customWidth="1"/>
    <col min="15889" max="15889" width="2.5703125" style="529" customWidth="1"/>
    <col min="15890" max="15894" width="2.7109375" style="529" customWidth="1"/>
    <col min="15895" max="15895" width="2.5703125" style="529" customWidth="1"/>
    <col min="15896" max="15906" width="2.7109375" style="529" customWidth="1"/>
    <col min="15907" max="15907" width="4.28515625" style="529" customWidth="1"/>
    <col min="15908" max="15908" width="2.85546875" style="529" customWidth="1"/>
    <col min="15909" max="15909" width="0.85546875" style="529" customWidth="1"/>
    <col min="15910" max="16128" width="2.7109375" style="529"/>
    <col min="16129" max="16129" width="1" style="529" customWidth="1"/>
    <col min="16130" max="16136" width="2.7109375" style="529" customWidth="1"/>
    <col min="16137" max="16137" width="2.28515625" style="529" customWidth="1"/>
    <col min="16138" max="16144" width="2.7109375" style="529" customWidth="1"/>
    <col min="16145" max="16145" width="2.5703125" style="529" customWidth="1"/>
    <col min="16146" max="16150" width="2.7109375" style="529" customWidth="1"/>
    <col min="16151" max="16151" width="2.5703125" style="529" customWidth="1"/>
    <col min="16152" max="16162" width="2.7109375" style="529" customWidth="1"/>
    <col min="16163" max="16163" width="4.28515625" style="529" customWidth="1"/>
    <col min="16164" max="16164" width="2.85546875" style="529" customWidth="1"/>
    <col min="16165" max="16165" width="0.85546875" style="529" customWidth="1"/>
    <col min="16166" max="16384" width="2.7109375" style="529"/>
  </cols>
  <sheetData>
    <row r="1" spans="1:37" ht="5.25" customHeight="1">
      <c r="A1" s="527"/>
      <c r="B1" s="716"/>
      <c r="C1" s="716"/>
      <c r="D1" s="716"/>
      <c r="E1" s="716"/>
      <c r="F1" s="716"/>
      <c r="G1" s="716"/>
      <c r="H1" s="716"/>
      <c r="I1" s="716"/>
      <c r="J1" s="716"/>
      <c r="K1" s="716"/>
      <c r="L1" s="716"/>
      <c r="M1" s="716"/>
      <c r="N1" s="716"/>
      <c r="O1" s="716"/>
      <c r="P1" s="716"/>
      <c r="Q1" s="716"/>
      <c r="R1" s="716"/>
      <c r="S1" s="716"/>
      <c r="T1" s="716"/>
      <c r="U1" s="716"/>
      <c r="V1" s="716"/>
      <c r="W1" s="716"/>
      <c r="X1" s="716"/>
      <c r="Y1" s="716"/>
      <c r="Z1" s="716"/>
      <c r="AA1" s="716"/>
      <c r="AB1" s="716"/>
      <c r="AC1" s="716"/>
      <c r="AD1" s="716"/>
      <c r="AE1" s="716"/>
      <c r="AF1" s="716"/>
      <c r="AG1" s="716"/>
      <c r="AH1" s="716"/>
      <c r="AI1" s="716"/>
      <c r="AJ1" s="716"/>
      <c r="AK1" s="528"/>
    </row>
    <row r="2" spans="1:37" s="532" customFormat="1" ht="31.5" customHeight="1">
      <c r="A2" s="530"/>
      <c r="B2" s="717"/>
      <c r="C2" s="718"/>
      <c r="D2" s="718"/>
      <c r="E2" s="718"/>
      <c r="F2" s="718"/>
      <c r="G2" s="719" t="s">
        <v>521</v>
      </c>
      <c r="H2" s="719"/>
      <c r="I2" s="719"/>
      <c r="J2" s="719"/>
      <c r="K2" s="719"/>
      <c r="L2" s="720"/>
      <c r="M2" s="721" t="s">
        <v>522</v>
      </c>
      <c r="N2" s="722"/>
      <c r="O2" s="722"/>
      <c r="P2" s="722"/>
      <c r="Q2" s="722"/>
      <c r="R2" s="722"/>
      <c r="S2" s="722"/>
      <c r="T2" s="722"/>
      <c r="U2" s="722"/>
      <c r="V2" s="722"/>
      <c r="W2" s="722"/>
      <c r="X2" s="722"/>
      <c r="Y2" s="722"/>
      <c r="Z2" s="722"/>
      <c r="AA2" s="722"/>
      <c r="AB2" s="722"/>
      <c r="AC2" s="722"/>
      <c r="AD2" s="722"/>
      <c r="AE2" s="722"/>
      <c r="AF2" s="722"/>
      <c r="AG2" s="722"/>
      <c r="AH2" s="722"/>
      <c r="AI2" s="722"/>
      <c r="AJ2" s="723"/>
      <c r="AK2" s="531"/>
    </row>
    <row r="3" spans="1:37" s="532" customFormat="1" ht="9" customHeight="1">
      <c r="A3" s="530"/>
      <c r="B3" s="707"/>
      <c r="C3" s="708"/>
      <c r="D3" s="708"/>
      <c r="E3" s="708"/>
      <c r="F3" s="708"/>
      <c r="G3" s="708"/>
      <c r="H3" s="708"/>
      <c r="I3" s="708"/>
      <c r="J3" s="708"/>
      <c r="K3" s="708"/>
      <c r="L3" s="709"/>
      <c r="M3" s="707"/>
      <c r="N3" s="708"/>
      <c r="O3" s="708"/>
      <c r="P3" s="708"/>
      <c r="Q3" s="708"/>
      <c r="R3" s="708"/>
      <c r="S3" s="708"/>
      <c r="T3" s="708"/>
      <c r="U3" s="708"/>
      <c r="V3" s="708"/>
      <c r="W3" s="708"/>
      <c r="X3" s="708"/>
      <c r="Y3" s="708"/>
      <c r="Z3" s="708"/>
      <c r="AA3" s="708"/>
      <c r="AB3" s="708"/>
      <c r="AC3" s="708"/>
      <c r="AD3" s="708"/>
      <c r="AE3" s="708"/>
      <c r="AF3" s="708"/>
      <c r="AG3" s="708"/>
      <c r="AH3" s="708"/>
      <c r="AI3" s="708"/>
      <c r="AJ3" s="709"/>
      <c r="AK3" s="531"/>
    </row>
    <row r="4" spans="1:37" s="532" customFormat="1">
      <c r="A4" s="530"/>
      <c r="B4" s="707"/>
      <c r="C4" s="708"/>
      <c r="D4" s="708"/>
      <c r="E4" s="708"/>
      <c r="F4" s="708"/>
      <c r="G4" s="708"/>
      <c r="H4" s="708"/>
      <c r="I4" s="708"/>
      <c r="J4" s="708"/>
      <c r="K4" s="708"/>
      <c r="L4" s="709"/>
      <c r="M4" s="724" t="s">
        <v>523</v>
      </c>
      <c r="N4" s="725"/>
      <c r="O4" s="725"/>
      <c r="P4" s="725"/>
      <c r="Q4" s="726"/>
      <c r="R4" s="533" t="s">
        <v>524</v>
      </c>
      <c r="S4" s="724" t="s">
        <v>525</v>
      </c>
      <c r="T4" s="727"/>
      <c r="U4" s="727"/>
      <c r="V4" s="727"/>
      <c r="W4" s="727"/>
      <c r="X4" s="727"/>
      <c r="Y4" s="727"/>
      <c r="Z4" s="728"/>
      <c r="AA4" s="533"/>
      <c r="AB4" s="724" t="s">
        <v>526</v>
      </c>
      <c r="AC4" s="727"/>
      <c r="AD4" s="727"/>
      <c r="AE4" s="727"/>
      <c r="AF4" s="727"/>
      <c r="AG4" s="728"/>
      <c r="AH4" s="533"/>
      <c r="AI4" s="707"/>
      <c r="AJ4" s="709"/>
      <c r="AK4" s="531"/>
    </row>
    <row r="5" spans="1:37" s="532" customFormat="1" ht="9" customHeight="1">
      <c r="A5" s="530"/>
      <c r="B5" s="707"/>
      <c r="C5" s="708"/>
      <c r="D5" s="708"/>
      <c r="E5" s="708"/>
      <c r="F5" s="708"/>
      <c r="G5" s="708"/>
      <c r="H5" s="708"/>
      <c r="I5" s="708"/>
      <c r="J5" s="708"/>
      <c r="K5" s="708"/>
      <c r="L5" s="709"/>
      <c r="M5" s="692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93"/>
      <c r="AE5" s="693"/>
      <c r="AF5" s="693"/>
      <c r="AG5" s="693"/>
      <c r="AH5" s="693"/>
      <c r="AI5" s="693"/>
      <c r="AJ5" s="694"/>
      <c r="AK5" s="531"/>
    </row>
    <row r="6" spans="1:37" s="532" customFormat="1" ht="12.75" customHeight="1">
      <c r="A6" s="530"/>
      <c r="B6" s="707"/>
      <c r="C6" s="708"/>
      <c r="D6" s="708"/>
      <c r="E6" s="708"/>
      <c r="F6" s="708"/>
      <c r="G6" s="708"/>
      <c r="H6" s="708"/>
      <c r="I6" s="708"/>
      <c r="J6" s="708"/>
      <c r="K6" s="708"/>
      <c r="L6" s="709"/>
      <c r="M6" s="695" t="s">
        <v>527</v>
      </c>
      <c r="N6" s="696"/>
      <c r="O6" s="696"/>
      <c r="P6" s="696"/>
      <c r="Q6" s="696"/>
      <c r="R6" s="696"/>
      <c r="S6" s="696"/>
      <c r="T6" s="696"/>
      <c r="U6" s="696"/>
      <c r="V6" s="696"/>
      <c r="W6" s="696"/>
      <c r="X6" s="696"/>
      <c r="Y6" s="697"/>
      <c r="Z6" s="698" t="s">
        <v>707</v>
      </c>
      <c r="AA6" s="699"/>
      <c r="AB6" s="699"/>
      <c r="AC6" s="699"/>
      <c r="AD6" s="699"/>
      <c r="AE6" s="699"/>
      <c r="AF6" s="699"/>
      <c r="AG6" s="699"/>
      <c r="AH6" s="699"/>
      <c r="AI6" s="699"/>
      <c r="AJ6" s="700"/>
      <c r="AK6" s="531"/>
    </row>
    <row r="7" spans="1:37" s="532" customFormat="1" ht="18" customHeight="1">
      <c r="A7" s="530"/>
      <c r="B7" s="692"/>
      <c r="C7" s="693"/>
      <c r="D7" s="693"/>
      <c r="E7" s="693"/>
      <c r="F7" s="693"/>
      <c r="G7" s="693"/>
      <c r="H7" s="693"/>
      <c r="I7" s="693"/>
      <c r="J7" s="693"/>
      <c r="K7" s="693"/>
      <c r="L7" s="694"/>
      <c r="M7" s="707"/>
      <c r="N7" s="708"/>
      <c r="O7" s="709"/>
      <c r="P7" s="710">
        <v>2012</v>
      </c>
      <c r="Q7" s="711"/>
      <c r="R7" s="711"/>
      <c r="S7" s="712"/>
      <c r="T7" s="713"/>
      <c r="U7" s="714"/>
      <c r="V7" s="714"/>
      <c r="W7" s="714"/>
      <c r="X7" s="714"/>
      <c r="Y7" s="715"/>
      <c r="Z7" s="701"/>
      <c r="AA7" s="702"/>
      <c r="AB7" s="702"/>
      <c r="AC7" s="702"/>
      <c r="AD7" s="702"/>
      <c r="AE7" s="702"/>
      <c r="AF7" s="702"/>
      <c r="AG7" s="702"/>
      <c r="AH7" s="702"/>
      <c r="AI7" s="702"/>
      <c r="AJ7" s="703"/>
      <c r="AK7" s="531"/>
    </row>
    <row r="8" spans="1:37" s="532" customFormat="1" ht="12.75" customHeight="1">
      <c r="A8" s="530"/>
      <c r="B8" s="747"/>
      <c r="C8" s="749" t="s">
        <v>528</v>
      </c>
      <c r="D8" s="749"/>
      <c r="E8" s="749"/>
      <c r="F8" s="749"/>
      <c r="G8" s="749"/>
      <c r="H8" s="751"/>
      <c r="I8" s="753" t="s">
        <v>529</v>
      </c>
      <c r="J8" s="754"/>
      <c r="K8" s="754"/>
      <c r="L8" s="755"/>
      <c r="M8" s="762"/>
      <c r="N8" s="763"/>
      <c r="O8" s="763"/>
      <c r="P8" s="763"/>
      <c r="Q8" s="763"/>
      <c r="R8" s="763"/>
      <c r="S8" s="763"/>
      <c r="T8" s="763"/>
      <c r="U8" s="763"/>
      <c r="V8" s="763"/>
      <c r="W8" s="763"/>
      <c r="X8" s="763"/>
      <c r="Y8" s="764"/>
      <c r="Z8" s="704"/>
      <c r="AA8" s="705"/>
      <c r="AB8" s="705"/>
      <c r="AC8" s="705"/>
      <c r="AD8" s="705"/>
      <c r="AE8" s="705"/>
      <c r="AF8" s="705"/>
      <c r="AG8" s="705"/>
      <c r="AH8" s="705"/>
      <c r="AI8" s="705"/>
      <c r="AJ8" s="706"/>
      <c r="AK8" s="531"/>
    </row>
    <row r="9" spans="1:37" s="532" customFormat="1">
      <c r="A9" s="530"/>
      <c r="B9" s="748"/>
      <c r="C9" s="750"/>
      <c r="D9" s="750"/>
      <c r="E9" s="750"/>
      <c r="F9" s="750"/>
      <c r="G9" s="750"/>
      <c r="H9" s="752"/>
      <c r="I9" s="756"/>
      <c r="J9" s="757"/>
      <c r="K9" s="757"/>
      <c r="L9" s="758"/>
      <c r="M9" s="765"/>
      <c r="N9" s="766"/>
      <c r="O9" s="766"/>
      <c r="P9" s="766"/>
      <c r="Q9" s="766"/>
      <c r="R9" s="766"/>
      <c r="S9" s="766"/>
      <c r="T9" s="766"/>
      <c r="U9" s="766"/>
      <c r="V9" s="766"/>
      <c r="W9" s="766"/>
      <c r="X9" s="766"/>
      <c r="Y9" s="767"/>
      <c r="Z9" s="707" t="s">
        <v>530</v>
      </c>
      <c r="AA9" s="708"/>
      <c r="AB9" s="708"/>
      <c r="AC9" s="708"/>
      <c r="AD9" s="708"/>
      <c r="AE9" s="708"/>
      <c r="AF9" s="708"/>
      <c r="AG9" s="708"/>
      <c r="AH9" s="708"/>
      <c r="AI9" s="708"/>
      <c r="AJ9" s="709"/>
      <c r="AK9" s="531"/>
    </row>
    <row r="10" spans="1:37" s="532" customFormat="1" ht="20.25" customHeight="1">
      <c r="A10" s="530"/>
      <c r="B10" s="740" t="s">
        <v>531</v>
      </c>
      <c r="C10" s="741"/>
      <c r="D10" s="741"/>
      <c r="E10" s="741"/>
      <c r="F10" s="741"/>
      <c r="G10" s="741"/>
      <c r="H10" s="742"/>
      <c r="I10" s="759"/>
      <c r="J10" s="760"/>
      <c r="K10" s="760"/>
      <c r="L10" s="761"/>
      <c r="M10" s="743" t="s">
        <v>532</v>
      </c>
      <c r="N10" s="744"/>
      <c r="O10" s="744"/>
      <c r="P10" s="744"/>
      <c r="Q10" s="744"/>
      <c r="R10" s="744"/>
      <c r="S10" s="745" t="s">
        <v>712</v>
      </c>
      <c r="T10" s="745"/>
      <c r="U10" s="745"/>
      <c r="V10" s="745"/>
      <c r="W10" s="745"/>
      <c r="X10" s="745"/>
      <c r="Y10" s="746"/>
      <c r="Z10" s="692" t="s">
        <v>533</v>
      </c>
      <c r="AA10" s="693"/>
      <c r="AB10" s="693"/>
      <c r="AC10" s="693"/>
      <c r="AD10" s="693"/>
      <c r="AE10" s="693"/>
      <c r="AF10" s="693"/>
      <c r="AG10" s="693"/>
      <c r="AH10" s="693"/>
      <c r="AI10" s="693"/>
      <c r="AJ10" s="694"/>
      <c r="AK10" s="531"/>
    </row>
    <row r="11" spans="1:37" s="532" customFormat="1" ht="3" customHeight="1">
      <c r="A11" s="530"/>
      <c r="B11" s="707"/>
      <c r="C11" s="708"/>
      <c r="D11" s="708"/>
      <c r="E11" s="708"/>
      <c r="F11" s="708"/>
      <c r="G11" s="708"/>
      <c r="H11" s="708"/>
      <c r="I11" s="708"/>
      <c r="J11" s="708"/>
      <c r="K11" s="708"/>
      <c r="L11" s="708"/>
      <c r="M11" s="708"/>
      <c r="N11" s="708"/>
      <c r="O11" s="708"/>
      <c r="P11" s="708"/>
      <c r="Q11" s="708"/>
      <c r="R11" s="708"/>
      <c r="S11" s="708"/>
      <c r="T11" s="708"/>
      <c r="U11" s="708"/>
      <c r="V11" s="708"/>
      <c r="W11" s="708"/>
      <c r="X11" s="708"/>
      <c r="Y11" s="708"/>
      <c r="Z11" s="708"/>
      <c r="AA11" s="708"/>
      <c r="AB11" s="708"/>
      <c r="AC11" s="708"/>
      <c r="AD11" s="708"/>
      <c r="AE11" s="708"/>
      <c r="AF11" s="708"/>
      <c r="AG11" s="708"/>
      <c r="AH11" s="708"/>
      <c r="AI11" s="708"/>
      <c r="AJ11" s="709"/>
      <c r="AK11" s="531"/>
    </row>
    <row r="12" spans="1:37" s="532" customFormat="1" ht="21" customHeight="1">
      <c r="A12" s="530"/>
      <c r="B12" s="729" t="s">
        <v>534</v>
      </c>
      <c r="C12" s="730"/>
      <c r="D12" s="730"/>
      <c r="E12" s="730"/>
      <c r="F12" s="730"/>
      <c r="G12" s="730"/>
      <c r="H12" s="730"/>
      <c r="I12" s="730"/>
      <c r="J12" s="730"/>
      <c r="K12" s="730"/>
      <c r="L12" s="730"/>
      <c r="M12" s="730"/>
      <c r="N12" s="730"/>
      <c r="O12" s="730"/>
      <c r="P12" s="730"/>
      <c r="Q12" s="730"/>
      <c r="R12" s="730"/>
      <c r="S12" s="730"/>
      <c r="T12" s="730"/>
      <c r="U12" s="730"/>
      <c r="V12" s="730"/>
      <c r="W12" s="730"/>
      <c r="X12" s="730"/>
      <c r="Y12" s="730"/>
      <c r="Z12" s="730"/>
      <c r="AA12" s="730"/>
      <c r="AB12" s="730"/>
      <c r="AC12" s="730"/>
      <c r="AD12" s="730"/>
      <c r="AE12" s="730"/>
      <c r="AF12" s="730"/>
      <c r="AG12" s="730"/>
      <c r="AH12" s="730"/>
      <c r="AI12" s="730"/>
      <c r="AJ12" s="731"/>
      <c r="AK12" s="531"/>
    </row>
    <row r="13" spans="1:37" s="532" customFormat="1" ht="3" customHeight="1">
      <c r="A13" s="530"/>
      <c r="B13" s="707"/>
      <c r="C13" s="708"/>
      <c r="D13" s="708"/>
      <c r="E13" s="708"/>
      <c r="F13" s="708"/>
      <c r="G13" s="708"/>
      <c r="H13" s="708"/>
      <c r="I13" s="708"/>
      <c r="J13" s="708"/>
      <c r="K13" s="708"/>
      <c r="L13" s="708"/>
      <c r="M13" s="708"/>
      <c r="N13" s="708"/>
      <c r="O13" s="708"/>
      <c r="P13" s="708"/>
      <c r="Q13" s="708"/>
      <c r="R13" s="708"/>
      <c r="S13" s="708"/>
      <c r="T13" s="708"/>
      <c r="U13" s="708"/>
      <c r="V13" s="708"/>
      <c r="W13" s="708"/>
      <c r="X13" s="708"/>
      <c r="Y13" s="708"/>
      <c r="Z13" s="708"/>
      <c r="AA13" s="708"/>
      <c r="AB13" s="708"/>
      <c r="AC13" s="708"/>
      <c r="AD13" s="708"/>
      <c r="AE13" s="708"/>
      <c r="AF13" s="708"/>
      <c r="AG13" s="708"/>
      <c r="AH13" s="708"/>
      <c r="AI13" s="708"/>
      <c r="AJ13" s="709"/>
      <c r="AK13" s="531"/>
    </row>
    <row r="14" spans="1:37" s="532" customFormat="1" ht="18.95" customHeight="1">
      <c r="A14" s="530"/>
      <c r="B14" s="732" t="s">
        <v>535</v>
      </c>
      <c r="C14" s="733"/>
      <c r="D14" s="733"/>
      <c r="E14" s="734" t="s">
        <v>708</v>
      </c>
      <c r="F14" s="734"/>
      <c r="G14" s="734"/>
      <c r="H14" s="734"/>
      <c r="I14" s="734"/>
      <c r="J14" s="734"/>
      <c r="K14" s="734"/>
      <c r="L14" s="734"/>
      <c r="M14" s="734"/>
      <c r="N14" s="734"/>
      <c r="O14" s="734"/>
      <c r="P14" s="734"/>
      <c r="Q14" s="734"/>
      <c r="R14" s="734"/>
      <c r="S14" s="734"/>
      <c r="T14" s="734"/>
      <c r="U14" s="734"/>
      <c r="V14" s="734"/>
      <c r="W14" s="734"/>
      <c r="X14" s="734"/>
      <c r="Y14" s="734"/>
      <c r="Z14" s="734"/>
      <c r="AA14" s="734"/>
      <c r="AB14" s="734"/>
      <c r="AC14" s="734"/>
      <c r="AD14" s="734"/>
      <c r="AE14" s="734"/>
      <c r="AF14" s="734"/>
      <c r="AG14" s="734"/>
      <c r="AH14" s="734"/>
      <c r="AI14" s="734"/>
      <c r="AJ14" s="735"/>
      <c r="AK14" s="531"/>
    </row>
    <row r="15" spans="1:37" s="532" customFormat="1" ht="18.95" customHeight="1">
      <c r="A15" s="530"/>
      <c r="B15" s="732"/>
      <c r="C15" s="736"/>
      <c r="D15" s="736"/>
      <c r="E15" s="736"/>
      <c r="F15" s="736"/>
      <c r="G15" s="736"/>
      <c r="H15" s="736"/>
      <c r="I15" s="736"/>
      <c r="J15" s="736"/>
      <c r="K15" s="736"/>
      <c r="L15" s="736"/>
      <c r="M15" s="736"/>
      <c r="N15" s="736"/>
      <c r="O15" s="736"/>
      <c r="P15" s="736"/>
      <c r="Q15" s="736"/>
      <c r="R15" s="736"/>
      <c r="S15" s="736"/>
      <c r="T15" s="736"/>
      <c r="U15" s="736"/>
      <c r="V15" s="736"/>
      <c r="W15" s="736"/>
      <c r="X15" s="736"/>
      <c r="Y15" s="736"/>
      <c r="Z15" s="736"/>
      <c r="AA15" s="736"/>
      <c r="AB15" s="736"/>
      <c r="AC15" s="736"/>
      <c r="AD15" s="736"/>
      <c r="AE15" s="736"/>
      <c r="AF15" s="736"/>
      <c r="AG15" s="736"/>
      <c r="AH15" s="736"/>
      <c r="AI15" s="736"/>
      <c r="AJ15" s="737"/>
      <c r="AK15" s="531"/>
    </row>
    <row r="16" spans="1:37" s="532" customFormat="1" ht="18.95" customHeight="1">
      <c r="A16" s="530"/>
      <c r="B16" s="738" t="s">
        <v>536</v>
      </c>
      <c r="C16" s="739"/>
      <c r="D16" s="739"/>
      <c r="E16" s="739"/>
      <c r="F16" s="739"/>
      <c r="G16" s="739"/>
      <c r="H16" s="739"/>
      <c r="I16" s="739"/>
      <c r="J16" s="739"/>
      <c r="K16" s="739"/>
      <c r="L16" s="739"/>
      <c r="M16" s="739"/>
      <c r="N16" s="739"/>
      <c r="O16" s="739"/>
      <c r="P16" s="739"/>
      <c r="Q16" s="739"/>
      <c r="R16" s="739"/>
      <c r="S16" s="739"/>
      <c r="T16" s="739"/>
      <c r="U16" s="739"/>
      <c r="V16" s="739"/>
      <c r="W16" s="739"/>
      <c r="X16" s="739"/>
      <c r="Y16" s="739"/>
      <c r="Z16" s="739"/>
      <c r="AA16" s="534">
        <v>1</v>
      </c>
      <c r="AB16" s="534">
        <v>3</v>
      </c>
      <c r="AC16" s="534">
        <v>0</v>
      </c>
      <c r="AD16" s="534">
        <v>8</v>
      </c>
      <c r="AE16" s="534">
        <v>0</v>
      </c>
      <c r="AF16" s="534">
        <v>2</v>
      </c>
      <c r="AG16" s="534">
        <v>7</v>
      </c>
      <c r="AH16" s="534">
        <v>0</v>
      </c>
      <c r="AI16" s="534">
        <v>1</v>
      </c>
      <c r="AJ16" s="535"/>
      <c r="AK16" s="531"/>
    </row>
    <row r="17" spans="1:37" s="532" customFormat="1" ht="18.95" customHeight="1">
      <c r="A17" s="530"/>
      <c r="B17" s="732" t="s">
        <v>537</v>
      </c>
      <c r="C17" s="733"/>
      <c r="D17" s="733"/>
      <c r="E17" s="733"/>
      <c r="F17" s="733"/>
      <c r="G17" s="733"/>
      <c r="H17" s="733"/>
      <c r="I17" s="733"/>
      <c r="J17" s="768" t="s">
        <v>718</v>
      </c>
      <c r="K17" s="769"/>
      <c r="L17" s="769"/>
      <c r="M17" s="769"/>
      <c r="N17" s="769"/>
      <c r="O17" s="769"/>
      <c r="P17" s="769"/>
      <c r="Q17" s="769"/>
      <c r="R17" s="769"/>
      <c r="S17" s="769"/>
      <c r="T17" s="769"/>
      <c r="U17" s="769"/>
      <c r="V17" s="769"/>
      <c r="W17" s="769"/>
      <c r="X17" s="769"/>
      <c r="Y17" s="769"/>
      <c r="Z17" s="769"/>
      <c r="AA17" s="769"/>
      <c r="AB17" s="769"/>
      <c r="AC17" s="769"/>
      <c r="AD17" s="769"/>
      <c r="AE17" s="769"/>
      <c r="AF17" s="769"/>
      <c r="AG17" s="769"/>
      <c r="AH17" s="769"/>
      <c r="AI17" s="769"/>
      <c r="AJ17" s="770"/>
      <c r="AK17" s="531"/>
    </row>
    <row r="18" spans="1:37" s="532" customFormat="1" ht="18.95" customHeight="1">
      <c r="A18" s="530"/>
      <c r="B18" s="771"/>
      <c r="C18" s="736"/>
      <c r="D18" s="736"/>
      <c r="E18" s="736"/>
      <c r="F18" s="736"/>
      <c r="G18" s="736"/>
      <c r="H18" s="736"/>
      <c r="I18" s="736"/>
      <c r="J18" s="736"/>
      <c r="K18" s="736"/>
      <c r="L18" s="736"/>
      <c r="M18" s="736"/>
      <c r="N18" s="736"/>
      <c r="O18" s="736"/>
      <c r="P18" s="736"/>
      <c r="Q18" s="736"/>
      <c r="R18" s="736"/>
      <c r="S18" s="736"/>
      <c r="T18" s="736"/>
      <c r="U18" s="736"/>
      <c r="V18" s="736"/>
      <c r="W18" s="736"/>
      <c r="X18" s="736"/>
      <c r="Y18" s="736"/>
      <c r="Z18" s="736"/>
      <c r="AA18" s="736"/>
      <c r="AB18" s="736"/>
      <c r="AC18" s="736"/>
      <c r="AD18" s="736"/>
      <c r="AE18" s="736"/>
      <c r="AF18" s="736"/>
      <c r="AG18" s="736"/>
      <c r="AH18" s="736"/>
      <c r="AI18" s="736"/>
      <c r="AJ18" s="737"/>
      <c r="AK18" s="531"/>
    </row>
    <row r="19" spans="1:37" s="532" customFormat="1" ht="18.95" customHeight="1">
      <c r="A19" s="530"/>
      <c r="B19" s="732" t="s">
        <v>538</v>
      </c>
      <c r="C19" s="733"/>
      <c r="D19" s="734"/>
      <c r="E19" s="734"/>
      <c r="F19" s="734"/>
      <c r="G19" s="733" t="s">
        <v>539</v>
      </c>
      <c r="H19" s="733"/>
      <c r="I19" s="733"/>
      <c r="J19" s="734"/>
      <c r="K19" s="734"/>
      <c r="L19" s="734"/>
      <c r="M19" s="734"/>
      <c r="N19" s="536" t="s">
        <v>540</v>
      </c>
      <c r="O19" s="536"/>
      <c r="P19" s="768"/>
      <c r="Q19" s="769"/>
      <c r="R19" s="769"/>
      <c r="S19" s="769"/>
      <c r="T19" s="769"/>
      <c r="U19" s="769"/>
      <c r="V19" s="772"/>
      <c r="W19" s="733" t="s">
        <v>541</v>
      </c>
      <c r="X19" s="733"/>
      <c r="Y19" s="733"/>
      <c r="Z19" s="733"/>
      <c r="AA19" s="773" t="s">
        <v>709</v>
      </c>
      <c r="AB19" s="774"/>
      <c r="AC19" s="774"/>
      <c r="AD19" s="774"/>
      <c r="AE19" s="774"/>
      <c r="AF19" s="774"/>
      <c r="AG19" s="774"/>
      <c r="AH19" s="774"/>
      <c r="AI19" s="774"/>
      <c r="AJ19" s="775"/>
      <c r="AK19" s="531"/>
    </row>
    <row r="20" spans="1:37" s="532" customFormat="1" ht="18.95" customHeight="1">
      <c r="A20" s="530"/>
      <c r="B20" s="732" t="s">
        <v>542</v>
      </c>
      <c r="C20" s="733"/>
      <c r="D20" s="733"/>
      <c r="E20" s="733"/>
      <c r="F20" s="733"/>
      <c r="G20" s="733"/>
      <c r="H20" s="733"/>
      <c r="I20" s="768" t="s">
        <v>710</v>
      </c>
      <c r="J20" s="769"/>
      <c r="K20" s="769"/>
      <c r="L20" s="769"/>
      <c r="M20" s="769"/>
      <c r="N20" s="769"/>
      <c r="O20" s="769"/>
      <c r="P20" s="769"/>
      <c r="Q20" s="769"/>
      <c r="R20" s="769"/>
      <c r="S20" s="769"/>
      <c r="T20" s="769"/>
      <c r="U20" s="772"/>
      <c r="V20" s="733" t="s">
        <v>543</v>
      </c>
      <c r="W20" s="733"/>
      <c r="X20" s="733"/>
      <c r="Y20" s="733"/>
      <c r="Z20" s="733"/>
      <c r="AA20" s="733"/>
      <c r="AB20" s="768" t="s">
        <v>711</v>
      </c>
      <c r="AC20" s="769"/>
      <c r="AD20" s="769"/>
      <c r="AE20" s="769"/>
      <c r="AF20" s="769"/>
      <c r="AG20" s="769"/>
      <c r="AH20" s="769"/>
      <c r="AI20" s="769"/>
      <c r="AJ20" s="770"/>
      <c r="AK20" s="531"/>
    </row>
    <row r="21" spans="1:37" s="532" customFormat="1" ht="3" customHeight="1">
      <c r="A21" s="530"/>
      <c r="B21" s="776"/>
      <c r="C21" s="777"/>
      <c r="D21" s="777"/>
      <c r="E21" s="777"/>
      <c r="F21" s="777"/>
      <c r="G21" s="777"/>
      <c r="H21" s="777"/>
      <c r="I21" s="777"/>
      <c r="J21" s="777"/>
      <c r="K21" s="777"/>
      <c r="L21" s="777"/>
      <c r="M21" s="777"/>
      <c r="N21" s="777"/>
      <c r="O21" s="777"/>
      <c r="P21" s="777"/>
      <c r="Q21" s="777"/>
      <c r="R21" s="777"/>
      <c r="S21" s="777"/>
      <c r="T21" s="777"/>
      <c r="U21" s="777"/>
      <c r="V21" s="777"/>
      <c r="W21" s="777"/>
      <c r="X21" s="777"/>
      <c r="Y21" s="777"/>
      <c r="Z21" s="777"/>
      <c r="AA21" s="777"/>
      <c r="AB21" s="777"/>
      <c r="AC21" s="777"/>
      <c r="AD21" s="777"/>
      <c r="AE21" s="777"/>
      <c r="AF21" s="777"/>
      <c r="AG21" s="777"/>
      <c r="AH21" s="777"/>
      <c r="AI21" s="777"/>
      <c r="AJ21" s="778"/>
      <c r="AK21" s="531"/>
    </row>
    <row r="22" spans="1:37" s="532" customFormat="1" ht="12" customHeight="1">
      <c r="A22" s="530"/>
      <c r="B22" s="707" t="s">
        <v>545</v>
      </c>
      <c r="C22" s="708"/>
      <c r="D22" s="708"/>
      <c r="E22" s="708"/>
      <c r="F22" s="708"/>
      <c r="G22" s="708" t="s">
        <v>546</v>
      </c>
      <c r="H22" s="709"/>
      <c r="I22" s="533" t="s">
        <v>524</v>
      </c>
      <c r="J22" s="707" t="s">
        <v>547</v>
      </c>
      <c r="K22" s="708"/>
      <c r="L22" s="708"/>
      <c r="M22" s="708"/>
      <c r="N22" s="708"/>
      <c r="O22" s="708"/>
      <c r="P22" s="708"/>
      <c r="Q22" s="708"/>
      <c r="R22" s="708"/>
      <c r="S22" s="708"/>
      <c r="T22" s="708"/>
      <c r="U22" s="708"/>
      <c r="V22" s="708"/>
      <c r="W22" s="708"/>
      <c r="X22" s="708"/>
      <c r="Y22" s="708"/>
      <c r="Z22" s="708"/>
      <c r="AA22" s="708"/>
      <c r="AB22" s="708"/>
      <c r="AC22" s="708" t="s">
        <v>546</v>
      </c>
      <c r="AD22" s="709"/>
      <c r="AE22" s="533"/>
      <c r="AF22" s="779" t="s">
        <v>538</v>
      </c>
      <c r="AG22" s="780"/>
      <c r="AH22" s="781"/>
      <c r="AI22" s="533"/>
      <c r="AJ22" s="537"/>
      <c r="AK22" s="531"/>
    </row>
    <row r="23" spans="1:37" s="532" customFormat="1" ht="12" customHeight="1">
      <c r="A23" s="530"/>
      <c r="B23" s="707"/>
      <c r="C23" s="708"/>
      <c r="D23" s="708"/>
      <c r="E23" s="708"/>
      <c r="F23" s="708"/>
      <c r="G23" s="708" t="s">
        <v>548</v>
      </c>
      <c r="H23" s="709"/>
      <c r="I23" s="533"/>
      <c r="J23" s="707"/>
      <c r="K23" s="708"/>
      <c r="L23" s="708"/>
      <c r="M23" s="708"/>
      <c r="N23" s="708"/>
      <c r="O23" s="708"/>
      <c r="P23" s="708"/>
      <c r="Q23" s="708"/>
      <c r="R23" s="708"/>
      <c r="S23" s="708"/>
      <c r="T23" s="708"/>
      <c r="U23" s="708"/>
      <c r="V23" s="708"/>
      <c r="W23" s="708"/>
      <c r="X23" s="708"/>
      <c r="Y23" s="708"/>
      <c r="Z23" s="708"/>
      <c r="AA23" s="708"/>
      <c r="AB23" s="708"/>
      <c r="AC23" s="708" t="s">
        <v>548</v>
      </c>
      <c r="AD23" s="709"/>
      <c r="AE23" s="533" t="s">
        <v>524</v>
      </c>
      <c r="AF23" s="707"/>
      <c r="AG23" s="708"/>
      <c r="AH23" s="708"/>
      <c r="AI23" s="708"/>
      <c r="AJ23" s="709"/>
      <c r="AK23" s="531"/>
    </row>
    <row r="24" spans="1:37" s="532" customFormat="1" ht="3" customHeight="1">
      <c r="A24" s="530"/>
      <c r="B24" s="797"/>
      <c r="C24" s="798"/>
      <c r="D24" s="798"/>
      <c r="E24" s="798"/>
      <c r="F24" s="798"/>
      <c r="G24" s="798"/>
      <c r="H24" s="798"/>
      <c r="I24" s="798"/>
      <c r="J24" s="798"/>
      <c r="K24" s="798"/>
      <c r="L24" s="798"/>
      <c r="M24" s="798"/>
      <c r="N24" s="798"/>
      <c r="O24" s="798"/>
      <c r="P24" s="798"/>
      <c r="Q24" s="798"/>
      <c r="R24" s="798"/>
      <c r="S24" s="798"/>
      <c r="T24" s="798"/>
      <c r="U24" s="798"/>
      <c r="V24" s="798"/>
      <c r="W24" s="798"/>
      <c r="X24" s="798"/>
      <c r="Y24" s="798"/>
      <c r="Z24" s="798"/>
      <c r="AA24" s="798"/>
      <c r="AB24" s="798"/>
      <c r="AC24" s="798"/>
      <c r="AD24" s="798"/>
      <c r="AE24" s="798"/>
      <c r="AF24" s="798"/>
      <c r="AG24" s="798"/>
      <c r="AH24" s="798"/>
      <c r="AI24" s="798"/>
      <c r="AJ24" s="799"/>
      <c r="AK24" s="531"/>
    </row>
    <row r="25" spans="1:37" s="538" customFormat="1" ht="21" customHeight="1">
      <c r="A25" s="530"/>
      <c r="B25" s="800" t="s">
        <v>549</v>
      </c>
      <c r="C25" s="801"/>
      <c r="D25" s="801"/>
      <c r="E25" s="801"/>
      <c r="F25" s="802" t="s">
        <v>550</v>
      </c>
      <c r="G25" s="802"/>
      <c r="H25" s="802"/>
      <c r="I25" s="802"/>
      <c r="J25" s="802"/>
      <c r="K25" s="802"/>
      <c r="L25" s="802"/>
      <c r="M25" s="802"/>
      <c r="N25" s="802"/>
      <c r="O25" s="802"/>
      <c r="P25" s="802"/>
      <c r="Q25" s="802"/>
      <c r="R25" s="802"/>
      <c r="S25" s="802"/>
      <c r="T25" s="802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3"/>
      <c r="AK25" s="531"/>
    </row>
    <row r="26" spans="1:37" s="539" customFormat="1" ht="18.95" customHeight="1">
      <c r="A26" s="530"/>
      <c r="B26" s="782" t="s">
        <v>551</v>
      </c>
      <c r="C26" s="783"/>
      <c r="D26" s="783"/>
      <c r="E26" s="783"/>
      <c r="F26" s="783"/>
      <c r="G26" s="783"/>
      <c r="H26" s="783"/>
      <c r="I26" s="783"/>
      <c r="J26" s="783"/>
      <c r="K26" s="783"/>
      <c r="L26" s="783"/>
      <c r="M26" s="783"/>
      <c r="N26" s="783"/>
      <c r="O26" s="783"/>
      <c r="P26" s="783"/>
      <c r="Q26" s="783"/>
      <c r="R26" s="783"/>
      <c r="S26" s="783"/>
      <c r="T26" s="783"/>
      <c r="U26" s="783"/>
      <c r="V26" s="783"/>
      <c r="W26" s="783"/>
      <c r="X26" s="783"/>
      <c r="Y26" s="783"/>
      <c r="Z26" s="783"/>
      <c r="AA26" s="783"/>
      <c r="AB26" s="783"/>
      <c r="AC26" s="783"/>
      <c r="AD26" s="783"/>
      <c r="AE26" s="784"/>
      <c r="AF26" s="785">
        <f>AF117</f>
        <v>7111134.4646666665</v>
      </c>
      <c r="AG26" s="786"/>
      <c r="AH26" s="786"/>
      <c r="AI26" s="786"/>
      <c r="AJ26" s="787"/>
      <c r="AK26" s="531"/>
    </row>
    <row r="27" spans="1:37" s="539" customFormat="1" ht="18.95" customHeight="1">
      <c r="A27" s="530"/>
      <c r="B27" s="782" t="s">
        <v>552</v>
      </c>
      <c r="C27" s="783"/>
      <c r="D27" s="783"/>
      <c r="E27" s="783"/>
      <c r="F27" s="783"/>
      <c r="G27" s="783"/>
      <c r="H27" s="783"/>
      <c r="I27" s="783"/>
      <c r="J27" s="783"/>
      <c r="K27" s="783"/>
      <c r="L27" s="783"/>
      <c r="M27" s="783"/>
      <c r="N27" s="783"/>
      <c r="O27" s="783"/>
      <c r="P27" s="783"/>
      <c r="Q27" s="783"/>
      <c r="R27" s="783"/>
      <c r="S27" s="783"/>
      <c r="T27" s="783"/>
      <c r="U27" s="783"/>
      <c r="V27" s="783"/>
      <c r="W27" s="783"/>
      <c r="X27" s="783"/>
      <c r="Y27" s="783"/>
      <c r="Z27" s="783"/>
      <c r="AA27" s="783"/>
      <c r="AB27" s="783"/>
      <c r="AC27" s="783"/>
      <c r="AD27" s="783"/>
      <c r="AE27" s="783"/>
      <c r="AF27" s="783"/>
      <c r="AG27" s="783"/>
      <c r="AH27" s="783"/>
      <c r="AI27" s="783"/>
      <c r="AJ27" s="784"/>
      <c r="AK27" s="531"/>
    </row>
    <row r="28" spans="1:37" s="538" customFormat="1" ht="18.95" customHeight="1">
      <c r="A28" s="530"/>
      <c r="B28" s="788"/>
      <c r="C28" s="789"/>
      <c r="D28" s="789"/>
      <c r="E28" s="789"/>
      <c r="F28" s="789"/>
      <c r="G28" s="789"/>
      <c r="H28" s="789"/>
      <c r="I28" s="789"/>
      <c r="J28" s="789"/>
      <c r="K28" s="789"/>
      <c r="L28" s="789"/>
      <c r="M28" s="789"/>
      <c r="N28" s="789"/>
      <c r="O28" s="789"/>
      <c r="P28" s="789"/>
      <c r="Q28" s="789"/>
      <c r="R28" s="789"/>
      <c r="S28" s="789"/>
      <c r="T28" s="789"/>
      <c r="U28" s="789"/>
      <c r="V28" s="789"/>
      <c r="W28" s="789"/>
      <c r="X28" s="789"/>
      <c r="Y28" s="789"/>
      <c r="Z28" s="789"/>
      <c r="AA28" s="789"/>
      <c r="AB28" s="789"/>
      <c r="AC28" s="789"/>
      <c r="AD28" s="789"/>
      <c r="AE28" s="789"/>
      <c r="AF28" s="789"/>
      <c r="AG28" s="789"/>
      <c r="AH28" s="789"/>
      <c r="AI28" s="789"/>
      <c r="AJ28" s="790"/>
      <c r="AK28" s="531"/>
    </row>
    <row r="29" spans="1:37" s="538" customFormat="1" ht="18.95" customHeight="1">
      <c r="A29" s="530"/>
      <c r="B29" s="791" t="s">
        <v>553</v>
      </c>
      <c r="C29" s="792"/>
      <c r="D29" s="792"/>
      <c r="E29" s="792"/>
      <c r="F29" s="792"/>
      <c r="G29" s="792"/>
      <c r="H29" s="792"/>
      <c r="I29" s="792"/>
      <c r="J29" s="792"/>
      <c r="K29" s="792"/>
      <c r="L29" s="792"/>
      <c r="M29" s="792"/>
      <c r="N29" s="792"/>
      <c r="O29" s="792"/>
      <c r="P29" s="792"/>
      <c r="Q29" s="792"/>
      <c r="R29" s="792"/>
      <c r="S29" s="792"/>
      <c r="T29" s="792"/>
      <c r="U29" s="792"/>
      <c r="V29" s="792"/>
      <c r="W29" s="792"/>
      <c r="X29" s="792"/>
      <c r="Y29" s="792"/>
      <c r="Z29" s="792"/>
      <c r="AA29" s="792"/>
      <c r="AB29" s="792"/>
      <c r="AC29" s="792"/>
      <c r="AD29" s="792"/>
      <c r="AE29" s="793"/>
      <c r="AF29" s="794">
        <v>0</v>
      </c>
      <c r="AG29" s="795"/>
      <c r="AH29" s="795"/>
      <c r="AI29" s="795"/>
      <c r="AJ29" s="796"/>
      <c r="AK29" s="531"/>
    </row>
    <row r="30" spans="1:37" s="538" customFormat="1" ht="18.95" customHeight="1">
      <c r="A30" s="530"/>
      <c r="B30" s="791" t="s">
        <v>554</v>
      </c>
      <c r="C30" s="792"/>
      <c r="D30" s="792"/>
      <c r="E30" s="792"/>
      <c r="F30" s="792"/>
      <c r="G30" s="792"/>
      <c r="H30" s="792"/>
      <c r="I30" s="792"/>
      <c r="J30" s="792"/>
      <c r="K30" s="792"/>
      <c r="L30" s="792"/>
      <c r="M30" s="792"/>
      <c r="N30" s="792"/>
      <c r="O30" s="792"/>
      <c r="P30" s="792"/>
      <c r="Q30" s="792"/>
      <c r="R30" s="792"/>
      <c r="S30" s="792"/>
      <c r="T30" s="792"/>
      <c r="U30" s="792"/>
      <c r="V30" s="792"/>
      <c r="W30" s="792"/>
      <c r="X30" s="792"/>
      <c r="Y30" s="792"/>
      <c r="Z30" s="792"/>
      <c r="AA30" s="792"/>
      <c r="AB30" s="792"/>
      <c r="AC30" s="792"/>
      <c r="AD30" s="792"/>
      <c r="AE30" s="793"/>
      <c r="AF30" s="794">
        <v>0</v>
      </c>
      <c r="AG30" s="795"/>
      <c r="AH30" s="795"/>
      <c r="AI30" s="795"/>
      <c r="AJ30" s="796"/>
      <c r="AK30" s="531"/>
    </row>
    <row r="31" spans="1:37" s="538" customFormat="1" ht="18.95" customHeight="1">
      <c r="A31" s="530"/>
      <c r="B31" s="791" t="s">
        <v>555</v>
      </c>
      <c r="C31" s="792"/>
      <c r="D31" s="792"/>
      <c r="E31" s="792"/>
      <c r="F31" s="792"/>
      <c r="G31" s="792"/>
      <c r="H31" s="792"/>
      <c r="I31" s="792"/>
      <c r="J31" s="792"/>
      <c r="K31" s="792"/>
      <c r="L31" s="792"/>
      <c r="M31" s="792"/>
      <c r="N31" s="792"/>
      <c r="O31" s="792"/>
      <c r="P31" s="792"/>
      <c r="Q31" s="792"/>
      <c r="R31" s="792"/>
      <c r="S31" s="792"/>
      <c r="T31" s="792"/>
      <c r="U31" s="792"/>
      <c r="V31" s="792"/>
      <c r="W31" s="792"/>
      <c r="X31" s="792"/>
      <c r="Y31" s="792"/>
      <c r="Z31" s="792"/>
      <c r="AA31" s="792"/>
      <c r="AB31" s="792"/>
      <c r="AC31" s="792"/>
      <c r="AD31" s="792"/>
      <c r="AE31" s="793"/>
      <c r="AF31" s="794">
        <v>0</v>
      </c>
      <c r="AG31" s="795"/>
      <c r="AH31" s="795"/>
      <c r="AI31" s="795"/>
      <c r="AJ31" s="796"/>
      <c r="AK31" s="531"/>
    </row>
    <row r="32" spans="1:37" s="538" customFormat="1" ht="18.95" customHeight="1">
      <c r="A32" s="530"/>
      <c r="B32" s="788"/>
      <c r="C32" s="789"/>
      <c r="D32" s="789"/>
      <c r="E32" s="789"/>
      <c r="F32" s="789"/>
      <c r="G32" s="789"/>
      <c r="H32" s="789"/>
      <c r="I32" s="789"/>
      <c r="J32" s="789"/>
      <c r="K32" s="789"/>
      <c r="L32" s="789"/>
      <c r="M32" s="789"/>
      <c r="N32" s="789"/>
      <c r="O32" s="789"/>
      <c r="P32" s="789"/>
      <c r="Q32" s="789"/>
      <c r="R32" s="789"/>
      <c r="S32" s="789"/>
      <c r="T32" s="789"/>
      <c r="U32" s="789"/>
      <c r="V32" s="789"/>
      <c r="W32" s="789"/>
      <c r="X32" s="789"/>
      <c r="Y32" s="789"/>
      <c r="Z32" s="789"/>
      <c r="AA32" s="789"/>
      <c r="AB32" s="789"/>
      <c r="AC32" s="789"/>
      <c r="AD32" s="789"/>
      <c r="AE32" s="789"/>
      <c r="AF32" s="789"/>
      <c r="AG32" s="789"/>
      <c r="AH32" s="789"/>
      <c r="AI32" s="789"/>
      <c r="AJ32" s="790"/>
      <c r="AK32" s="531"/>
    </row>
    <row r="33" spans="1:37" s="538" customFormat="1" ht="18.95" customHeight="1">
      <c r="A33" s="530"/>
      <c r="B33" s="812" t="s">
        <v>556</v>
      </c>
      <c r="C33" s="813"/>
      <c r="D33" s="813"/>
      <c r="E33" s="813"/>
      <c r="F33" s="813"/>
      <c r="G33" s="813"/>
      <c r="H33" s="813"/>
      <c r="I33" s="813"/>
      <c r="J33" s="813"/>
      <c r="K33" s="813"/>
      <c r="L33" s="813"/>
      <c r="M33" s="813"/>
      <c r="N33" s="813"/>
      <c r="O33" s="813"/>
      <c r="P33" s="813"/>
      <c r="Q33" s="813"/>
      <c r="R33" s="813"/>
      <c r="S33" s="813"/>
      <c r="T33" s="813"/>
      <c r="U33" s="813"/>
      <c r="V33" s="813"/>
      <c r="W33" s="813"/>
      <c r="X33" s="813"/>
      <c r="Y33" s="813"/>
      <c r="Z33" s="813"/>
      <c r="AA33" s="813"/>
      <c r="AB33" s="813"/>
      <c r="AC33" s="813"/>
      <c r="AD33" s="813"/>
      <c r="AE33" s="814"/>
      <c r="AF33" s="806">
        <f>AF29+AF30+AF31</f>
        <v>0</v>
      </c>
      <c r="AG33" s="807"/>
      <c r="AH33" s="807"/>
      <c r="AI33" s="807"/>
      <c r="AJ33" s="808"/>
      <c r="AK33" s="531"/>
    </row>
    <row r="34" spans="1:37" s="538" customFormat="1" ht="18.95" customHeight="1">
      <c r="A34" s="530"/>
      <c r="B34" s="804" t="s">
        <v>557</v>
      </c>
      <c r="C34" s="805"/>
      <c r="D34" s="805"/>
      <c r="E34" s="805"/>
      <c r="F34" s="805"/>
      <c r="G34" s="805"/>
      <c r="H34" s="805"/>
      <c r="I34" s="805"/>
      <c r="J34" s="805"/>
      <c r="K34" s="805"/>
      <c r="L34" s="805"/>
      <c r="M34" s="805"/>
      <c r="N34" s="805"/>
      <c r="O34" s="805"/>
      <c r="P34" s="805"/>
      <c r="Q34" s="805"/>
      <c r="R34" s="805"/>
      <c r="S34" s="805"/>
      <c r="T34" s="805"/>
      <c r="U34" s="805"/>
      <c r="V34" s="805"/>
      <c r="W34" s="805"/>
      <c r="X34" s="805"/>
      <c r="Y34" s="805"/>
      <c r="Z34" s="805"/>
      <c r="AA34" s="805"/>
      <c r="AB34" s="805"/>
      <c r="AC34" s="805"/>
      <c r="AD34" s="805"/>
      <c r="AE34" s="805"/>
      <c r="AF34" s="806">
        <f>AF35+AF36+AF37+AF38+AF39+AF40+AF41</f>
        <v>0</v>
      </c>
      <c r="AG34" s="807"/>
      <c r="AH34" s="807"/>
      <c r="AI34" s="807"/>
      <c r="AJ34" s="808"/>
      <c r="AK34" s="531"/>
    </row>
    <row r="35" spans="1:37" s="538" customFormat="1" ht="18.95" customHeight="1">
      <c r="A35" s="530"/>
      <c r="B35" s="809" t="s">
        <v>558</v>
      </c>
      <c r="C35" s="810"/>
      <c r="D35" s="810"/>
      <c r="E35" s="810"/>
      <c r="F35" s="810"/>
      <c r="G35" s="810"/>
      <c r="H35" s="810"/>
      <c r="I35" s="810"/>
      <c r="J35" s="810"/>
      <c r="K35" s="810"/>
      <c r="L35" s="810"/>
      <c r="M35" s="810"/>
      <c r="N35" s="810"/>
      <c r="O35" s="810"/>
      <c r="P35" s="810"/>
      <c r="Q35" s="810"/>
      <c r="R35" s="810"/>
      <c r="S35" s="810"/>
      <c r="T35" s="810"/>
      <c r="U35" s="810"/>
      <c r="V35" s="810"/>
      <c r="W35" s="810"/>
      <c r="X35" s="810"/>
      <c r="Y35" s="810"/>
      <c r="Z35" s="810"/>
      <c r="AA35" s="810"/>
      <c r="AB35" s="810"/>
      <c r="AC35" s="810"/>
      <c r="AD35" s="810"/>
      <c r="AE35" s="811"/>
      <c r="AF35" s="794">
        <v>0</v>
      </c>
      <c r="AG35" s="795"/>
      <c r="AH35" s="795"/>
      <c r="AI35" s="795"/>
      <c r="AJ35" s="796"/>
      <c r="AK35" s="531"/>
    </row>
    <row r="36" spans="1:37" s="538" customFormat="1" ht="18.95" customHeight="1">
      <c r="A36" s="530"/>
      <c r="B36" s="809" t="s">
        <v>559</v>
      </c>
      <c r="C36" s="810"/>
      <c r="D36" s="810"/>
      <c r="E36" s="810"/>
      <c r="F36" s="810"/>
      <c r="G36" s="810"/>
      <c r="H36" s="810"/>
      <c r="I36" s="810"/>
      <c r="J36" s="810"/>
      <c r="K36" s="810"/>
      <c r="L36" s="810"/>
      <c r="M36" s="810"/>
      <c r="N36" s="810"/>
      <c r="O36" s="810"/>
      <c r="P36" s="810"/>
      <c r="Q36" s="810"/>
      <c r="R36" s="810"/>
      <c r="S36" s="810"/>
      <c r="T36" s="810"/>
      <c r="U36" s="810"/>
      <c r="V36" s="810"/>
      <c r="W36" s="810"/>
      <c r="X36" s="810"/>
      <c r="Y36" s="810"/>
      <c r="Z36" s="810"/>
      <c r="AA36" s="810"/>
      <c r="AB36" s="810"/>
      <c r="AC36" s="810"/>
      <c r="AD36" s="810"/>
      <c r="AE36" s="811"/>
      <c r="AF36" s="794">
        <v>0</v>
      </c>
      <c r="AG36" s="795"/>
      <c r="AH36" s="795"/>
      <c r="AI36" s="795"/>
      <c r="AJ36" s="796"/>
      <c r="AK36" s="531"/>
    </row>
    <row r="37" spans="1:37" s="538" customFormat="1" ht="18.95" customHeight="1">
      <c r="A37" s="530"/>
      <c r="B37" s="809" t="s">
        <v>560</v>
      </c>
      <c r="C37" s="810"/>
      <c r="D37" s="810"/>
      <c r="E37" s="810"/>
      <c r="F37" s="810"/>
      <c r="G37" s="810"/>
      <c r="H37" s="810"/>
      <c r="I37" s="810"/>
      <c r="J37" s="810"/>
      <c r="K37" s="810"/>
      <c r="L37" s="810"/>
      <c r="M37" s="810"/>
      <c r="N37" s="810"/>
      <c r="O37" s="810"/>
      <c r="P37" s="810"/>
      <c r="Q37" s="810"/>
      <c r="R37" s="810"/>
      <c r="S37" s="810"/>
      <c r="T37" s="810"/>
      <c r="U37" s="810"/>
      <c r="V37" s="810"/>
      <c r="W37" s="810"/>
      <c r="X37" s="810"/>
      <c r="Y37" s="810"/>
      <c r="Z37" s="810"/>
      <c r="AA37" s="810"/>
      <c r="AB37" s="810"/>
      <c r="AC37" s="810"/>
      <c r="AD37" s="810"/>
      <c r="AE37" s="811"/>
      <c r="AF37" s="794">
        <v>0</v>
      </c>
      <c r="AG37" s="795"/>
      <c r="AH37" s="795"/>
      <c r="AI37" s="795"/>
      <c r="AJ37" s="796"/>
      <c r="AK37" s="531"/>
    </row>
    <row r="38" spans="1:37" s="538" customFormat="1" ht="18.95" customHeight="1">
      <c r="A38" s="530"/>
      <c r="B38" s="809" t="s">
        <v>561</v>
      </c>
      <c r="C38" s="810"/>
      <c r="D38" s="810"/>
      <c r="E38" s="810"/>
      <c r="F38" s="810"/>
      <c r="G38" s="810"/>
      <c r="H38" s="810"/>
      <c r="I38" s="810"/>
      <c r="J38" s="810"/>
      <c r="K38" s="810"/>
      <c r="L38" s="810"/>
      <c r="M38" s="810"/>
      <c r="N38" s="810"/>
      <c r="O38" s="810"/>
      <c r="P38" s="810"/>
      <c r="Q38" s="810"/>
      <c r="R38" s="810"/>
      <c r="S38" s="810"/>
      <c r="T38" s="810"/>
      <c r="U38" s="810"/>
      <c r="V38" s="810"/>
      <c r="W38" s="810"/>
      <c r="X38" s="810"/>
      <c r="Y38" s="810"/>
      <c r="Z38" s="810"/>
      <c r="AA38" s="810"/>
      <c r="AB38" s="810"/>
      <c r="AC38" s="810"/>
      <c r="AD38" s="810"/>
      <c r="AE38" s="811"/>
      <c r="AF38" s="794">
        <v>0</v>
      </c>
      <c r="AG38" s="795"/>
      <c r="AH38" s="795"/>
      <c r="AI38" s="795"/>
      <c r="AJ38" s="796"/>
      <c r="AK38" s="531"/>
    </row>
    <row r="39" spans="1:37" s="538" customFormat="1" ht="18.95" customHeight="1">
      <c r="A39" s="530"/>
      <c r="B39" s="809" t="s">
        <v>562</v>
      </c>
      <c r="C39" s="810"/>
      <c r="D39" s="810"/>
      <c r="E39" s="810"/>
      <c r="F39" s="810"/>
      <c r="G39" s="810"/>
      <c r="H39" s="810"/>
      <c r="I39" s="810"/>
      <c r="J39" s="810"/>
      <c r="K39" s="810"/>
      <c r="L39" s="810"/>
      <c r="M39" s="810"/>
      <c r="N39" s="810"/>
      <c r="O39" s="810"/>
      <c r="P39" s="810"/>
      <c r="Q39" s="810"/>
      <c r="R39" s="810"/>
      <c r="S39" s="810"/>
      <c r="T39" s="810"/>
      <c r="U39" s="810"/>
      <c r="V39" s="810"/>
      <c r="W39" s="810"/>
      <c r="X39" s="810"/>
      <c r="Y39" s="810"/>
      <c r="Z39" s="810"/>
      <c r="AA39" s="810"/>
      <c r="AB39" s="810"/>
      <c r="AC39" s="810"/>
      <c r="AD39" s="810"/>
      <c r="AE39" s="811"/>
      <c r="AF39" s="794">
        <v>0</v>
      </c>
      <c r="AG39" s="795"/>
      <c r="AH39" s="795"/>
      <c r="AI39" s="795"/>
      <c r="AJ39" s="796"/>
      <c r="AK39" s="531"/>
    </row>
    <row r="40" spans="1:37" s="538" customFormat="1" ht="18.95" customHeight="1">
      <c r="A40" s="530"/>
      <c r="B40" s="809" t="s">
        <v>563</v>
      </c>
      <c r="C40" s="810"/>
      <c r="D40" s="810"/>
      <c r="E40" s="810"/>
      <c r="F40" s="810"/>
      <c r="G40" s="810"/>
      <c r="H40" s="810"/>
      <c r="I40" s="810"/>
      <c r="J40" s="810"/>
      <c r="K40" s="810"/>
      <c r="L40" s="810"/>
      <c r="M40" s="810"/>
      <c r="N40" s="810"/>
      <c r="O40" s="810"/>
      <c r="P40" s="810"/>
      <c r="Q40" s="810"/>
      <c r="R40" s="810"/>
      <c r="S40" s="810"/>
      <c r="T40" s="810"/>
      <c r="U40" s="810"/>
      <c r="V40" s="810"/>
      <c r="W40" s="810"/>
      <c r="X40" s="810"/>
      <c r="Y40" s="810"/>
      <c r="Z40" s="810"/>
      <c r="AA40" s="810"/>
      <c r="AB40" s="810"/>
      <c r="AC40" s="810"/>
      <c r="AD40" s="810"/>
      <c r="AE40" s="811"/>
      <c r="AF40" s="794">
        <v>0</v>
      </c>
      <c r="AG40" s="795"/>
      <c r="AH40" s="795"/>
      <c r="AI40" s="795"/>
      <c r="AJ40" s="796"/>
      <c r="AK40" s="531"/>
    </row>
    <row r="41" spans="1:37" s="538" customFormat="1" ht="18.95" customHeight="1">
      <c r="A41" s="530"/>
      <c r="B41" s="809" t="s">
        <v>564</v>
      </c>
      <c r="C41" s="810"/>
      <c r="D41" s="810"/>
      <c r="E41" s="810"/>
      <c r="F41" s="810"/>
      <c r="G41" s="810"/>
      <c r="H41" s="810"/>
      <c r="I41" s="810"/>
      <c r="J41" s="810"/>
      <c r="K41" s="810"/>
      <c r="L41" s="810"/>
      <c r="M41" s="810"/>
      <c r="N41" s="810"/>
      <c r="O41" s="810"/>
      <c r="P41" s="810"/>
      <c r="Q41" s="810"/>
      <c r="R41" s="810"/>
      <c r="S41" s="810"/>
      <c r="T41" s="810"/>
      <c r="U41" s="810"/>
      <c r="V41" s="810"/>
      <c r="W41" s="810"/>
      <c r="X41" s="810"/>
      <c r="Y41" s="810"/>
      <c r="Z41" s="810"/>
      <c r="AA41" s="810"/>
      <c r="AB41" s="810"/>
      <c r="AC41" s="810"/>
      <c r="AD41" s="810"/>
      <c r="AE41" s="811"/>
      <c r="AF41" s="794">
        <v>0</v>
      </c>
      <c r="AG41" s="795"/>
      <c r="AH41" s="795"/>
      <c r="AI41" s="795"/>
      <c r="AJ41" s="796"/>
      <c r="AK41" s="531"/>
    </row>
    <row r="42" spans="1:37" s="538" customFormat="1" ht="18.95" customHeight="1">
      <c r="A42" s="530"/>
      <c r="B42" s="782" t="s">
        <v>565</v>
      </c>
      <c r="C42" s="805"/>
      <c r="D42" s="805"/>
      <c r="E42" s="805"/>
      <c r="F42" s="805"/>
      <c r="G42" s="805"/>
      <c r="H42" s="805"/>
      <c r="I42" s="805"/>
      <c r="J42" s="805"/>
      <c r="K42" s="805"/>
      <c r="L42" s="805"/>
      <c r="M42" s="805"/>
      <c r="N42" s="805"/>
      <c r="O42" s="805"/>
      <c r="P42" s="805"/>
      <c r="Q42" s="805"/>
      <c r="R42" s="805"/>
      <c r="S42" s="805"/>
      <c r="T42" s="805"/>
      <c r="U42" s="805"/>
      <c r="V42" s="805"/>
      <c r="W42" s="805"/>
      <c r="X42" s="805"/>
      <c r="Y42" s="805"/>
      <c r="Z42" s="805"/>
      <c r="AA42" s="805"/>
      <c r="AB42" s="805"/>
      <c r="AC42" s="805"/>
      <c r="AD42" s="805"/>
      <c r="AE42" s="815"/>
      <c r="AF42" s="785">
        <f>(AF26-AF33)+AF34</f>
        <v>7111134.4646666665</v>
      </c>
      <c r="AG42" s="786"/>
      <c r="AH42" s="786"/>
      <c r="AI42" s="786"/>
      <c r="AJ42" s="787"/>
      <c r="AK42" s="531"/>
    </row>
    <row r="43" spans="1:37" s="538" customFormat="1" ht="21" customHeight="1">
      <c r="A43" s="530"/>
      <c r="B43" s="800" t="s">
        <v>566</v>
      </c>
      <c r="C43" s="801"/>
      <c r="D43" s="801"/>
      <c r="E43" s="801"/>
      <c r="F43" s="802" t="s">
        <v>567</v>
      </c>
      <c r="G43" s="802"/>
      <c r="H43" s="802"/>
      <c r="I43" s="802"/>
      <c r="J43" s="802"/>
      <c r="K43" s="802"/>
      <c r="L43" s="802"/>
      <c r="M43" s="802"/>
      <c r="N43" s="802"/>
      <c r="O43" s="802"/>
      <c r="P43" s="802"/>
      <c r="Q43" s="802"/>
      <c r="R43" s="802"/>
      <c r="S43" s="802"/>
      <c r="T43" s="802"/>
      <c r="U43" s="802"/>
      <c r="V43" s="802"/>
      <c r="W43" s="802"/>
      <c r="X43" s="802"/>
      <c r="Y43" s="802"/>
      <c r="Z43" s="802"/>
      <c r="AA43" s="802"/>
      <c r="AB43" s="802"/>
      <c r="AC43" s="802"/>
      <c r="AD43" s="802"/>
      <c r="AE43" s="802"/>
      <c r="AF43" s="802"/>
      <c r="AG43" s="802"/>
      <c r="AH43" s="802"/>
      <c r="AI43" s="802"/>
      <c r="AJ43" s="803"/>
      <c r="AK43" s="531"/>
    </row>
    <row r="44" spans="1:37" s="538" customFormat="1" ht="18" customHeight="1">
      <c r="A44" s="530"/>
      <c r="B44" s="819" t="s">
        <v>568</v>
      </c>
      <c r="C44" s="820"/>
      <c r="D44" s="820"/>
      <c r="E44" s="820"/>
      <c r="F44" s="820"/>
      <c r="G44" s="820"/>
      <c r="H44" s="820"/>
      <c r="I44" s="820"/>
      <c r="J44" s="820"/>
      <c r="K44" s="820"/>
      <c r="L44" s="820"/>
      <c r="M44" s="820"/>
      <c r="N44" s="820"/>
      <c r="O44" s="820"/>
      <c r="P44" s="820"/>
      <c r="Q44" s="820"/>
      <c r="R44" s="820"/>
      <c r="S44" s="820"/>
      <c r="T44" s="820"/>
      <c r="U44" s="820"/>
      <c r="V44" s="820"/>
      <c r="W44" s="820"/>
      <c r="X44" s="820"/>
      <c r="Y44" s="820"/>
      <c r="Z44" s="820"/>
      <c r="AA44" s="820"/>
      <c r="AB44" s="820"/>
      <c r="AC44" s="820"/>
      <c r="AD44" s="820"/>
      <c r="AE44" s="820"/>
      <c r="AF44" s="785">
        <f>+AF42</f>
        <v>7111134.4646666665</v>
      </c>
      <c r="AG44" s="786"/>
      <c r="AH44" s="786"/>
      <c r="AI44" s="786"/>
      <c r="AJ44" s="787"/>
      <c r="AK44" s="531"/>
    </row>
    <row r="45" spans="1:37" s="538" customFormat="1" ht="18" customHeight="1">
      <c r="A45" s="530"/>
      <c r="B45" s="782" t="s">
        <v>569</v>
      </c>
      <c r="C45" s="783"/>
      <c r="D45" s="783"/>
      <c r="E45" s="783"/>
      <c r="F45" s="783"/>
      <c r="G45" s="783"/>
      <c r="H45" s="783"/>
      <c r="I45" s="783"/>
      <c r="J45" s="783"/>
      <c r="K45" s="783"/>
      <c r="L45" s="783"/>
      <c r="M45" s="783"/>
      <c r="N45" s="783"/>
      <c r="O45" s="783"/>
      <c r="P45" s="783"/>
      <c r="Q45" s="783"/>
      <c r="R45" s="783"/>
      <c r="S45" s="783"/>
      <c r="T45" s="783"/>
      <c r="U45" s="783"/>
      <c r="V45" s="783"/>
      <c r="W45" s="783"/>
      <c r="X45" s="783"/>
      <c r="Y45" s="783"/>
      <c r="Z45" s="783"/>
      <c r="AA45" s="783"/>
      <c r="AB45" s="783"/>
      <c r="AC45" s="783"/>
      <c r="AD45" s="783"/>
      <c r="AE45" s="784"/>
      <c r="AF45" s="794"/>
      <c r="AG45" s="795"/>
      <c r="AH45" s="795"/>
      <c r="AI45" s="795"/>
      <c r="AJ45" s="796"/>
      <c r="AK45" s="531"/>
    </row>
    <row r="46" spans="1:37" s="538" customFormat="1" ht="18" customHeight="1">
      <c r="A46" s="530"/>
      <c r="B46" s="809" t="s">
        <v>570</v>
      </c>
      <c r="C46" s="810"/>
      <c r="D46" s="810"/>
      <c r="E46" s="810"/>
      <c r="F46" s="810"/>
      <c r="G46" s="810"/>
      <c r="H46" s="810"/>
      <c r="I46" s="810"/>
      <c r="J46" s="810"/>
      <c r="K46" s="810"/>
      <c r="L46" s="810"/>
      <c r="M46" s="810"/>
      <c r="N46" s="810"/>
      <c r="O46" s="810"/>
      <c r="P46" s="810"/>
      <c r="Q46" s="810"/>
      <c r="R46" s="810"/>
      <c r="S46" s="810"/>
      <c r="T46" s="810"/>
      <c r="U46" s="810"/>
      <c r="V46" s="810"/>
      <c r="W46" s="810"/>
      <c r="X46" s="810"/>
      <c r="Y46" s="810"/>
      <c r="Z46" s="810"/>
      <c r="AA46" s="810"/>
      <c r="AB46" s="810"/>
      <c r="AC46" s="810"/>
      <c r="AD46" s="810"/>
      <c r="AE46" s="811"/>
      <c r="AF46" s="794">
        <v>0</v>
      </c>
      <c r="AG46" s="795"/>
      <c r="AH46" s="795"/>
      <c r="AI46" s="795"/>
      <c r="AJ46" s="796"/>
      <c r="AK46" s="531"/>
    </row>
    <row r="47" spans="1:37" s="538" customFormat="1" ht="18" customHeight="1">
      <c r="A47" s="530"/>
      <c r="B47" s="809" t="s">
        <v>571</v>
      </c>
      <c r="C47" s="810"/>
      <c r="D47" s="810"/>
      <c r="E47" s="810"/>
      <c r="F47" s="810"/>
      <c r="G47" s="810"/>
      <c r="H47" s="810"/>
      <c r="I47" s="810"/>
      <c r="J47" s="810"/>
      <c r="K47" s="810"/>
      <c r="L47" s="810"/>
      <c r="M47" s="810"/>
      <c r="N47" s="810"/>
      <c r="O47" s="810"/>
      <c r="P47" s="810"/>
      <c r="Q47" s="810"/>
      <c r="R47" s="810"/>
      <c r="S47" s="810"/>
      <c r="T47" s="810"/>
      <c r="U47" s="810"/>
      <c r="V47" s="810"/>
      <c r="W47" s="810"/>
      <c r="X47" s="810"/>
      <c r="Y47" s="810"/>
      <c r="Z47" s="810"/>
      <c r="AA47" s="810"/>
      <c r="AB47" s="810"/>
      <c r="AC47" s="810"/>
      <c r="AD47" s="810"/>
      <c r="AE47" s="811"/>
      <c r="AF47" s="794">
        <v>0</v>
      </c>
      <c r="AG47" s="795"/>
      <c r="AH47" s="795"/>
      <c r="AI47" s="795"/>
      <c r="AJ47" s="796"/>
      <c r="AK47" s="531"/>
    </row>
    <row r="48" spans="1:37" s="538" customFormat="1" ht="17.25" customHeight="1">
      <c r="A48" s="530"/>
      <c r="B48" s="816" t="s">
        <v>572</v>
      </c>
      <c r="C48" s="817"/>
      <c r="D48" s="817"/>
      <c r="E48" s="817"/>
      <c r="F48" s="817"/>
      <c r="G48" s="817"/>
      <c r="H48" s="817"/>
      <c r="I48" s="817"/>
      <c r="J48" s="817"/>
      <c r="K48" s="817"/>
      <c r="L48" s="817"/>
      <c r="M48" s="817"/>
      <c r="N48" s="817"/>
      <c r="O48" s="817"/>
      <c r="P48" s="817"/>
      <c r="Q48" s="817"/>
      <c r="R48" s="817"/>
      <c r="S48" s="817"/>
      <c r="T48" s="817"/>
      <c r="U48" s="817"/>
      <c r="V48" s="817"/>
      <c r="W48" s="817"/>
      <c r="X48" s="817"/>
      <c r="Y48" s="817"/>
      <c r="Z48" s="817"/>
      <c r="AA48" s="817"/>
      <c r="AB48" s="817"/>
      <c r="AC48" s="817"/>
      <c r="AD48" s="817"/>
      <c r="AE48" s="818"/>
      <c r="AF48" s="785">
        <f>SUM(AF46:AJ47)</f>
        <v>0</v>
      </c>
      <c r="AG48" s="786"/>
      <c r="AH48" s="786"/>
      <c r="AI48" s="786"/>
      <c r="AJ48" s="787"/>
      <c r="AK48" s="531"/>
    </row>
    <row r="49" spans="1:37" s="532" customFormat="1" ht="6" customHeight="1">
      <c r="A49" s="540"/>
      <c r="B49" s="821"/>
      <c r="C49" s="821"/>
      <c r="D49" s="821"/>
      <c r="E49" s="821"/>
      <c r="F49" s="821"/>
      <c r="G49" s="821"/>
      <c r="H49" s="821"/>
      <c r="I49" s="821"/>
      <c r="J49" s="821"/>
      <c r="K49" s="821"/>
      <c r="L49" s="821"/>
      <c r="M49" s="821"/>
      <c r="N49" s="821"/>
      <c r="O49" s="821"/>
      <c r="P49" s="821"/>
      <c r="Q49" s="821"/>
      <c r="R49" s="821"/>
      <c r="S49" s="821"/>
      <c r="T49" s="821"/>
      <c r="U49" s="821"/>
      <c r="V49" s="821"/>
      <c r="W49" s="821"/>
      <c r="X49" s="821"/>
      <c r="Y49" s="821"/>
      <c r="Z49" s="821"/>
      <c r="AA49" s="821"/>
      <c r="AB49" s="821"/>
      <c r="AC49" s="821"/>
      <c r="AD49" s="821"/>
      <c r="AE49" s="821"/>
      <c r="AF49" s="821"/>
      <c r="AG49" s="821"/>
      <c r="AH49" s="821"/>
      <c r="AI49" s="821"/>
      <c r="AJ49" s="821"/>
      <c r="AK49" s="541"/>
    </row>
    <row r="50" spans="1:37" s="542" customFormat="1" ht="6" customHeight="1">
      <c r="A50" s="530"/>
      <c r="B50" s="821"/>
      <c r="C50" s="821"/>
      <c r="D50" s="821"/>
      <c r="E50" s="821"/>
      <c r="F50" s="821"/>
      <c r="G50" s="821"/>
      <c r="H50" s="821"/>
      <c r="I50" s="821"/>
      <c r="J50" s="821"/>
      <c r="K50" s="821"/>
      <c r="L50" s="821"/>
      <c r="M50" s="821"/>
      <c r="N50" s="821"/>
      <c r="O50" s="821"/>
      <c r="P50" s="821"/>
      <c r="Q50" s="821"/>
      <c r="R50" s="821"/>
      <c r="S50" s="821"/>
      <c r="T50" s="821"/>
      <c r="U50" s="821"/>
      <c r="V50" s="821"/>
      <c r="W50" s="821"/>
      <c r="X50" s="821"/>
      <c r="Y50" s="821"/>
      <c r="Z50" s="821"/>
      <c r="AA50" s="821"/>
      <c r="AB50" s="821"/>
      <c r="AC50" s="821"/>
      <c r="AD50" s="821"/>
      <c r="AE50" s="821"/>
      <c r="AF50" s="821"/>
      <c r="AG50" s="821"/>
      <c r="AH50" s="821"/>
      <c r="AI50" s="821"/>
      <c r="AJ50" s="821"/>
      <c r="AK50" s="531"/>
    </row>
    <row r="51" spans="1:37" s="532" customFormat="1" ht="18" customHeight="1">
      <c r="A51" s="530"/>
      <c r="B51" s="822" t="s">
        <v>573</v>
      </c>
      <c r="C51" s="823"/>
      <c r="D51" s="823"/>
      <c r="E51" s="823"/>
      <c r="F51" s="823"/>
      <c r="G51" s="823"/>
      <c r="H51" s="823"/>
      <c r="I51" s="823"/>
      <c r="J51" s="823"/>
      <c r="K51" s="823"/>
      <c r="L51" s="823"/>
      <c r="M51" s="823"/>
      <c r="N51" s="823"/>
      <c r="O51" s="823"/>
      <c r="P51" s="823"/>
      <c r="Q51" s="823"/>
      <c r="R51" s="823"/>
      <c r="S51" s="823"/>
      <c r="T51" s="823"/>
      <c r="U51" s="823"/>
      <c r="V51" s="823"/>
      <c r="W51" s="823"/>
      <c r="X51" s="823"/>
      <c r="Y51" s="823"/>
      <c r="Z51" s="823"/>
      <c r="AA51" s="823"/>
      <c r="AB51" s="823"/>
      <c r="AC51" s="823"/>
      <c r="AD51" s="823"/>
      <c r="AE51" s="824"/>
      <c r="AF51" s="825"/>
      <c r="AG51" s="826"/>
      <c r="AH51" s="826"/>
      <c r="AI51" s="826"/>
      <c r="AJ51" s="827"/>
      <c r="AK51" s="531"/>
    </row>
    <row r="52" spans="1:37" s="532" customFormat="1" ht="18" customHeight="1">
      <c r="A52" s="530"/>
      <c r="B52" s="809" t="s">
        <v>715</v>
      </c>
      <c r="C52" s="810"/>
      <c r="D52" s="810"/>
      <c r="E52" s="810"/>
      <c r="F52" s="810"/>
      <c r="G52" s="810"/>
      <c r="H52" s="810"/>
      <c r="I52" s="810"/>
      <c r="J52" s="810"/>
      <c r="K52" s="810"/>
      <c r="L52" s="810"/>
      <c r="M52" s="810"/>
      <c r="N52" s="810"/>
      <c r="O52" s="810"/>
      <c r="P52" s="810"/>
      <c r="Q52" s="810"/>
      <c r="R52" s="810"/>
      <c r="S52" s="810"/>
      <c r="T52" s="810"/>
      <c r="U52" s="810"/>
      <c r="V52" s="810"/>
      <c r="W52" s="810"/>
      <c r="X52" s="810"/>
      <c r="Y52" s="810"/>
      <c r="Z52" s="810"/>
      <c r="AA52" s="810"/>
      <c r="AB52" s="810"/>
      <c r="AC52" s="810"/>
      <c r="AD52" s="810"/>
      <c r="AE52" s="811"/>
      <c r="AF52" s="794">
        <v>0</v>
      </c>
      <c r="AG52" s="795"/>
      <c r="AH52" s="795"/>
      <c r="AI52" s="795"/>
      <c r="AJ52" s="796"/>
      <c r="AK52" s="531"/>
    </row>
    <row r="53" spans="1:37" s="532" customFormat="1" ht="18" customHeight="1">
      <c r="A53" s="530"/>
      <c r="B53" s="809" t="s">
        <v>716</v>
      </c>
      <c r="C53" s="810"/>
      <c r="D53" s="810"/>
      <c r="E53" s="810"/>
      <c r="F53" s="810"/>
      <c r="G53" s="810"/>
      <c r="H53" s="810"/>
      <c r="I53" s="810"/>
      <c r="J53" s="810"/>
      <c r="K53" s="810"/>
      <c r="L53" s="810"/>
      <c r="M53" s="810"/>
      <c r="N53" s="810"/>
      <c r="O53" s="810"/>
      <c r="P53" s="810"/>
      <c r="Q53" s="810"/>
      <c r="R53" s="810"/>
      <c r="S53" s="810"/>
      <c r="T53" s="810"/>
      <c r="U53" s="810"/>
      <c r="V53" s="810"/>
      <c r="W53" s="810"/>
      <c r="X53" s="810"/>
      <c r="Y53" s="810"/>
      <c r="Z53" s="810"/>
      <c r="AA53" s="810"/>
      <c r="AB53" s="810"/>
      <c r="AC53" s="810"/>
      <c r="AD53" s="810"/>
      <c r="AE53" s="811"/>
      <c r="AF53" s="794">
        <v>0</v>
      </c>
      <c r="AG53" s="795"/>
      <c r="AH53" s="795"/>
      <c r="AI53" s="795"/>
      <c r="AJ53" s="796"/>
      <c r="AK53" s="531"/>
    </row>
    <row r="54" spans="1:37" s="532" customFormat="1" ht="18" customHeight="1">
      <c r="A54" s="530"/>
      <c r="B54" s="809" t="s">
        <v>574</v>
      </c>
      <c r="C54" s="810"/>
      <c r="D54" s="810"/>
      <c r="E54" s="810"/>
      <c r="F54" s="810"/>
      <c r="G54" s="810"/>
      <c r="H54" s="810"/>
      <c r="I54" s="810"/>
      <c r="J54" s="810"/>
      <c r="K54" s="810"/>
      <c r="L54" s="810"/>
      <c r="M54" s="810"/>
      <c r="N54" s="810"/>
      <c r="O54" s="810"/>
      <c r="P54" s="810"/>
      <c r="Q54" s="810"/>
      <c r="R54" s="810"/>
      <c r="S54" s="810"/>
      <c r="T54" s="810"/>
      <c r="U54" s="810"/>
      <c r="V54" s="810"/>
      <c r="W54" s="810"/>
      <c r="X54" s="810"/>
      <c r="Y54" s="810"/>
      <c r="Z54" s="810"/>
      <c r="AA54" s="810"/>
      <c r="AB54" s="810"/>
      <c r="AC54" s="810"/>
      <c r="AD54" s="810"/>
      <c r="AE54" s="811"/>
      <c r="AF54" s="794">
        <v>0</v>
      </c>
      <c r="AG54" s="795"/>
      <c r="AH54" s="795"/>
      <c r="AI54" s="795"/>
      <c r="AJ54" s="796"/>
      <c r="AK54" s="531"/>
    </row>
    <row r="55" spans="1:37" s="532" customFormat="1" ht="18" customHeight="1">
      <c r="A55" s="530"/>
      <c r="B55" s="812" t="s">
        <v>575</v>
      </c>
      <c r="C55" s="813"/>
      <c r="D55" s="813"/>
      <c r="E55" s="813"/>
      <c r="F55" s="813"/>
      <c r="G55" s="813"/>
      <c r="H55" s="813"/>
      <c r="I55" s="813"/>
      <c r="J55" s="813"/>
      <c r="K55" s="813"/>
      <c r="L55" s="813"/>
      <c r="M55" s="813"/>
      <c r="N55" s="813"/>
      <c r="O55" s="813"/>
      <c r="P55" s="813"/>
      <c r="Q55" s="813"/>
      <c r="R55" s="813"/>
      <c r="S55" s="813"/>
      <c r="T55" s="813"/>
      <c r="U55" s="813"/>
      <c r="V55" s="813"/>
      <c r="W55" s="813"/>
      <c r="X55" s="813"/>
      <c r="Y55" s="813"/>
      <c r="Z55" s="813"/>
      <c r="AA55" s="813"/>
      <c r="AB55" s="813"/>
      <c r="AC55" s="813"/>
      <c r="AD55" s="813"/>
      <c r="AE55" s="814"/>
      <c r="AF55" s="785">
        <f>AF52+AF53+AF54</f>
        <v>0</v>
      </c>
      <c r="AG55" s="786"/>
      <c r="AH55" s="786"/>
      <c r="AI55" s="786"/>
      <c r="AJ55" s="787"/>
      <c r="AK55" s="531"/>
    </row>
    <row r="56" spans="1:37" s="532" customFormat="1" ht="18" customHeight="1">
      <c r="A56" s="530"/>
      <c r="B56" s="804" t="s">
        <v>504</v>
      </c>
      <c r="C56" s="805"/>
      <c r="D56" s="805"/>
      <c r="E56" s="805"/>
      <c r="F56" s="805"/>
      <c r="G56" s="805"/>
      <c r="H56" s="805"/>
      <c r="I56" s="805"/>
      <c r="J56" s="805"/>
      <c r="K56" s="805"/>
      <c r="L56" s="805"/>
      <c r="M56" s="805"/>
      <c r="N56" s="805"/>
      <c r="O56" s="805"/>
      <c r="P56" s="805"/>
      <c r="Q56" s="805"/>
      <c r="R56" s="805"/>
      <c r="S56" s="805"/>
      <c r="T56" s="805"/>
      <c r="U56" s="805"/>
      <c r="V56" s="805"/>
      <c r="W56" s="805"/>
      <c r="X56" s="805"/>
      <c r="Y56" s="805"/>
      <c r="Z56" s="805"/>
      <c r="AA56" s="805"/>
      <c r="AB56" s="805"/>
      <c r="AC56" s="805"/>
      <c r="AD56" s="805"/>
      <c r="AE56" s="815"/>
      <c r="AF56" s="831"/>
      <c r="AG56" s="832"/>
      <c r="AH56" s="832"/>
      <c r="AI56" s="832"/>
      <c r="AJ56" s="833"/>
      <c r="AK56" s="531"/>
    </row>
    <row r="57" spans="1:37" s="532" customFormat="1" ht="18" customHeight="1">
      <c r="A57" s="530"/>
      <c r="B57" s="809" t="s">
        <v>717</v>
      </c>
      <c r="C57" s="810"/>
      <c r="D57" s="810"/>
      <c r="E57" s="810"/>
      <c r="F57" s="810"/>
      <c r="G57" s="810"/>
      <c r="H57" s="810"/>
      <c r="I57" s="810"/>
      <c r="J57" s="810"/>
      <c r="K57" s="810"/>
      <c r="L57" s="810"/>
      <c r="M57" s="810"/>
      <c r="N57" s="810"/>
      <c r="O57" s="810"/>
      <c r="P57" s="810"/>
      <c r="Q57" s="810"/>
      <c r="R57" s="810"/>
      <c r="S57" s="810"/>
      <c r="T57" s="810"/>
      <c r="U57" s="810"/>
      <c r="V57" s="810"/>
      <c r="W57" s="810"/>
      <c r="X57" s="810"/>
      <c r="Y57" s="810"/>
      <c r="Z57" s="810"/>
      <c r="AA57" s="810"/>
      <c r="AB57" s="810"/>
      <c r="AC57" s="810"/>
      <c r="AD57" s="810"/>
      <c r="AE57" s="811"/>
      <c r="AF57" s="794">
        <f>SUM('Balanço '!D39:D40)</f>
        <v>711113.44646666665</v>
      </c>
      <c r="AG57" s="795"/>
      <c r="AH57" s="795"/>
      <c r="AI57" s="795"/>
      <c r="AJ57" s="796"/>
      <c r="AK57" s="531"/>
    </row>
    <row r="58" spans="1:37" s="532" customFormat="1" ht="18" customHeight="1">
      <c r="A58" s="530"/>
      <c r="B58" s="809" t="s">
        <v>576</v>
      </c>
      <c r="C58" s="810"/>
      <c r="D58" s="810"/>
      <c r="E58" s="810"/>
      <c r="F58" s="810"/>
      <c r="G58" s="810"/>
      <c r="H58" s="810"/>
      <c r="I58" s="810"/>
      <c r="J58" s="810"/>
      <c r="K58" s="810"/>
      <c r="L58" s="810"/>
      <c r="M58" s="810"/>
      <c r="N58" s="810"/>
      <c r="O58" s="810"/>
      <c r="P58" s="810"/>
      <c r="Q58" s="810"/>
      <c r="R58" s="810"/>
      <c r="S58" s="810"/>
      <c r="T58" s="810"/>
      <c r="U58" s="810"/>
      <c r="V58" s="810"/>
      <c r="W58" s="810"/>
      <c r="X58" s="810"/>
      <c r="Y58" s="810"/>
      <c r="Z58" s="810"/>
      <c r="AA58" s="810"/>
      <c r="AB58" s="810"/>
      <c r="AC58" s="810"/>
      <c r="AD58" s="810"/>
      <c r="AE58" s="811"/>
      <c r="AF58" s="794">
        <v>0</v>
      </c>
      <c r="AG58" s="795"/>
      <c r="AH58" s="795"/>
      <c r="AI58" s="795"/>
      <c r="AJ58" s="796"/>
      <c r="AK58" s="531"/>
    </row>
    <row r="59" spans="1:37" s="532" customFormat="1" ht="18" customHeight="1">
      <c r="A59" s="530"/>
      <c r="B59" s="809" t="s">
        <v>577</v>
      </c>
      <c r="C59" s="810"/>
      <c r="D59" s="810"/>
      <c r="E59" s="810"/>
      <c r="F59" s="810"/>
      <c r="G59" s="810"/>
      <c r="H59" s="810"/>
      <c r="I59" s="810"/>
      <c r="J59" s="810"/>
      <c r="K59" s="810"/>
      <c r="L59" s="810"/>
      <c r="M59" s="810"/>
      <c r="N59" s="810"/>
      <c r="O59" s="810"/>
      <c r="P59" s="810"/>
      <c r="Q59" s="810"/>
      <c r="R59" s="810"/>
      <c r="S59" s="810"/>
      <c r="T59" s="810"/>
      <c r="U59" s="810"/>
      <c r="V59" s="810"/>
      <c r="W59" s="810"/>
      <c r="X59" s="810"/>
      <c r="Y59" s="810"/>
      <c r="Z59" s="810"/>
      <c r="AA59" s="810"/>
      <c r="AB59" s="810"/>
      <c r="AC59" s="810"/>
      <c r="AD59" s="810"/>
      <c r="AE59" s="811"/>
      <c r="AF59" s="794">
        <v>0</v>
      </c>
      <c r="AG59" s="795"/>
      <c r="AH59" s="795"/>
      <c r="AI59" s="795"/>
      <c r="AJ59" s="796"/>
      <c r="AK59" s="531"/>
    </row>
    <row r="60" spans="1:37" s="532" customFormat="1" ht="18" customHeight="1">
      <c r="A60" s="530"/>
      <c r="B60" s="812" t="s">
        <v>578</v>
      </c>
      <c r="C60" s="813"/>
      <c r="D60" s="813"/>
      <c r="E60" s="813"/>
      <c r="F60" s="813"/>
      <c r="G60" s="813"/>
      <c r="H60" s="813"/>
      <c r="I60" s="813"/>
      <c r="J60" s="813"/>
      <c r="K60" s="813"/>
      <c r="L60" s="813"/>
      <c r="M60" s="813"/>
      <c r="N60" s="813"/>
      <c r="O60" s="813"/>
      <c r="P60" s="813"/>
      <c r="Q60" s="813"/>
      <c r="R60" s="813"/>
      <c r="S60" s="813"/>
      <c r="T60" s="813"/>
      <c r="U60" s="813"/>
      <c r="V60" s="813"/>
      <c r="W60" s="813"/>
      <c r="X60" s="813"/>
      <c r="Y60" s="813"/>
      <c r="Z60" s="813"/>
      <c r="AA60" s="813"/>
      <c r="AB60" s="813"/>
      <c r="AC60" s="813"/>
      <c r="AD60" s="813"/>
      <c r="AE60" s="814"/>
      <c r="AF60" s="785">
        <f>AF57+AF58+AF59</f>
        <v>711113.44646666665</v>
      </c>
      <c r="AG60" s="786"/>
      <c r="AH60" s="786"/>
      <c r="AI60" s="786"/>
      <c r="AJ60" s="787"/>
      <c r="AK60" s="531"/>
    </row>
    <row r="61" spans="1:37" s="532" customFormat="1" ht="6" customHeight="1">
      <c r="A61" s="530"/>
      <c r="B61" s="776"/>
      <c r="C61" s="777"/>
      <c r="D61" s="777"/>
      <c r="E61" s="777"/>
      <c r="F61" s="777"/>
      <c r="G61" s="777"/>
      <c r="H61" s="777"/>
      <c r="I61" s="777"/>
      <c r="J61" s="777"/>
      <c r="K61" s="777"/>
      <c r="L61" s="777"/>
      <c r="M61" s="777"/>
      <c r="N61" s="777"/>
      <c r="O61" s="777"/>
      <c r="P61" s="777"/>
      <c r="Q61" s="777"/>
      <c r="R61" s="777"/>
      <c r="S61" s="777"/>
      <c r="T61" s="777"/>
      <c r="U61" s="777"/>
      <c r="V61" s="777"/>
      <c r="W61" s="777"/>
      <c r="X61" s="777"/>
      <c r="Y61" s="777"/>
      <c r="Z61" s="777"/>
      <c r="AA61" s="777"/>
      <c r="AB61" s="777"/>
      <c r="AC61" s="777"/>
      <c r="AD61" s="777"/>
      <c r="AE61" s="777"/>
      <c r="AF61" s="777"/>
      <c r="AG61" s="777"/>
      <c r="AH61" s="777"/>
      <c r="AI61" s="777"/>
      <c r="AJ61" s="778"/>
      <c r="AK61" s="531"/>
    </row>
    <row r="62" spans="1:37" s="532" customFormat="1" ht="18" customHeight="1">
      <c r="A62" s="530"/>
      <c r="B62" s="828" t="s">
        <v>579</v>
      </c>
      <c r="C62" s="829"/>
      <c r="D62" s="829"/>
      <c r="E62" s="829"/>
      <c r="F62" s="829"/>
      <c r="G62" s="829"/>
      <c r="H62" s="829"/>
      <c r="I62" s="829"/>
      <c r="J62" s="829"/>
      <c r="K62" s="829"/>
      <c r="L62" s="829"/>
      <c r="M62" s="829"/>
      <c r="N62" s="829"/>
      <c r="O62" s="829"/>
      <c r="P62" s="829"/>
      <c r="Q62" s="829"/>
      <c r="R62" s="829"/>
      <c r="S62" s="829"/>
      <c r="T62" s="829"/>
      <c r="U62" s="829"/>
      <c r="V62" s="829"/>
      <c r="W62" s="829"/>
      <c r="X62" s="829"/>
      <c r="Y62" s="829"/>
      <c r="Z62" s="829"/>
      <c r="AA62" s="829"/>
      <c r="AB62" s="829"/>
      <c r="AC62" s="829"/>
      <c r="AD62" s="829"/>
      <c r="AE62" s="829"/>
      <c r="AF62" s="829"/>
      <c r="AG62" s="829"/>
      <c r="AH62" s="829"/>
      <c r="AI62" s="829"/>
      <c r="AJ62" s="830"/>
      <c r="AK62" s="531"/>
    </row>
    <row r="63" spans="1:37" s="532" customFormat="1" ht="18" customHeight="1">
      <c r="A63" s="530"/>
      <c r="B63" s="804" t="s">
        <v>580</v>
      </c>
      <c r="C63" s="805"/>
      <c r="D63" s="805"/>
      <c r="E63" s="805"/>
      <c r="F63" s="805"/>
      <c r="G63" s="805"/>
      <c r="H63" s="805"/>
      <c r="I63" s="805"/>
      <c r="J63" s="815"/>
      <c r="K63" s="837">
        <f>AF44</f>
        <v>7111134.4646666665</v>
      </c>
      <c r="L63" s="838"/>
      <c r="M63" s="838"/>
      <c r="N63" s="838"/>
      <c r="O63" s="838"/>
      <c r="P63" s="838"/>
      <c r="Q63" s="838"/>
      <c r="R63" s="839"/>
      <c r="S63" s="804" t="s">
        <v>581</v>
      </c>
      <c r="T63" s="805"/>
      <c r="U63" s="805"/>
      <c r="V63" s="805"/>
      <c r="W63" s="805"/>
      <c r="X63" s="805"/>
      <c r="Y63" s="805"/>
      <c r="Z63" s="805"/>
      <c r="AA63" s="805"/>
      <c r="AB63" s="805"/>
      <c r="AC63" s="805"/>
      <c r="AD63" s="805"/>
      <c r="AE63" s="815"/>
      <c r="AF63" s="794">
        <v>0</v>
      </c>
      <c r="AG63" s="795"/>
      <c r="AH63" s="795"/>
      <c r="AI63" s="795"/>
      <c r="AJ63" s="796"/>
      <c r="AK63" s="531"/>
    </row>
    <row r="64" spans="1:37" s="532" customFormat="1" ht="18" customHeight="1">
      <c r="A64" s="530"/>
      <c r="B64" s="804" t="s">
        <v>582</v>
      </c>
      <c r="C64" s="805"/>
      <c r="D64" s="805"/>
      <c r="E64" s="805"/>
      <c r="F64" s="805"/>
      <c r="G64" s="805"/>
      <c r="H64" s="805"/>
      <c r="I64" s="805"/>
      <c r="J64" s="815"/>
      <c r="K64" s="837">
        <f>ROUND(K63*25%,0)</f>
        <v>1777784</v>
      </c>
      <c r="L64" s="838"/>
      <c r="M64" s="838"/>
      <c r="N64" s="838"/>
      <c r="O64" s="838"/>
      <c r="P64" s="838"/>
      <c r="Q64" s="838"/>
      <c r="R64" s="839"/>
      <c r="S64" s="804" t="s">
        <v>583</v>
      </c>
      <c r="T64" s="805"/>
      <c r="U64" s="805"/>
      <c r="V64" s="805"/>
      <c r="W64" s="805"/>
      <c r="X64" s="805"/>
      <c r="Y64" s="805"/>
      <c r="Z64" s="805"/>
      <c r="AA64" s="805"/>
      <c r="AB64" s="805"/>
      <c r="AC64" s="805"/>
      <c r="AD64" s="805"/>
      <c r="AE64" s="815"/>
      <c r="AF64" s="794">
        <v>0</v>
      </c>
      <c r="AG64" s="795"/>
      <c r="AH64" s="795"/>
      <c r="AI64" s="795"/>
      <c r="AJ64" s="796"/>
      <c r="AK64" s="531"/>
    </row>
    <row r="65" spans="1:43" s="532" customFormat="1" ht="18" customHeight="1">
      <c r="A65" s="530"/>
      <c r="B65" s="804"/>
      <c r="C65" s="805"/>
      <c r="D65" s="805"/>
      <c r="E65" s="805"/>
      <c r="F65" s="805"/>
      <c r="G65" s="805"/>
      <c r="H65" s="805"/>
      <c r="I65" s="805"/>
      <c r="J65" s="815"/>
      <c r="K65" s="834"/>
      <c r="L65" s="835"/>
      <c r="M65" s="835"/>
      <c r="N65" s="835"/>
      <c r="O65" s="835"/>
      <c r="P65" s="835"/>
      <c r="Q65" s="835"/>
      <c r="R65" s="836"/>
      <c r="S65" s="804" t="s">
        <v>582</v>
      </c>
      <c r="T65" s="805"/>
      <c r="U65" s="805"/>
      <c r="V65" s="805"/>
      <c r="W65" s="805"/>
      <c r="X65" s="805"/>
      <c r="Y65" s="805"/>
      <c r="Z65" s="805"/>
      <c r="AA65" s="805"/>
      <c r="AB65" s="805"/>
      <c r="AC65" s="805"/>
      <c r="AD65" s="805"/>
      <c r="AE65" s="815"/>
      <c r="AF65" s="794">
        <v>0</v>
      </c>
      <c r="AG65" s="795"/>
      <c r="AH65" s="795"/>
      <c r="AI65" s="795"/>
      <c r="AJ65" s="796"/>
      <c r="AK65" s="531"/>
    </row>
    <row r="66" spans="1:43" s="532" customFormat="1" ht="18" customHeight="1">
      <c r="A66" s="530"/>
      <c r="B66" s="804" t="s">
        <v>584</v>
      </c>
      <c r="C66" s="805"/>
      <c r="D66" s="805"/>
      <c r="E66" s="805"/>
      <c r="F66" s="805"/>
      <c r="G66" s="805"/>
      <c r="H66" s="805"/>
      <c r="I66" s="805"/>
      <c r="J66" s="815"/>
      <c r="K66" s="837">
        <v>0</v>
      </c>
      <c r="L66" s="838"/>
      <c r="M66" s="838"/>
      <c r="N66" s="838"/>
      <c r="O66" s="838"/>
      <c r="P66" s="838"/>
      <c r="Q66" s="838"/>
      <c r="R66" s="839"/>
      <c r="S66" s="804" t="s">
        <v>584</v>
      </c>
      <c r="T66" s="805"/>
      <c r="U66" s="805"/>
      <c r="V66" s="805"/>
      <c r="W66" s="805"/>
      <c r="X66" s="805"/>
      <c r="Y66" s="805"/>
      <c r="Z66" s="805"/>
      <c r="AA66" s="805"/>
      <c r="AB66" s="805"/>
      <c r="AC66" s="805"/>
      <c r="AD66" s="805"/>
      <c r="AE66" s="815"/>
      <c r="AF66" s="785">
        <f>(AF50-AF57)+AF58</f>
        <v>-711113.44646666665</v>
      </c>
      <c r="AG66" s="786"/>
      <c r="AH66" s="786"/>
      <c r="AI66" s="786"/>
      <c r="AJ66" s="787"/>
      <c r="AK66" s="531"/>
    </row>
    <row r="67" spans="1:43" s="532" customFormat="1" ht="18" customHeight="1">
      <c r="A67" s="530"/>
      <c r="B67" s="846" t="s">
        <v>585</v>
      </c>
      <c r="C67" s="847"/>
      <c r="D67" s="847"/>
      <c r="E67" s="847"/>
      <c r="F67" s="847"/>
      <c r="G67" s="847"/>
      <c r="H67" s="847"/>
      <c r="I67" s="847"/>
      <c r="J67" s="848"/>
      <c r="K67" s="837">
        <f>K64-K66</f>
        <v>1777784</v>
      </c>
      <c r="L67" s="838"/>
      <c r="M67" s="838"/>
      <c r="N67" s="838"/>
      <c r="O67" s="838"/>
      <c r="P67" s="838"/>
      <c r="Q67" s="838"/>
      <c r="R67" s="839"/>
      <c r="S67" s="846" t="s">
        <v>585</v>
      </c>
      <c r="T67" s="847"/>
      <c r="U67" s="847"/>
      <c r="V67" s="847"/>
      <c r="W67" s="847"/>
      <c r="X67" s="847"/>
      <c r="Y67" s="847"/>
      <c r="Z67" s="847"/>
      <c r="AA67" s="847"/>
      <c r="AB67" s="847"/>
      <c r="AC67" s="847"/>
      <c r="AD67" s="847"/>
      <c r="AE67" s="848"/>
      <c r="AF67" s="785">
        <f>(AF51-AF58)+AF59</f>
        <v>0</v>
      </c>
      <c r="AG67" s="786"/>
      <c r="AH67" s="786"/>
      <c r="AI67" s="786"/>
      <c r="AJ67" s="787"/>
      <c r="AK67" s="531"/>
      <c r="AQ67" s="546">
        <f>K67-AF116</f>
        <v>-592594.15488888836</v>
      </c>
    </row>
    <row r="68" spans="1:43" s="532" customFormat="1" ht="21" customHeight="1">
      <c r="A68" s="530"/>
      <c r="B68" s="800" t="s">
        <v>586</v>
      </c>
      <c r="C68" s="801"/>
      <c r="D68" s="801"/>
      <c r="E68" s="801"/>
      <c r="F68" s="802" t="s">
        <v>587</v>
      </c>
      <c r="G68" s="802"/>
      <c r="H68" s="802"/>
      <c r="I68" s="802"/>
      <c r="J68" s="802"/>
      <c r="K68" s="802"/>
      <c r="L68" s="802"/>
      <c r="M68" s="802"/>
      <c r="N68" s="802"/>
      <c r="O68" s="802"/>
      <c r="P68" s="802"/>
      <c r="Q68" s="802"/>
      <c r="R68" s="802"/>
      <c r="S68" s="802"/>
      <c r="T68" s="802"/>
      <c r="U68" s="802"/>
      <c r="V68" s="802"/>
      <c r="W68" s="802"/>
      <c r="X68" s="802"/>
      <c r="Y68" s="802"/>
      <c r="Z68" s="802"/>
      <c r="AA68" s="802"/>
      <c r="AB68" s="802"/>
      <c r="AC68" s="802"/>
      <c r="AD68" s="802"/>
      <c r="AE68" s="802"/>
      <c r="AF68" s="802"/>
      <c r="AG68" s="802"/>
      <c r="AH68" s="802"/>
      <c r="AI68" s="802"/>
      <c r="AJ68" s="803"/>
      <c r="AK68" s="531"/>
    </row>
    <row r="69" spans="1:43" s="532" customFormat="1" ht="18" customHeight="1">
      <c r="A69" s="530"/>
      <c r="B69" s="840"/>
      <c r="C69" s="841"/>
      <c r="D69" s="841"/>
      <c r="E69" s="841"/>
      <c r="F69" s="841"/>
      <c r="G69" s="841"/>
      <c r="H69" s="841"/>
      <c r="I69" s="841"/>
      <c r="J69" s="841"/>
      <c r="K69" s="841"/>
      <c r="L69" s="841"/>
      <c r="M69" s="841"/>
      <c r="N69" s="841"/>
      <c r="O69" s="842"/>
      <c r="P69" s="788" t="s">
        <v>588</v>
      </c>
      <c r="Q69" s="789"/>
      <c r="R69" s="789"/>
      <c r="S69" s="789"/>
      <c r="T69" s="789"/>
      <c r="U69" s="789"/>
      <c r="V69" s="789"/>
      <c r="W69" s="790"/>
      <c r="X69" s="788" t="s">
        <v>589</v>
      </c>
      <c r="Y69" s="789"/>
      <c r="Z69" s="789"/>
      <c r="AA69" s="789"/>
      <c r="AB69" s="789"/>
      <c r="AC69" s="789"/>
      <c r="AD69" s="789"/>
      <c r="AE69" s="790"/>
      <c r="AF69" s="788" t="s">
        <v>590</v>
      </c>
      <c r="AG69" s="789"/>
      <c r="AH69" s="789"/>
      <c r="AI69" s="789"/>
      <c r="AJ69" s="790"/>
      <c r="AK69" s="531"/>
    </row>
    <row r="70" spans="1:43" s="532" customFormat="1" ht="18" customHeight="1">
      <c r="A70" s="530"/>
      <c r="B70" s="804" t="s">
        <v>591</v>
      </c>
      <c r="C70" s="805"/>
      <c r="D70" s="805"/>
      <c r="E70" s="805"/>
      <c r="F70" s="805"/>
      <c r="G70" s="805"/>
      <c r="H70" s="805"/>
      <c r="I70" s="805"/>
      <c r="J70" s="805"/>
      <c r="K70" s="805"/>
      <c r="L70" s="805"/>
      <c r="M70" s="805"/>
      <c r="N70" s="805"/>
      <c r="O70" s="815"/>
      <c r="P70" s="843">
        <v>0</v>
      </c>
      <c r="Q70" s="844"/>
      <c r="R70" s="844"/>
      <c r="S70" s="844"/>
      <c r="T70" s="844"/>
      <c r="U70" s="844"/>
      <c r="V70" s="844"/>
      <c r="W70" s="845"/>
      <c r="X70" s="843">
        <v>0</v>
      </c>
      <c r="Y70" s="844"/>
      <c r="Z70" s="844"/>
      <c r="AA70" s="844"/>
      <c r="AB70" s="844"/>
      <c r="AC70" s="844"/>
      <c r="AD70" s="844"/>
      <c r="AE70" s="845"/>
      <c r="AF70" s="785">
        <f>X70-P70</f>
        <v>0</v>
      </c>
      <c r="AG70" s="786"/>
      <c r="AH70" s="786"/>
      <c r="AI70" s="786"/>
      <c r="AJ70" s="787"/>
      <c r="AK70" s="531"/>
    </row>
    <row r="71" spans="1:43" s="532" customFormat="1" ht="18" customHeight="1">
      <c r="A71" s="530"/>
      <c r="B71" s="804" t="s">
        <v>592</v>
      </c>
      <c r="C71" s="805"/>
      <c r="D71" s="805"/>
      <c r="E71" s="805"/>
      <c r="F71" s="805"/>
      <c r="G71" s="805"/>
      <c r="H71" s="805"/>
      <c r="I71" s="805"/>
      <c r="J71" s="805"/>
      <c r="K71" s="805"/>
      <c r="L71" s="805"/>
      <c r="M71" s="805"/>
      <c r="N71" s="805"/>
      <c r="O71" s="815"/>
      <c r="P71" s="843">
        <v>0</v>
      </c>
      <c r="Q71" s="844"/>
      <c r="R71" s="844"/>
      <c r="S71" s="844"/>
      <c r="T71" s="844"/>
      <c r="U71" s="844"/>
      <c r="V71" s="844"/>
      <c r="W71" s="845"/>
      <c r="X71" s="843">
        <v>0</v>
      </c>
      <c r="Y71" s="844"/>
      <c r="Z71" s="844"/>
      <c r="AA71" s="844"/>
      <c r="AB71" s="844"/>
      <c r="AC71" s="844"/>
      <c r="AD71" s="844"/>
      <c r="AE71" s="845"/>
      <c r="AF71" s="794">
        <f>X71-P71</f>
        <v>0</v>
      </c>
      <c r="AG71" s="795"/>
      <c r="AH71" s="795"/>
      <c r="AI71" s="795"/>
      <c r="AJ71" s="796"/>
      <c r="AK71" s="531"/>
    </row>
    <row r="72" spans="1:43" s="532" customFormat="1" ht="18" customHeight="1">
      <c r="A72" s="530"/>
      <c r="B72" s="804" t="s">
        <v>593</v>
      </c>
      <c r="C72" s="805"/>
      <c r="D72" s="805"/>
      <c r="E72" s="805"/>
      <c r="F72" s="805"/>
      <c r="G72" s="805"/>
      <c r="H72" s="805"/>
      <c r="I72" s="805"/>
      <c r="J72" s="805"/>
      <c r="K72" s="805"/>
      <c r="L72" s="805"/>
      <c r="M72" s="805"/>
      <c r="N72" s="805"/>
      <c r="O72" s="815"/>
      <c r="P72" s="843">
        <v>0</v>
      </c>
      <c r="Q72" s="844"/>
      <c r="R72" s="844"/>
      <c r="S72" s="844"/>
      <c r="T72" s="844"/>
      <c r="U72" s="844"/>
      <c r="V72" s="844"/>
      <c r="W72" s="845"/>
      <c r="X72" s="843">
        <v>0</v>
      </c>
      <c r="Y72" s="844"/>
      <c r="Z72" s="844"/>
      <c r="AA72" s="844"/>
      <c r="AB72" s="844"/>
      <c r="AC72" s="844"/>
      <c r="AD72" s="844"/>
      <c r="AE72" s="845"/>
      <c r="AF72" s="794">
        <f>X72-P72</f>
        <v>0</v>
      </c>
      <c r="AG72" s="795"/>
      <c r="AH72" s="795"/>
      <c r="AI72" s="795"/>
      <c r="AJ72" s="796"/>
      <c r="AK72" s="531"/>
    </row>
    <row r="73" spans="1:43" s="532" customFormat="1" ht="18" customHeight="1">
      <c r="A73" s="530"/>
      <c r="B73" s="849" t="s">
        <v>594</v>
      </c>
      <c r="C73" s="850"/>
      <c r="D73" s="850"/>
      <c r="E73" s="850"/>
      <c r="F73" s="850"/>
      <c r="G73" s="850"/>
      <c r="H73" s="850"/>
      <c r="I73" s="850"/>
      <c r="J73" s="850"/>
      <c r="K73" s="850"/>
      <c r="L73" s="850"/>
      <c r="M73" s="850"/>
      <c r="N73" s="850"/>
      <c r="O73" s="851"/>
      <c r="P73" s="852">
        <f>P70+P71+P72</f>
        <v>0</v>
      </c>
      <c r="Q73" s="853"/>
      <c r="R73" s="853"/>
      <c r="S73" s="853"/>
      <c r="T73" s="853"/>
      <c r="U73" s="853"/>
      <c r="V73" s="853"/>
      <c r="W73" s="854"/>
      <c r="X73" s="852">
        <f>X70+X71+X72</f>
        <v>0</v>
      </c>
      <c r="Y73" s="853"/>
      <c r="Z73" s="853"/>
      <c r="AA73" s="853"/>
      <c r="AB73" s="853"/>
      <c r="AC73" s="853"/>
      <c r="AD73" s="853"/>
      <c r="AE73" s="854"/>
      <c r="AF73" s="785">
        <f>AF70+AF71+AF72</f>
        <v>0</v>
      </c>
      <c r="AG73" s="786"/>
      <c r="AH73" s="786"/>
      <c r="AI73" s="786"/>
      <c r="AJ73" s="787"/>
      <c r="AK73" s="531"/>
    </row>
    <row r="74" spans="1:43" s="532" customFormat="1">
      <c r="A74" s="530"/>
      <c r="B74" s="800" t="s">
        <v>595</v>
      </c>
      <c r="C74" s="801"/>
      <c r="D74" s="801"/>
      <c r="E74" s="801"/>
      <c r="F74" s="802" t="s">
        <v>596</v>
      </c>
      <c r="G74" s="802"/>
      <c r="H74" s="802"/>
      <c r="I74" s="802"/>
      <c r="J74" s="802"/>
      <c r="K74" s="802"/>
      <c r="L74" s="802"/>
      <c r="M74" s="802"/>
      <c r="N74" s="802"/>
      <c r="O74" s="802"/>
      <c r="P74" s="802"/>
      <c r="Q74" s="802"/>
      <c r="R74" s="802"/>
      <c r="S74" s="802"/>
      <c r="T74" s="802"/>
      <c r="U74" s="802"/>
      <c r="V74" s="802"/>
      <c r="W74" s="802"/>
      <c r="X74" s="802"/>
      <c r="Y74" s="802"/>
      <c r="Z74" s="802"/>
      <c r="AA74" s="802"/>
      <c r="AB74" s="802"/>
      <c r="AC74" s="802"/>
      <c r="AD74" s="802"/>
      <c r="AE74" s="802"/>
      <c r="AF74" s="802"/>
      <c r="AG74" s="802"/>
      <c r="AH74" s="802"/>
      <c r="AI74" s="802"/>
      <c r="AJ74" s="803"/>
      <c r="AK74" s="531"/>
    </row>
    <row r="75" spans="1:43" s="532" customFormat="1" ht="18" customHeight="1">
      <c r="A75" s="530"/>
      <c r="B75" s="840"/>
      <c r="C75" s="841"/>
      <c r="D75" s="841"/>
      <c r="E75" s="841"/>
      <c r="F75" s="841"/>
      <c r="G75" s="841"/>
      <c r="H75" s="841"/>
      <c r="I75" s="841"/>
      <c r="J75" s="842"/>
      <c r="K75" s="788" t="s">
        <v>588</v>
      </c>
      <c r="L75" s="789"/>
      <c r="M75" s="789"/>
      <c r="N75" s="789"/>
      <c r="O75" s="789"/>
      <c r="P75" s="789"/>
      <c r="Q75" s="790"/>
      <c r="R75" s="788" t="s">
        <v>597</v>
      </c>
      <c r="S75" s="789"/>
      <c r="T75" s="789"/>
      <c r="U75" s="789"/>
      <c r="V75" s="789"/>
      <c r="W75" s="789"/>
      <c r="X75" s="790"/>
      <c r="Y75" s="788" t="s">
        <v>589</v>
      </c>
      <c r="Z75" s="789"/>
      <c r="AA75" s="789"/>
      <c r="AB75" s="789"/>
      <c r="AC75" s="789"/>
      <c r="AD75" s="789"/>
      <c r="AE75" s="790"/>
      <c r="AF75" s="855" t="s">
        <v>598</v>
      </c>
      <c r="AG75" s="856"/>
      <c r="AH75" s="856"/>
      <c r="AI75" s="856"/>
      <c r="AJ75" s="857"/>
      <c r="AK75" s="531"/>
    </row>
    <row r="76" spans="1:43" s="532" customFormat="1" ht="18" customHeight="1">
      <c r="A76" s="530"/>
      <c r="B76" s="858" t="s">
        <v>599</v>
      </c>
      <c r="C76" s="859"/>
      <c r="D76" s="859"/>
      <c r="E76" s="859"/>
      <c r="F76" s="859"/>
      <c r="G76" s="859"/>
      <c r="H76" s="859"/>
      <c r="I76" s="859"/>
      <c r="J76" s="860"/>
      <c r="K76" s="843">
        <v>0</v>
      </c>
      <c r="L76" s="844"/>
      <c r="M76" s="844"/>
      <c r="N76" s="844"/>
      <c r="O76" s="844"/>
      <c r="P76" s="844"/>
      <c r="Q76" s="845"/>
      <c r="R76" s="843">
        <v>0</v>
      </c>
      <c r="S76" s="844"/>
      <c r="T76" s="844"/>
      <c r="U76" s="844"/>
      <c r="V76" s="844"/>
      <c r="W76" s="844"/>
      <c r="X76" s="845"/>
      <c r="Y76" s="843">
        <v>0</v>
      </c>
      <c r="Z76" s="844"/>
      <c r="AA76" s="844"/>
      <c r="AB76" s="844"/>
      <c r="AC76" s="844"/>
      <c r="AD76" s="844"/>
      <c r="AE76" s="845"/>
      <c r="AF76" s="843">
        <f>(K76+R76)-Y76</f>
        <v>0</v>
      </c>
      <c r="AG76" s="844"/>
      <c r="AH76" s="844"/>
      <c r="AI76" s="844"/>
      <c r="AJ76" s="845"/>
      <c r="AK76" s="531"/>
    </row>
    <row r="77" spans="1:43" s="532" customFormat="1" ht="18" customHeight="1">
      <c r="A77" s="530"/>
      <c r="B77" s="864" t="s">
        <v>600</v>
      </c>
      <c r="C77" s="865"/>
      <c r="D77" s="865"/>
      <c r="E77" s="865"/>
      <c r="F77" s="865"/>
      <c r="G77" s="865"/>
      <c r="H77" s="865"/>
      <c r="I77" s="865"/>
      <c r="J77" s="866"/>
      <c r="K77" s="843">
        <v>0</v>
      </c>
      <c r="L77" s="844"/>
      <c r="M77" s="844"/>
      <c r="N77" s="844"/>
      <c r="O77" s="844"/>
      <c r="P77" s="844"/>
      <c r="Q77" s="845"/>
      <c r="R77" s="843">
        <f>'ANEXO 2'!B7</f>
        <v>25919676.521739133</v>
      </c>
      <c r="S77" s="844"/>
      <c r="T77" s="844"/>
      <c r="U77" s="844"/>
      <c r="V77" s="844"/>
      <c r="W77" s="844"/>
      <c r="X77" s="845"/>
      <c r="Y77" s="843">
        <f>'ANEXO 2'!B10</f>
        <v>3166284</v>
      </c>
      <c r="Z77" s="844"/>
      <c r="AA77" s="844"/>
      <c r="AB77" s="844"/>
      <c r="AC77" s="844"/>
      <c r="AD77" s="844"/>
      <c r="AE77" s="845"/>
      <c r="AF77" s="843">
        <f>(K77+R77)-Y77</f>
        <v>22753392.521739133</v>
      </c>
      <c r="AG77" s="844"/>
      <c r="AH77" s="844"/>
      <c r="AI77" s="844"/>
      <c r="AJ77" s="845"/>
      <c r="AK77" s="531"/>
    </row>
    <row r="78" spans="1:43" s="532" customFormat="1" ht="21" customHeight="1">
      <c r="A78" s="530"/>
      <c r="B78" s="867" t="s">
        <v>601</v>
      </c>
      <c r="C78" s="868"/>
      <c r="D78" s="868"/>
      <c r="E78" s="868"/>
      <c r="F78" s="868"/>
      <c r="G78" s="868"/>
      <c r="H78" s="868"/>
      <c r="I78" s="868"/>
      <c r="J78" s="869"/>
      <c r="K78" s="870">
        <f>K76+K77</f>
        <v>0</v>
      </c>
      <c r="L78" s="871"/>
      <c r="M78" s="871"/>
      <c r="N78" s="871"/>
      <c r="O78" s="871"/>
      <c r="P78" s="871"/>
      <c r="Q78" s="872"/>
      <c r="R78" s="870">
        <f>R76+R77</f>
        <v>25919676.521739133</v>
      </c>
      <c r="S78" s="871"/>
      <c r="T78" s="871"/>
      <c r="U78" s="871"/>
      <c r="V78" s="871"/>
      <c r="W78" s="871"/>
      <c r="X78" s="872"/>
      <c r="Y78" s="870">
        <f>Y76+Y77</f>
        <v>3166284</v>
      </c>
      <c r="Z78" s="871"/>
      <c r="AA78" s="871"/>
      <c r="AB78" s="871"/>
      <c r="AC78" s="871"/>
      <c r="AD78" s="871"/>
      <c r="AE78" s="872"/>
      <c r="AF78" s="873">
        <f>(K78+R78)-Y78</f>
        <v>22753392.521739133</v>
      </c>
      <c r="AG78" s="874"/>
      <c r="AH78" s="874"/>
      <c r="AI78" s="874"/>
      <c r="AJ78" s="875"/>
      <c r="AK78" s="531"/>
    </row>
    <row r="79" spans="1:43" s="532" customFormat="1" ht="21" customHeight="1">
      <c r="A79" s="530"/>
      <c r="B79" s="800" t="s">
        <v>602</v>
      </c>
      <c r="C79" s="801"/>
      <c r="D79" s="801"/>
      <c r="E79" s="801"/>
      <c r="F79" s="802" t="s">
        <v>603</v>
      </c>
      <c r="G79" s="802"/>
      <c r="H79" s="802"/>
      <c r="I79" s="802"/>
      <c r="J79" s="802"/>
      <c r="K79" s="802"/>
      <c r="L79" s="802"/>
      <c r="M79" s="802"/>
      <c r="N79" s="802"/>
      <c r="O79" s="802"/>
      <c r="P79" s="802"/>
      <c r="Q79" s="802"/>
      <c r="R79" s="802"/>
      <c r="S79" s="802"/>
      <c r="T79" s="802"/>
      <c r="U79" s="802"/>
      <c r="V79" s="802"/>
      <c r="W79" s="802"/>
      <c r="X79" s="802"/>
      <c r="Y79" s="802"/>
      <c r="Z79" s="802"/>
      <c r="AA79" s="802"/>
      <c r="AB79" s="802"/>
      <c r="AC79" s="802"/>
      <c r="AD79" s="802"/>
      <c r="AE79" s="802"/>
      <c r="AF79" s="802"/>
      <c r="AG79" s="802"/>
      <c r="AH79" s="802"/>
      <c r="AI79" s="802"/>
      <c r="AJ79" s="803"/>
      <c r="AK79" s="531"/>
    </row>
    <row r="80" spans="1:43" s="532" customFormat="1" ht="21" customHeight="1">
      <c r="A80" s="530"/>
      <c r="B80" s="861" t="s">
        <v>604</v>
      </c>
      <c r="C80" s="862"/>
      <c r="D80" s="862"/>
      <c r="E80" s="862"/>
      <c r="F80" s="862"/>
      <c r="G80" s="862"/>
      <c r="H80" s="862"/>
      <c r="I80" s="862"/>
      <c r="J80" s="862"/>
      <c r="K80" s="862"/>
      <c r="L80" s="862"/>
      <c r="M80" s="862"/>
      <c r="N80" s="862"/>
      <c r="O80" s="862"/>
      <c r="P80" s="862"/>
      <c r="Q80" s="862"/>
      <c r="R80" s="862"/>
      <c r="S80" s="862"/>
      <c r="T80" s="862"/>
      <c r="U80" s="862"/>
      <c r="V80" s="862"/>
      <c r="W80" s="862"/>
      <c r="X80" s="862"/>
      <c r="Y80" s="862"/>
      <c r="Z80" s="862"/>
      <c r="AA80" s="862"/>
      <c r="AB80" s="862"/>
      <c r="AC80" s="862"/>
      <c r="AD80" s="862"/>
      <c r="AE80" s="862"/>
      <c r="AF80" s="862"/>
      <c r="AG80" s="862"/>
      <c r="AH80" s="862"/>
      <c r="AI80" s="862"/>
      <c r="AJ80" s="863"/>
      <c r="AK80" s="531"/>
    </row>
    <row r="81" spans="1:37" s="532" customFormat="1" ht="20.100000000000001" customHeight="1">
      <c r="A81" s="530"/>
      <c r="B81" s="804" t="s">
        <v>605</v>
      </c>
      <c r="C81" s="805"/>
      <c r="D81" s="805"/>
      <c r="E81" s="805"/>
      <c r="F81" s="805"/>
      <c r="G81" s="805"/>
      <c r="H81" s="805"/>
      <c r="I81" s="805"/>
      <c r="J81" s="805"/>
      <c r="K81" s="805"/>
      <c r="L81" s="805"/>
      <c r="M81" s="805"/>
      <c r="N81" s="805"/>
      <c r="O81" s="805"/>
      <c r="P81" s="805"/>
      <c r="Q81" s="805"/>
      <c r="R81" s="805"/>
      <c r="S81" s="805"/>
      <c r="T81" s="805"/>
      <c r="U81" s="805"/>
      <c r="V81" s="805"/>
      <c r="W81" s="805"/>
      <c r="X81" s="805"/>
      <c r="Y81" s="805"/>
      <c r="Z81" s="805"/>
      <c r="AA81" s="805"/>
      <c r="AB81" s="805"/>
      <c r="AC81" s="805"/>
      <c r="AD81" s="805"/>
      <c r="AE81" s="815"/>
      <c r="AF81" s="843">
        <f>AF78</f>
        <v>22753392.521739133</v>
      </c>
      <c r="AG81" s="844"/>
      <c r="AH81" s="844"/>
      <c r="AI81" s="844"/>
      <c r="AJ81" s="845"/>
      <c r="AK81" s="531"/>
    </row>
    <row r="82" spans="1:37" s="532" customFormat="1" ht="20.100000000000001" customHeight="1">
      <c r="A82" s="530"/>
      <c r="B82" s="849" t="s">
        <v>606</v>
      </c>
      <c r="C82" s="850"/>
      <c r="D82" s="850"/>
      <c r="E82" s="850"/>
      <c r="F82" s="850"/>
      <c r="G82" s="850"/>
      <c r="H82" s="850"/>
      <c r="I82" s="850"/>
      <c r="J82" s="850"/>
      <c r="K82" s="850"/>
      <c r="L82" s="850"/>
      <c r="M82" s="850"/>
      <c r="N82" s="850"/>
      <c r="O82" s="850"/>
      <c r="P82" s="850"/>
      <c r="Q82" s="850"/>
      <c r="R82" s="850"/>
      <c r="S82" s="850"/>
      <c r="T82" s="850"/>
      <c r="U82" s="850"/>
      <c r="V82" s="850"/>
      <c r="W82" s="850"/>
      <c r="X82" s="850"/>
      <c r="Y82" s="850"/>
      <c r="Z82" s="850"/>
      <c r="AA82" s="850"/>
      <c r="AB82" s="850"/>
      <c r="AC82" s="850"/>
      <c r="AD82" s="850"/>
      <c r="AE82" s="851"/>
      <c r="AF82" s="843">
        <v>0</v>
      </c>
      <c r="AG82" s="844"/>
      <c r="AH82" s="844"/>
      <c r="AI82" s="844"/>
      <c r="AJ82" s="845"/>
      <c r="AK82" s="531"/>
    </row>
    <row r="83" spans="1:37" s="532" customFormat="1" ht="20.100000000000001" customHeight="1">
      <c r="A83" s="530"/>
      <c r="B83" s="849" t="s">
        <v>607</v>
      </c>
      <c r="C83" s="850"/>
      <c r="D83" s="850"/>
      <c r="E83" s="850"/>
      <c r="F83" s="850"/>
      <c r="G83" s="850"/>
      <c r="H83" s="850"/>
      <c r="I83" s="850"/>
      <c r="J83" s="850"/>
      <c r="K83" s="850"/>
      <c r="L83" s="850"/>
      <c r="M83" s="850"/>
      <c r="N83" s="850"/>
      <c r="O83" s="850"/>
      <c r="P83" s="850"/>
      <c r="Q83" s="850"/>
      <c r="R83" s="850"/>
      <c r="S83" s="850"/>
      <c r="T83" s="850"/>
      <c r="U83" s="850"/>
      <c r="V83" s="850"/>
      <c r="W83" s="850"/>
      <c r="X83" s="850"/>
      <c r="Y83" s="850"/>
      <c r="Z83" s="850"/>
      <c r="AA83" s="850"/>
      <c r="AB83" s="850"/>
      <c r="AC83" s="850"/>
      <c r="AD83" s="850"/>
      <c r="AE83" s="851"/>
      <c r="AF83" s="843">
        <f>-'DRN '!E11</f>
        <v>1977886.9565217393</v>
      </c>
      <c r="AG83" s="844"/>
      <c r="AH83" s="844"/>
      <c r="AI83" s="844"/>
      <c r="AJ83" s="845"/>
      <c r="AK83" s="531"/>
    </row>
    <row r="84" spans="1:37" s="532" customFormat="1" ht="20.100000000000001" customHeight="1">
      <c r="A84" s="530"/>
      <c r="B84" s="849" t="s">
        <v>608</v>
      </c>
      <c r="C84" s="850"/>
      <c r="D84" s="850"/>
      <c r="E84" s="850"/>
      <c r="F84" s="850"/>
      <c r="G84" s="850"/>
      <c r="H84" s="850"/>
      <c r="I84" s="850"/>
      <c r="J84" s="850"/>
      <c r="K84" s="850"/>
      <c r="L84" s="850"/>
      <c r="M84" s="850"/>
      <c r="N84" s="850"/>
      <c r="O84" s="850"/>
      <c r="P84" s="850"/>
      <c r="Q84" s="850"/>
      <c r="R84" s="850"/>
      <c r="S84" s="850"/>
      <c r="T84" s="850"/>
      <c r="U84" s="850"/>
      <c r="V84" s="850"/>
      <c r="W84" s="850"/>
      <c r="X84" s="850"/>
      <c r="Y84" s="850"/>
      <c r="Z84" s="850"/>
      <c r="AA84" s="850"/>
      <c r="AB84" s="850"/>
      <c r="AC84" s="850"/>
      <c r="AD84" s="850"/>
      <c r="AE84" s="851"/>
      <c r="AF84" s="843">
        <v>0</v>
      </c>
      <c r="AG84" s="844"/>
      <c r="AH84" s="844"/>
      <c r="AI84" s="844"/>
      <c r="AJ84" s="845"/>
      <c r="AK84" s="531"/>
    </row>
    <row r="85" spans="1:37" s="532" customFormat="1" ht="20.100000000000001" customHeight="1">
      <c r="A85" s="530"/>
      <c r="B85" s="879" t="s">
        <v>609</v>
      </c>
      <c r="C85" s="880"/>
      <c r="D85" s="880"/>
      <c r="E85" s="880"/>
      <c r="F85" s="880"/>
      <c r="G85" s="880"/>
      <c r="H85" s="880"/>
      <c r="I85" s="880"/>
      <c r="J85" s="880"/>
      <c r="K85" s="880"/>
      <c r="L85" s="880"/>
      <c r="M85" s="880"/>
      <c r="N85" s="880"/>
      <c r="O85" s="880"/>
      <c r="P85" s="880"/>
      <c r="Q85" s="880"/>
      <c r="R85" s="880"/>
      <c r="S85" s="880"/>
      <c r="T85" s="880"/>
      <c r="U85" s="880"/>
      <c r="V85" s="880"/>
      <c r="W85" s="880"/>
      <c r="X85" s="880"/>
      <c r="Y85" s="880"/>
      <c r="Z85" s="880"/>
      <c r="AA85" s="880"/>
      <c r="AB85" s="880"/>
      <c r="AC85" s="880"/>
      <c r="AD85" s="880"/>
      <c r="AE85" s="881"/>
      <c r="AF85" s="882">
        <f>AF81+AF82+AF83+AF84</f>
        <v>24731279.478260871</v>
      </c>
      <c r="AG85" s="883"/>
      <c r="AH85" s="883"/>
      <c r="AI85" s="883"/>
      <c r="AJ85" s="884"/>
      <c r="AK85" s="531"/>
    </row>
    <row r="86" spans="1:37" s="532" customFormat="1" ht="20.100000000000001" customHeight="1">
      <c r="A86" s="530"/>
      <c r="B86" s="849" t="s">
        <v>610</v>
      </c>
      <c r="C86" s="850"/>
      <c r="D86" s="850"/>
      <c r="E86" s="850"/>
      <c r="F86" s="850"/>
      <c r="G86" s="850"/>
      <c r="H86" s="850"/>
      <c r="I86" s="850"/>
      <c r="J86" s="850"/>
      <c r="K86" s="850"/>
      <c r="L86" s="850"/>
      <c r="M86" s="850"/>
      <c r="N86" s="850"/>
      <c r="O86" s="850"/>
      <c r="P86" s="850"/>
      <c r="Q86" s="850"/>
      <c r="R86" s="850"/>
      <c r="S86" s="850"/>
      <c r="T86" s="850"/>
      <c r="U86" s="850"/>
      <c r="V86" s="850"/>
      <c r="W86" s="850"/>
      <c r="X86" s="850"/>
      <c r="Y86" s="850"/>
      <c r="Z86" s="850"/>
      <c r="AA86" s="850"/>
      <c r="AB86" s="850"/>
      <c r="AC86" s="850"/>
      <c r="AD86" s="850"/>
      <c r="AE86" s="851"/>
      <c r="AF86" s="843">
        <v>0</v>
      </c>
      <c r="AG86" s="844"/>
      <c r="AH86" s="844"/>
      <c r="AI86" s="844"/>
      <c r="AJ86" s="845"/>
      <c r="AK86" s="531"/>
    </row>
    <row r="87" spans="1:37" s="532" customFormat="1" ht="20.100000000000001" customHeight="1">
      <c r="A87" s="530"/>
      <c r="B87" s="849" t="s">
        <v>611</v>
      </c>
      <c r="C87" s="850"/>
      <c r="D87" s="850"/>
      <c r="E87" s="850"/>
      <c r="F87" s="850"/>
      <c r="G87" s="850"/>
      <c r="H87" s="850"/>
      <c r="I87" s="850"/>
      <c r="J87" s="850"/>
      <c r="K87" s="850"/>
      <c r="L87" s="850"/>
      <c r="M87" s="850"/>
      <c r="N87" s="850"/>
      <c r="O87" s="850"/>
      <c r="P87" s="850"/>
      <c r="Q87" s="850"/>
      <c r="R87" s="850"/>
      <c r="S87" s="850"/>
      <c r="T87" s="850"/>
      <c r="U87" s="850"/>
      <c r="V87" s="850"/>
      <c r="W87" s="850"/>
      <c r="X87" s="850"/>
      <c r="Y87" s="850"/>
      <c r="Z87" s="850"/>
      <c r="AA87" s="850"/>
      <c r="AB87" s="850"/>
      <c r="AC87" s="850"/>
      <c r="AD87" s="850"/>
      <c r="AE87" s="851"/>
      <c r="AF87" s="876">
        <f>AF151</f>
        <v>14250600</v>
      </c>
      <c r="AG87" s="877"/>
      <c r="AH87" s="877"/>
      <c r="AI87" s="877"/>
      <c r="AJ87" s="878"/>
      <c r="AK87" s="531"/>
    </row>
    <row r="88" spans="1:37" s="532" customFormat="1" ht="20.100000000000001" customHeight="1">
      <c r="A88" s="530"/>
      <c r="B88" s="849" t="s">
        <v>612</v>
      </c>
      <c r="C88" s="850"/>
      <c r="D88" s="850"/>
      <c r="E88" s="850"/>
      <c r="F88" s="850"/>
      <c r="G88" s="850"/>
      <c r="H88" s="850"/>
      <c r="I88" s="850"/>
      <c r="J88" s="850"/>
      <c r="K88" s="850"/>
      <c r="L88" s="850"/>
      <c r="M88" s="850"/>
      <c r="N88" s="850"/>
      <c r="O88" s="850"/>
      <c r="P88" s="850"/>
      <c r="Q88" s="850"/>
      <c r="R88" s="850"/>
      <c r="S88" s="850"/>
      <c r="T88" s="850"/>
      <c r="U88" s="850"/>
      <c r="V88" s="850"/>
      <c r="W88" s="850"/>
      <c r="X88" s="850"/>
      <c r="Y88" s="850"/>
      <c r="Z88" s="850"/>
      <c r="AA88" s="850"/>
      <c r="AB88" s="850"/>
      <c r="AC88" s="850"/>
      <c r="AD88" s="850"/>
      <c r="AE88" s="851"/>
      <c r="AF88" s="843">
        <f>-'DRN '!E24</f>
        <v>444949.67216705694</v>
      </c>
      <c r="AG88" s="844"/>
      <c r="AH88" s="844"/>
      <c r="AI88" s="844"/>
      <c r="AJ88" s="845"/>
      <c r="AK88" s="531"/>
    </row>
    <row r="89" spans="1:37" s="532" customFormat="1" ht="20.100000000000001" customHeight="1">
      <c r="A89" s="530"/>
      <c r="B89" s="849" t="s">
        <v>613</v>
      </c>
      <c r="C89" s="850"/>
      <c r="D89" s="850"/>
      <c r="E89" s="850"/>
      <c r="F89" s="850"/>
      <c r="G89" s="850"/>
      <c r="H89" s="850"/>
      <c r="I89" s="850"/>
      <c r="J89" s="850"/>
      <c r="K89" s="850"/>
      <c r="L89" s="850"/>
      <c r="M89" s="850"/>
      <c r="N89" s="850"/>
      <c r="O89" s="850"/>
      <c r="P89" s="850"/>
      <c r="Q89" s="850"/>
      <c r="R89" s="850"/>
      <c r="S89" s="850"/>
      <c r="T89" s="850"/>
      <c r="U89" s="850"/>
      <c r="V89" s="850"/>
      <c r="W89" s="850"/>
      <c r="X89" s="850"/>
      <c r="Y89" s="850"/>
      <c r="Z89" s="850"/>
      <c r="AA89" s="850"/>
      <c r="AB89" s="850"/>
      <c r="AC89" s="850"/>
      <c r="AD89" s="850"/>
      <c r="AE89" s="851"/>
      <c r="AF89" s="843">
        <v>0</v>
      </c>
      <c r="AG89" s="844"/>
      <c r="AH89" s="844"/>
      <c r="AI89" s="844"/>
      <c r="AJ89" s="845"/>
      <c r="AK89" s="531"/>
    </row>
    <row r="90" spans="1:37" s="532" customFormat="1" ht="20.100000000000001" customHeight="1">
      <c r="A90" s="530"/>
      <c r="B90" s="849" t="s">
        <v>614</v>
      </c>
      <c r="C90" s="850"/>
      <c r="D90" s="850"/>
      <c r="E90" s="850"/>
      <c r="F90" s="850"/>
      <c r="G90" s="850"/>
      <c r="H90" s="850"/>
      <c r="I90" s="850"/>
      <c r="J90" s="850"/>
      <c r="K90" s="850"/>
      <c r="L90" s="850"/>
      <c r="M90" s="850"/>
      <c r="N90" s="850"/>
      <c r="O90" s="850"/>
      <c r="P90" s="850"/>
      <c r="Q90" s="850"/>
      <c r="R90" s="850"/>
      <c r="S90" s="850"/>
      <c r="T90" s="850"/>
      <c r="U90" s="850"/>
      <c r="V90" s="850"/>
      <c r="W90" s="850"/>
      <c r="X90" s="850"/>
      <c r="Y90" s="850"/>
      <c r="Z90" s="850"/>
      <c r="AA90" s="850"/>
      <c r="AB90" s="850"/>
      <c r="AC90" s="850"/>
      <c r="AD90" s="850"/>
      <c r="AE90" s="851"/>
      <c r="AF90" s="843">
        <f>-'DRN '!E21</f>
        <v>1372232.94306</v>
      </c>
      <c r="AG90" s="844"/>
      <c r="AH90" s="844"/>
      <c r="AI90" s="844"/>
      <c r="AJ90" s="845"/>
      <c r="AK90" s="531"/>
    </row>
    <row r="91" spans="1:37" s="532" customFormat="1" ht="20.100000000000001" customHeight="1">
      <c r="A91" s="530"/>
      <c r="B91" s="849" t="s">
        <v>615</v>
      </c>
      <c r="C91" s="850"/>
      <c r="D91" s="850"/>
      <c r="E91" s="850"/>
      <c r="F91" s="850"/>
      <c r="G91" s="850"/>
      <c r="H91" s="850"/>
      <c r="I91" s="850"/>
      <c r="J91" s="850"/>
      <c r="K91" s="850"/>
      <c r="L91" s="850"/>
      <c r="M91" s="850"/>
      <c r="N91" s="850"/>
      <c r="O91" s="850"/>
      <c r="P91" s="850"/>
      <c r="Q91" s="850"/>
      <c r="R91" s="850"/>
      <c r="S91" s="850"/>
      <c r="T91" s="850"/>
      <c r="U91" s="850"/>
      <c r="V91" s="850"/>
      <c r="W91" s="850"/>
      <c r="X91" s="850"/>
      <c r="Y91" s="850"/>
      <c r="Z91" s="850"/>
      <c r="AA91" s="850"/>
      <c r="AB91" s="850"/>
      <c r="AC91" s="850"/>
      <c r="AD91" s="850"/>
      <c r="AE91" s="851"/>
      <c r="AF91" s="843">
        <v>0</v>
      </c>
      <c r="AG91" s="844"/>
      <c r="AH91" s="844"/>
      <c r="AI91" s="844"/>
      <c r="AJ91" s="845"/>
      <c r="AK91" s="531"/>
    </row>
    <row r="92" spans="1:37" s="532" customFormat="1" ht="20.100000000000001" customHeight="1">
      <c r="A92" s="530"/>
      <c r="B92" s="885" t="s">
        <v>616</v>
      </c>
      <c r="C92" s="886"/>
      <c r="D92" s="886"/>
      <c r="E92" s="886"/>
      <c r="F92" s="886"/>
      <c r="G92" s="886"/>
      <c r="H92" s="886"/>
      <c r="I92" s="886"/>
      <c r="J92" s="886"/>
      <c r="K92" s="886"/>
      <c r="L92" s="886"/>
      <c r="M92" s="886"/>
      <c r="N92" s="886"/>
      <c r="O92" s="886"/>
      <c r="P92" s="886"/>
      <c r="Q92" s="886"/>
      <c r="R92" s="886"/>
      <c r="S92" s="886"/>
      <c r="T92" s="886"/>
      <c r="U92" s="886"/>
      <c r="V92" s="886"/>
      <c r="W92" s="886"/>
      <c r="X92" s="886"/>
      <c r="Y92" s="886"/>
      <c r="Z92" s="886"/>
      <c r="AA92" s="886"/>
      <c r="AB92" s="886"/>
      <c r="AC92" s="886"/>
      <c r="AD92" s="886"/>
      <c r="AE92" s="887"/>
      <c r="AF92" s="843">
        <f>-'DRN '!E19</f>
        <v>10600</v>
      </c>
      <c r="AG92" s="844"/>
      <c r="AH92" s="844"/>
      <c r="AI92" s="844"/>
      <c r="AJ92" s="845"/>
      <c r="AK92" s="531"/>
    </row>
    <row r="93" spans="1:37" s="532" customFormat="1" ht="4.5" customHeight="1">
      <c r="A93" s="540"/>
      <c r="B93" s="821"/>
      <c r="C93" s="821"/>
      <c r="D93" s="821"/>
      <c r="E93" s="821"/>
      <c r="F93" s="821"/>
      <c r="G93" s="821"/>
      <c r="H93" s="821"/>
      <c r="I93" s="821"/>
      <c r="J93" s="821"/>
      <c r="K93" s="821"/>
      <c r="L93" s="821"/>
      <c r="M93" s="821"/>
      <c r="N93" s="821"/>
      <c r="O93" s="821"/>
      <c r="P93" s="821"/>
      <c r="Q93" s="821"/>
      <c r="R93" s="821"/>
      <c r="S93" s="821"/>
      <c r="T93" s="821"/>
      <c r="U93" s="821"/>
      <c r="V93" s="821"/>
      <c r="W93" s="821"/>
      <c r="X93" s="821"/>
      <c r="Y93" s="821"/>
      <c r="Z93" s="821"/>
      <c r="AA93" s="821"/>
      <c r="AB93" s="821"/>
      <c r="AC93" s="821"/>
      <c r="AD93" s="821"/>
      <c r="AE93" s="821"/>
      <c r="AF93" s="821"/>
      <c r="AG93" s="821"/>
      <c r="AH93" s="821"/>
      <c r="AI93" s="821"/>
      <c r="AJ93" s="821"/>
      <c r="AK93" s="531"/>
    </row>
    <row r="94" spans="1:37" s="532" customFormat="1" ht="4.5" customHeight="1">
      <c r="A94" s="527"/>
      <c r="B94" s="821"/>
      <c r="C94" s="821"/>
      <c r="D94" s="821"/>
      <c r="E94" s="821"/>
      <c r="F94" s="821"/>
      <c r="G94" s="821"/>
      <c r="H94" s="821"/>
      <c r="I94" s="821"/>
      <c r="J94" s="821"/>
      <c r="K94" s="821"/>
      <c r="L94" s="821"/>
      <c r="M94" s="821"/>
      <c r="N94" s="821"/>
      <c r="O94" s="821"/>
      <c r="P94" s="821"/>
      <c r="Q94" s="821"/>
      <c r="R94" s="821"/>
      <c r="S94" s="821"/>
      <c r="T94" s="821"/>
      <c r="U94" s="821"/>
      <c r="V94" s="821"/>
      <c r="W94" s="821"/>
      <c r="X94" s="821"/>
      <c r="Y94" s="821"/>
      <c r="Z94" s="821"/>
      <c r="AA94" s="821"/>
      <c r="AB94" s="821"/>
      <c r="AC94" s="821"/>
      <c r="AD94" s="821"/>
      <c r="AE94" s="821"/>
      <c r="AF94" s="821"/>
      <c r="AG94" s="821"/>
      <c r="AH94" s="821"/>
      <c r="AI94" s="821"/>
      <c r="AJ94" s="821"/>
      <c r="AK94" s="531"/>
    </row>
    <row r="95" spans="1:37" s="532" customFormat="1" ht="20.100000000000001" customHeight="1">
      <c r="A95" s="530"/>
      <c r="B95" s="888" t="s">
        <v>617</v>
      </c>
      <c r="C95" s="889"/>
      <c r="D95" s="889"/>
      <c r="E95" s="889"/>
      <c r="F95" s="889"/>
      <c r="G95" s="889"/>
      <c r="H95" s="889"/>
      <c r="I95" s="889"/>
      <c r="J95" s="889"/>
      <c r="K95" s="889"/>
      <c r="L95" s="889"/>
      <c r="M95" s="889"/>
      <c r="N95" s="889"/>
      <c r="O95" s="889"/>
      <c r="P95" s="889"/>
      <c r="Q95" s="889"/>
      <c r="R95" s="889"/>
      <c r="S95" s="889"/>
      <c r="T95" s="889"/>
      <c r="U95" s="889"/>
      <c r="V95" s="889"/>
      <c r="W95" s="889"/>
      <c r="X95" s="889"/>
      <c r="Y95" s="889"/>
      <c r="Z95" s="889"/>
      <c r="AA95" s="889"/>
      <c r="AB95" s="889"/>
      <c r="AC95" s="889"/>
      <c r="AD95" s="889"/>
      <c r="AE95" s="890"/>
      <c r="AF95" s="852">
        <f>AF86+AF87+AF88+AF89+AF90+AF91+AF92</f>
        <v>16078382.615227057</v>
      </c>
      <c r="AG95" s="853"/>
      <c r="AH95" s="853"/>
      <c r="AI95" s="853"/>
      <c r="AJ95" s="854"/>
      <c r="AK95" s="531"/>
    </row>
    <row r="96" spans="1:37" s="532" customFormat="1" ht="20.100000000000001" customHeight="1">
      <c r="A96" s="530"/>
      <c r="B96" s="804" t="s">
        <v>618</v>
      </c>
      <c r="C96" s="805"/>
      <c r="D96" s="805"/>
      <c r="E96" s="805"/>
      <c r="F96" s="805"/>
      <c r="G96" s="805"/>
      <c r="H96" s="805"/>
      <c r="I96" s="805"/>
      <c r="J96" s="805"/>
      <c r="K96" s="805"/>
      <c r="L96" s="805"/>
      <c r="M96" s="805"/>
      <c r="N96" s="805"/>
      <c r="O96" s="805"/>
      <c r="P96" s="805"/>
      <c r="Q96" s="805"/>
      <c r="R96" s="805"/>
      <c r="S96" s="805"/>
      <c r="T96" s="805"/>
      <c r="U96" s="805"/>
      <c r="V96" s="805"/>
      <c r="W96" s="805"/>
      <c r="X96" s="805"/>
      <c r="Y96" s="805"/>
      <c r="Z96" s="805"/>
      <c r="AA96" s="805"/>
      <c r="AB96" s="805"/>
      <c r="AC96" s="805"/>
      <c r="AD96" s="805"/>
      <c r="AE96" s="815"/>
      <c r="AF96" s="843">
        <v>0</v>
      </c>
      <c r="AG96" s="844"/>
      <c r="AH96" s="844"/>
      <c r="AI96" s="844"/>
      <c r="AJ96" s="845"/>
      <c r="AK96" s="531"/>
    </row>
    <row r="97" spans="1:37" s="532" customFormat="1" ht="20.100000000000001" customHeight="1">
      <c r="A97" s="530"/>
      <c r="B97" s="879" t="s">
        <v>619</v>
      </c>
      <c r="C97" s="880"/>
      <c r="D97" s="880"/>
      <c r="E97" s="880"/>
      <c r="F97" s="880"/>
      <c r="G97" s="880"/>
      <c r="H97" s="880"/>
      <c r="I97" s="880"/>
      <c r="J97" s="880"/>
      <c r="K97" s="880"/>
      <c r="L97" s="880"/>
      <c r="M97" s="880"/>
      <c r="N97" s="880"/>
      <c r="O97" s="880"/>
      <c r="P97" s="880"/>
      <c r="Q97" s="880"/>
      <c r="R97" s="880"/>
      <c r="S97" s="880"/>
      <c r="T97" s="880"/>
      <c r="U97" s="880"/>
      <c r="V97" s="880"/>
      <c r="W97" s="880"/>
      <c r="X97" s="880"/>
      <c r="Y97" s="880"/>
      <c r="Z97" s="880"/>
      <c r="AA97" s="880"/>
      <c r="AB97" s="880"/>
      <c r="AC97" s="880"/>
      <c r="AD97" s="880"/>
      <c r="AE97" s="881"/>
      <c r="AF97" s="852">
        <f>AF85+AF95+AF96</f>
        <v>40809662.093487926</v>
      </c>
      <c r="AG97" s="853"/>
      <c r="AH97" s="853"/>
      <c r="AI97" s="853"/>
      <c r="AJ97" s="854"/>
      <c r="AK97" s="531"/>
    </row>
    <row r="98" spans="1:37" s="532" customFormat="1" ht="20.100000000000001" customHeight="1">
      <c r="A98" s="530"/>
      <c r="B98" s="891" t="s">
        <v>620</v>
      </c>
      <c r="C98" s="892"/>
      <c r="D98" s="892"/>
      <c r="E98" s="892"/>
      <c r="F98" s="892"/>
      <c r="G98" s="892"/>
      <c r="H98" s="892"/>
      <c r="I98" s="892"/>
      <c r="J98" s="892"/>
      <c r="K98" s="892"/>
      <c r="L98" s="892"/>
      <c r="M98" s="892"/>
      <c r="N98" s="892"/>
      <c r="O98" s="892"/>
      <c r="P98" s="892"/>
      <c r="Q98" s="892"/>
      <c r="R98" s="892"/>
      <c r="S98" s="892"/>
      <c r="T98" s="892"/>
      <c r="U98" s="892"/>
      <c r="V98" s="892"/>
      <c r="W98" s="892"/>
      <c r="X98" s="892"/>
      <c r="Y98" s="892"/>
      <c r="Z98" s="892"/>
      <c r="AA98" s="892"/>
      <c r="AB98" s="892"/>
      <c r="AC98" s="892"/>
      <c r="AD98" s="892"/>
      <c r="AE98" s="892"/>
      <c r="AF98" s="892"/>
      <c r="AG98" s="892"/>
      <c r="AH98" s="892"/>
      <c r="AI98" s="892"/>
      <c r="AJ98" s="893"/>
      <c r="AK98" s="531"/>
    </row>
    <row r="99" spans="1:37" s="532" customFormat="1" ht="20.100000000000001" customHeight="1">
      <c r="A99" s="530"/>
      <c r="B99" s="804" t="s">
        <v>621</v>
      </c>
      <c r="C99" s="805"/>
      <c r="D99" s="805"/>
      <c r="E99" s="805"/>
      <c r="F99" s="805"/>
      <c r="G99" s="805"/>
      <c r="H99" s="805"/>
      <c r="I99" s="805"/>
      <c r="J99" s="805"/>
      <c r="K99" s="805"/>
      <c r="L99" s="805"/>
      <c r="M99" s="805"/>
      <c r="N99" s="805"/>
      <c r="O99" s="805"/>
      <c r="P99" s="805"/>
      <c r="Q99" s="805"/>
      <c r="R99" s="805"/>
      <c r="S99" s="805"/>
      <c r="T99" s="805"/>
      <c r="U99" s="805"/>
      <c r="V99" s="805"/>
      <c r="W99" s="805"/>
      <c r="X99" s="805"/>
      <c r="Y99" s="805"/>
      <c r="Z99" s="805"/>
      <c r="AA99" s="805"/>
      <c r="AB99" s="805"/>
      <c r="AC99" s="805"/>
      <c r="AD99" s="805"/>
      <c r="AE99" s="815"/>
      <c r="AF99" s="794"/>
      <c r="AG99" s="795"/>
      <c r="AH99" s="795"/>
      <c r="AI99" s="795"/>
      <c r="AJ99" s="796"/>
      <c r="AK99" s="531"/>
    </row>
    <row r="100" spans="1:37" s="532" customFormat="1" ht="20.100000000000001" customHeight="1">
      <c r="A100" s="530"/>
      <c r="B100" s="804" t="s">
        <v>622</v>
      </c>
      <c r="C100" s="805"/>
      <c r="D100" s="805"/>
      <c r="E100" s="805"/>
      <c r="F100" s="805"/>
      <c r="G100" s="805"/>
      <c r="H100" s="805"/>
      <c r="I100" s="805"/>
      <c r="J100" s="805"/>
      <c r="K100" s="805"/>
      <c r="L100" s="805"/>
      <c r="M100" s="805"/>
      <c r="N100" s="805"/>
      <c r="O100" s="805"/>
      <c r="P100" s="805"/>
      <c r="Q100" s="805"/>
      <c r="R100" s="805"/>
      <c r="S100" s="805"/>
      <c r="T100" s="805"/>
      <c r="U100" s="805"/>
      <c r="V100" s="805"/>
      <c r="W100" s="805"/>
      <c r="X100" s="805"/>
      <c r="Y100" s="805"/>
      <c r="Z100" s="805"/>
      <c r="AA100" s="805"/>
      <c r="AB100" s="805"/>
      <c r="AC100" s="805"/>
      <c r="AD100" s="805"/>
      <c r="AE100" s="815"/>
      <c r="AF100" s="794">
        <f>'DRN '!E6</f>
        <v>50291174.713043481</v>
      </c>
      <c r="AG100" s="795"/>
      <c r="AH100" s="795"/>
      <c r="AI100" s="795"/>
      <c r="AJ100" s="796"/>
      <c r="AK100" s="531"/>
    </row>
    <row r="101" spans="1:37" s="532" customFormat="1" ht="18.95" customHeight="1">
      <c r="A101" s="530"/>
      <c r="B101" s="849" t="s">
        <v>623</v>
      </c>
      <c r="C101" s="850"/>
      <c r="D101" s="850"/>
      <c r="E101" s="850"/>
      <c r="F101" s="850"/>
      <c r="G101" s="850"/>
      <c r="H101" s="850"/>
      <c r="I101" s="850"/>
      <c r="J101" s="850"/>
      <c r="K101" s="850"/>
      <c r="L101" s="850"/>
      <c r="M101" s="850"/>
      <c r="N101" s="850"/>
      <c r="O101" s="850"/>
      <c r="P101" s="850"/>
      <c r="Q101" s="850"/>
      <c r="R101" s="850"/>
      <c r="S101" s="850"/>
      <c r="T101" s="850"/>
      <c r="U101" s="850"/>
      <c r="V101" s="850"/>
      <c r="W101" s="850"/>
      <c r="X101" s="850"/>
      <c r="Y101" s="850"/>
      <c r="Z101" s="850"/>
      <c r="AA101" s="850"/>
      <c r="AB101" s="850"/>
      <c r="AC101" s="850"/>
      <c r="AD101" s="850"/>
      <c r="AE101" s="851"/>
      <c r="AF101" s="794"/>
      <c r="AG101" s="795"/>
      <c r="AH101" s="795"/>
      <c r="AI101" s="795"/>
      <c r="AJ101" s="796"/>
      <c r="AK101" s="531"/>
    </row>
    <row r="102" spans="1:37" s="532" customFormat="1" ht="18.95" customHeight="1">
      <c r="A102" s="530"/>
      <c r="B102" s="879" t="s">
        <v>624</v>
      </c>
      <c r="C102" s="880"/>
      <c r="D102" s="880"/>
      <c r="E102" s="880"/>
      <c r="F102" s="880"/>
      <c r="G102" s="880"/>
      <c r="H102" s="880"/>
      <c r="I102" s="880"/>
      <c r="J102" s="880"/>
      <c r="K102" s="880"/>
      <c r="L102" s="880"/>
      <c r="M102" s="880"/>
      <c r="N102" s="880"/>
      <c r="O102" s="880"/>
      <c r="P102" s="880"/>
      <c r="Q102" s="880"/>
      <c r="R102" s="880"/>
      <c r="S102" s="880"/>
      <c r="T102" s="880"/>
      <c r="U102" s="880"/>
      <c r="V102" s="880"/>
      <c r="W102" s="880"/>
      <c r="X102" s="880"/>
      <c r="Y102" s="880"/>
      <c r="Z102" s="880"/>
      <c r="AA102" s="880"/>
      <c r="AB102" s="880"/>
      <c r="AC102" s="880"/>
      <c r="AD102" s="880"/>
      <c r="AE102" s="881"/>
      <c r="AF102" s="852">
        <f>AF101+AF100+AF99</f>
        <v>50291174.713043481</v>
      </c>
      <c r="AG102" s="853"/>
      <c r="AH102" s="853"/>
      <c r="AI102" s="853"/>
      <c r="AJ102" s="854"/>
      <c r="AK102" s="531"/>
    </row>
    <row r="103" spans="1:37" s="532" customFormat="1" ht="18.95" customHeight="1">
      <c r="A103" s="530"/>
      <c r="B103" s="849" t="s">
        <v>625</v>
      </c>
      <c r="C103" s="850"/>
      <c r="D103" s="850"/>
      <c r="E103" s="850"/>
      <c r="F103" s="850"/>
      <c r="G103" s="850"/>
      <c r="H103" s="850"/>
      <c r="I103" s="850"/>
      <c r="J103" s="850"/>
      <c r="K103" s="850"/>
      <c r="L103" s="850"/>
      <c r="M103" s="850"/>
      <c r="N103" s="850"/>
      <c r="O103" s="850"/>
      <c r="P103" s="850"/>
      <c r="Q103" s="850"/>
      <c r="R103" s="850"/>
      <c r="S103" s="850"/>
      <c r="T103" s="850"/>
      <c r="U103" s="850"/>
      <c r="V103" s="850"/>
      <c r="W103" s="850"/>
      <c r="X103" s="850"/>
      <c r="Y103" s="850"/>
      <c r="Z103" s="850"/>
      <c r="AA103" s="850"/>
      <c r="AB103" s="850"/>
      <c r="AC103" s="850"/>
      <c r="AD103" s="850"/>
      <c r="AE103" s="851"/>
      <c r="AF103" s="794">
        <v>0</v>
      </c>
      <c r="AG103" s="795"/>
      <c r="AH103" s="795"/>
      <c r="AI103" s="795"/>
      <c r="AJ103" s="796"/>
      <c r="AK103" s="531"/>
    </row>
    <row r="104" spans="1:37" s="532" customFormat="1" ht="18.95" customHeight="1">
      <c r="A104" s="530"/>
      <c r="B104" s="849" t="s">
        <v>626</v>
      </c>
      <c r="C104" s="850"/>
      <c r="D104" s="850"/>
      <c r="E104" s="850"/>
      <c r="F104" s="850"/>
      <c r="G104" s="850"/>
      <c r="H104" s="850"/>
      <c r="I104" s="850"/>
      <c r="J104" s="850"/>
      <c r="K104" s="850"/>
      <c r="L104" s="850"/>
      <c r="M104" s="850"/>
      <c r="N104" s="850"/>
      <c r="O104" s="850"/>
      <c r="P104" s="850"/>
      <c r="Q104" s="850"/>
      <c r="R104" s="850"/>
      <c r="S104" s="850"/>
      <c r="T104" s="850"/>
      <c r="U104" s="850"/>
      <c r="V104" s="850"/>
      <c r="W104" s="850"/>
      <c r="X104" s="850"/>
      <c r="Y104" s="850"/>
      <c r="Z104" s="850"/>
      <c r="AA104" s="850"/>
      <c r="AB104" s="850"/>
      <c r="AC104" s="850"/>
      <c r="AD104" s="850"/>
      <c r="AE104" s="851"/>
      <c r="AF104" s="794">
        <f>AF73</f>
        <v>0</v>
      </c>
      <c r="AG104" s="795"/>
      <c r="AH104" s="795"/>
      <c r="AI104" s="795"/>
      <c r="AJ104" s="796"/>
      <c r="AK104" s="531"/>
    </row>
    <row r="105" spans="1:37" s="532" customFormat="1" ht="18.95" customHeight="1">
      <c r="A105" s="530"/>
      <c r="B105" s="849" t="s">
        <v>627</v>
      </c>
      <c r="C105" s="850"/>
      <c r="D105" s="850"/>
      <c r="E105" s="850"/>
      <c r="F105" s="850"/>
      <c r="G105" s="850"/>
      <c r="H105" s="850"/>
      <c r="I105" s="850"/>
      <c r="J105" s="850"/>
      <c r="K105" s="850"/>
      <c r="L105" s="850"/>
      <c r="M105" s="850"/>
      <c r="N105" s="850"/>
      <c r="O105" s="850"/>
      <c r="P105" s="850"/>
      <c r="Q105" s="850"/>
      <c r="R105" s="850"/>
      <c r="S105" s="850"/>
      <c r="T105" s="850"/>
      <c r="U105" s="850"/>
      <c r="V105" s="850"/>
      <c r="W105" s="850"/>
      <c r="X105" s="850"/>
      <c r="Y105" s="850"/>
      <c r="Z105" s="850"/>
      <c r="AA105" s="850"/>
      <c r="AB105" s="850"/>
      <c r="AC105" s="850"/>
      <c r="AD105" s="850"/>
      <c r="AE105" s="851"/>
      <c r="AF105" s="794">
        <f>X105-P105</f>
        <v>0</v>
      </c>
      <c r="AG105" s="795"/>
      <c r="AH105" s="795"/>
      <c r="AI105" s="795"/>
      <c r="AJ105" s="796"/>
      <c r="AK105" s="531"/>
    </row>
    <row r="106" spans="1:37" s="532" customFormat="1" ht="18.95" customHeight="1">
      <c r="A106" s="530"/>
      <c r="B106" s="804" t="s">
        <v>628</v>
      </c>
      <c r="C106" s="805"/>
      <c r="D106" s="805"/>
      <c r="E106" s="805"/>
      <c r="F106" s="805"/>
      <c r="G106" s="805"/>
      <c r="H106" s="805"/>
      <c r="I106" s="805"/>
      <c r="J106" s="805"/>
      <c r="K106" s="805"/>
      <c r="L106" s="805"/>
      <c r="M106" s="805"/>
      <c r="N106" s="805"/>
      <c r="O106" s="805"/>
      <c r="P106" s="805"/>
      <c r="Q106" s="805"/>
      <c r="R106" s="805"/>
      <c r="S106" s="805"/>
      <c r="T106" s="805"/>
      <c r="U106" s="805"/>
      <c r="V106" s="805"/>
      <c r="W106" s="805"/>
      <c r="X106" s="805"/>
      <c r="Y106" s="805"/>
      <c r="Z106" s="805"/>
      <c r="AA106" s="805"/>
      <c r="AB106" s="805"/>
      <c r="AC106" s="805"/>
      <c r="AD106" s="805"/>
      <c r="AE106" s="815"/>
      <c r="AF106" s="794">
        <v>0</v>
      </c>
      <c r="AG106" s="795"/>
      <c r="AH106" s="795"/>
      <c r="AI106" s="795"/>
      <c r="AJ106" s="796"/>
      <c r="AK106" s="531"/>
    </row>
    <row r="107" spans="1:37" s="532" customFormat="1" ht="18.95" customHeight="1">
      <c r="A107" s="530"/>
      <c r="B107" s="879" t="s">
        <v>629</v>
      </c>
      <c r="C107" s="880"/>
      <c r="D107" s="880"/>
      <c r="E107" s="880"/>
      <c r="F107" s="880"/>
      <c r="G107" s="880"/>
      <c r="H107" s="880"/>
      <c r="I107" s="880"/>
      <c r="J107" s="880"/>
      <c r="K107" s="880"/>
      <c r="L107" s="880"/>
      <c r="M107" s="880"/>
      <c r="N107" s="880"/>
      <c r="O107" s="880"/>
      <c r="P107" s="880"/>
      <c r="Q107" s="880"/>
      <c r="R107" s="880"/>
      <c r="S107" s="880"/>
      <c r="T107" s="880"/>
      <c r="U107" s="880"/>
      <c r="V107" s="880"/>
      <c r="W107" s="880"/>
      <c r="X107" s="880"/>
      <c r="Y107" s="880"/>
      <c r="Z107" s="880"/>
      <c r="AA107" s="880"/>
      <c r="AB107" s="880"/>
      <c r="AC107" s="880"/>
      <c r="AD107" s="880"/>
      <c r="AE107" s="881"/>
      <c r="AF107" s="852">
        <f>AF103+AF104+AF105+AF106</f>
        <v>0</v>
      </c>
      <c r="AG107" s="853"/>
      <c r="AH107" s="853"/>
      <c r="AI107" s="853"/>
      <c r="AJ107" s="854"/>
      <c r="AK107" s="531"/>
    </row>
    <row r="108" spans="1:37" s="532" customFormat="1" ht="18.95" customHeight="1">
      <c r="A108" s="530"/>
      <c r="B108" s="849" t="s">
        <v>630</v>
      </c>
      <c r="C108" s="850"/>
      <c r="D108" s="850"/>
      <c r="E108" s="850"/>
      <c r="F108" s="850"/>
      <c r="G108" s="850"/>
      <c r="H108" s="850"/>
      <c r="I108" s="850"/>
      <c r="J108" s="850"/>
      <c r="K108" s="850"/>
      <c r="L108" s="850"/>
      <c r="M108" s="850"/>
      <c r="N108" s="850"/>
      <c r="O108" s="850"/>
      <c r="P108" s="850"/>
      <c r="Q108" s="850"/>
      <c r="R108" s="850"/>
      <c r="S108" s="850"/>
      <c r="T108" s="850"/>
      <c r="U108" s="850"/>
      <c r="V108" s="850"/>
      <c r="W108" s="850"/>
      <c r="X108" s="850"/>
      <c r="Y108" s="850"/>
      <c r="Z108" s="850"/>
      <c r="AA108" s="850"/>
      <c r="AB108" s="850"/>
      <c r="AC108" s="850"/>
      <c r="AD108" s="850"/>
      <c r="AE108" s="851"/>
      <c r="AF108" s="794">
        <v>0</v>
      </c>
      <c r="AG108" s="795"/>
      <c r="AH108" s="795"/>
      <c r="AI108" s="795"/>
      <c r="AJ108" s="796"/>
      <c r="AK108" s="531"/>
    </row>
    <row r="109" spans="1:37" s="532" customFormat="1" ht="18.95" customHeight="1">
      <c r="A109" s="530"/>
      <c r="B109" s="849" t="s">
        <v>631</v>
      </c>
      <c r="C109" s="850"/>
      <c r="D109" s="850"/>
      <c r="E109" s="850"/>
      <c r="F109" s="850"/>
      <c r="G109" s="850"/>
      <c r="H109" s="850"/>
      <c r="I109" s="850"/>
      <c r="J109" s="850"/>
      <c r="K109" s="850"/>
      <c r="L109" s="850"/>
      <c r="M109" s="850"/>
      <c r="N109" s="850"/>
      <c r="O109" s="850"/>
      <c r="P109" s="850"/>
      <c r="Q109" s="850"/>
      <c r="R109" s="850"/>
      <c r="S109" s="850"/>
      <c r="T109" s="850"/>
      <c r="U109" s="850"/>
      <c r="V109" s="850"/>
      <c r="W109" s="850"/>
      <c r="X109" s="850"/>
      <c r="Y109" s="850"/>
      <c r="Z109" s="850"/>
      <c r="AA109" s="850"/>
      <c r="AB109" s="850"/>
      <c r="AC109" s="850"/>
      <c r="AD109" s="850"/>
      <c r="AE109" s="851"/>
      <c r="AF109" s="794">
        <v>0</v>
      </c>
      <c r="AG109" s="795"/>
      <c r="AH109" s="795"/>
      <c r="AI109" s="795"/>
      <c r="AJ109" s="796"/>
      <c r="AK109" s="531"/>
    </row>
    <row r="110" spans="1:37" s="532" customFormat="1" ht="18.95" customHeight="1">
      <c r="A110" s="530"/>
      <c r="B110" s="849" t="s">
        <v>632</v>
      </c>
      <c r="C110" s="850"/>
      <c r="D110" s="850"/>
      <c r="E110" s="850"/>
      <c r="F110" s="850"/>
      <c r="G110" s="850"/>
      <c r="H110" s="850"/>
      <c r="I110" s="850"/>
      <c r="J110" s="850"/>
      <c r="K110" s="850"/>
      <c r="L110" s="850"/>
      <c r="M110" s="850"/>
      <c r="N110" s="850"/>
      <c r="O110" s="850"/>
      <c r="P110" s="850"/>
      <c r="Q110" s="850"/>
      <c r="R110" s="850"/>
      <c r="S110" s="850"/>
      <c r="T110" s="850"/>
      <c r="U110" s="850"/>
      <c r="V110" s="850"/>
      <c r="W110" s="850"/>
      <c r="X110" s="850"/>
      <c r="Y110" s="850"/>
      <c r="Z110" s="850"/>
      <c r="AA110" s="850"/>
      <c r="AB110" s="850"/>
      <c r="AC110" s="850"/>
      <c r="AD110" s="850"/>
      <c r="AE110" s="851"/>
      <c r="AF110" s="794">
        <v>0</v>
      </c>
      <c r="AG110" s="795"/>
      <c r="AH110" s="795"/>
      <c r="AI110" s="795"/>
      <c r="AJ110" s="796"/>
      <c r="AK110" s="531"/>
    </row>
    <row r="111" spans="1:37" s="532" customFormat="1" ht="18.95" customHeight="1">
      <c r="A111" s="530"/>
      <c r="B111" s="849" t="s">
        <v>633</v>
      </c>
      <c r="C111" s="850"/>
      <c r="D111" s="850"/>
      <c r="E111" s="850"/>
      <c r="F111" s="850"/>
      <c r="G111" s="850"/>
      <c r="H111" s="850"/>
      <c r="I111" s="850"/>
      <c r="J111" s="850"/>
      <c r="K111" s="850"/>
      <c r="L111" s="850"/>
      <c r="M111" s="850"/>
      <c r="N111" s="850"/>
      <c r="O111" s="850"/>
      <c r="P111" s="850"/>
      <c r="Q111" s="850"/>
      <c r="R111" s="850"/>
      <c r="S111" s="850"/>
      <c r="T111" s="850"/>
      <c r="U111" s="850"/>
      <c r="V111" s="850"/>
      <c r="W111" s="850"/>
      <c r="X111" s="850"/>
      <c r="Y111" s="850"/>
      <c r="Z111" s="850"/>
      <c r="AA111" s="850"/>
      <c r="AB111" s="850"/>
      <c r="AC111" s="850"/>
      <c r="AD111" s="850"/>
      <c r="AE111" s="851"/>
      <c r="AF111" s="794">
        <v>0</v>
      </c>
      <c r="AG111" s="795"/>
      <c r="AH111" s="795"/>
      <c r="AI111" s="795"/>
      <c r="AJ111" s="796"/>
      <c r="AK111" s="531"/>
    </row>
    <row r="112" spans="1:37" s="532" customFormat="1" ht="18.95" customHeight="1">
      <c r="A112" s="530"/>
      <c r="B112" s="849" t="s">
        <v>634</v>
      </c>
      <c r="C112" s="850"/>
      <c r="D112" s="850"/>
      <c r="E112" s="850"/>
      <c r="F112" s="850"/>
      <c r="G112" s="850"/>
      <c r="H112" s="850"/>
      <c r="I112" s="850"/>
      <c r="J112" s="850"/>
      <c r="K112" s="850"/>
      <c r="L112" s="850"/>
      <c r="M112" s="850"/>
      <c r="N112" s="850"/>
      <c r="O112" s="850"/>
      <c r="P112" s="850"/>
      <c r="Q112" s="850"/>
      <c r="R112" s="850"/>
      <c r="S112" s="850"/>
      <c r="T112" s="850"/>
      <c r="U112" s="850"/>
      <c r="V112" s="850"/>
      <c r="W112" s="850"/>
      <c r="X112" s="850"/>
      <c r="Y112" s="850"/>
      <c r="Z112" s="850"/>
      <c r="AA112" s="850"/>
      <c r="AB112" s="850"/>
      <c r="AC112" s="850"/>
      <c r="AD112" s="850"/>
      <c r="AE112" s="851"/>
      <c r="AF112" s="794">
        <v>0</v>
      </c>
      <c r="AG112" s="795"/>
      <c r="AH112" s="795"/>
      <c r="AI112" s="795"/>
      <c r="AJ112" s="796"/>
      <c r="AK112" s="531"/>
    </row>
    <row r="113" spans="1:43" s="532" customFormat="1" ht="18.95" customHeight="1">
      <c r="A113" s="530"/>
      <c r="B113" s="879" t="s">
        <v>635</v>
      </c>
      <c r="C113" s="880"/>
      <c r="D113" s="880"/>
      <c r="E113" s="880"/>
      <c r="F113" s="880"/>
      <c r="G113" s="880"/>
      <c r="H113" s="880"/>
      <c r="I113" s="880"/>
      <c r="J113" s="880"/>
      <c r="K113" s="880"/>
      <c r="L113" s="880"/>
      <c r="M113" s="880"/>
      <c r="N113" s="880"/>
      <c r="O113" s="880"/>
      <c r="P113" s="880"/>
      <c r="Q113" s="880"/>
      <c r="R113" s="880"/>
      <c r="S113" s="880"/>
      <c r="T113" s="880"/>
      <c r="U113" s="880"/>
      <c r="V113" s="880"/>
      <c r="W113" s="880"/>
      <c r="X113" s="880"/>
      <c r="Y113" s="880"/>
      <c r="Z113" s="880"/>
      <c r="AA113" s="880"/>
      <c r="AB113" s="880"/>
      <c r="AC113" s="880"/>
      <c r="AD113" s="880"/>
      <c r="AE113" s="881"/>
      <c r="AF113" s="852">
        <f>AF108+AF109+AF110+AF111+AF112</f>
        <v>0</v>
      </c>
      <c r="AG113" s="853"/>
      <c r="AH113" s="853"/>
      <c r="AI113" s="853"/>
      <c r="AJ113" s="854"/>
      <c r="AK113" s="531"/>
    </row>
    <row r="114" spans="1:43" s="532" customFormat="1" ht="18.95" customHeight="1">
      <c r="A114" s="530"/>
      <c r="B114" s="804" t="s">
        <v>636</v>
      </c>
      <c r="C114" s="805"/>
      <c r="D114" s="805"/>
      <c r="E114" s="805"/>
      <c r="F114" s="805"/>
      <c r="G114" s="805"/>
      <c r="H114" s="805"/>
      <c r="I114" s="805"/>
      <c r="J114" s="805"/>
      <c r="K114" s="805"/>
      <c r="L114" s="805"/>
      <c r="M114" s="805"/>
      <c r="N114" s="805"/>
      <c r="O114" s="805"/>
      <c r="P114" s="805"/>
      <c r="Q114" s="805"/>
      <c r="R114" s="805"/>
      <c r="S114" s="805"/>
      <c r="T114" s="805"/>
      <c r="U114" s="805"/>
      <c r="V114" s="805"/>
      <c r="W114" s="805"/>
      <c r="X114" s="805"/>
      <c r="Y114" s="805"/>
      <c r="Z114" s="805"/>
      <c r="AA114" s="805"/>
      <c r="AB114" s="805"/>
      <c r="AC114" s="805"/>
      <c r="AD114" s="805"/>
      <c r="AE114" s="815"/>
      <c r="AF114" s="843">
        <v>0</v>
      </c>
      <c r="AG114" s="844"/>
      <c r="AH114" s="844"/>
      <c r="AI114" s="844"/>
      <c r="AJ114" s="845"/>
      <c r="AK114" s="531"/>
    </row>
    <row r="115" spans="1:43" s="532" customFormat="1" ht="18.95" customHeight="1">
      <c r="A115" s="530"/>
      <c r="B115" s="879" t="s">
        <v>637</v>
      </c>
      <c r="C115" s="880"/>
      <c r="D115" s="880"/>
      <c r="E115" s="880"/>
      <c r="F115" s="880"/>
      <c r="G115" s="880"/>
      <c r="H115" s="880"/>
      <c r="I115" s="880"/>
      <c r="J115" s="880"/>
      <c r="K115" s="880"/>
      <c r="L115" s="880"/>
      <c r="M115" s="880"/>
      <c r="N115" s="880"/>
      <c r="O115" s="880"/>
      <c r="P115" s="880"/>
      <c r="Q115" s="880"/>
      <c r="R115" s="880"/>
      <c r="S115" s="880"/>
      <c r="T115" s="880"/>
      <c r="U115" s="880"/>
      <c r="V115" s="880"/>
      <c r="W115" s="880"/>
      <c r="X115" s="880"/>
      <c r="Y115" s="880"/>
      <c r="Z115" s="880"/>
      <c r="AA115" s="880"/>
      <c r="AB115" s="880"/>
      <c r="AC115" s="880"/>
      <c r="AD115" s="880"/>
      <c r="AE115" s="881"/>
      <c r="AF115" s="852">
        <f>AF102+AF107+AF113+AF114</f>
        <v>50291174.713043481</v>
      </c>
      <c r="AG115" s="853"/>
      <c r="AH115" s="853"/>
      <c r="AI115" s="853"/>
      <c r="AJ115" s="854"/>
      <c r="AK115" s="531"/>
    </row>
    <row r="116" spans="1:43" s="532" customFormat="1" ht="18.95" customHeight="1">
      <c r="A116" s="530"/>
      <c r="B116" s="804" t="s">
        <v>638</v>
      </c>
      <c r="C116" s="805"/>
      <c r="D116" s="805"/>
      <c r="E116" s="805"/>
      <c r="F116" s="805"/>
      <c r="G116" s="805"/>
      <c r="H116" s="805"/>
      <c r="I116" s="805"/>
      <c r="J116" s="805"/>
      <c r="K116" s="805"/>
      <c r="L116" s="805"/>
      <c r="M116" s="805"/>
      <c r="N116" s="805"/>
      <c r="O116" s="805"/>
      <c r="P116" s="805"/>
      <c r="Q116" s="805"/>
      <c r="R116" s="805"/>
      <c r="S116" s="805"/>
      <c r="T116" s="805"/>
      <c r="U116" s="805"/>
      <c r="V116" s="805"/>
      <c r="W116" s="805"/>
      <c r="X116" s="805"/>
      <c r="Y116" s="805"/>
      <c r="Z116" s="805"/>
      <c r="AA116" s="805"/>
      <c r="AB116" s="805"/>
      <c r="AC116" s="805"/>
      <c r="AD116" s="805"/>
      <c r="AE116" s="815"/>
      <c r="AF116" s="843">
        <f>-'DRN '!E26</f>
        <v>2370378.1548888884</v>
      </c>
      <c r="AG116" s="844"/>
      <c r="AH116" s="844"/>
      <c r="AI116" s="844"/>
      <c r="AJ116" s="845"/>
      <c r="AK116" s="531"/>
    </row>
    <row r="117" spans="1:43" s="532" customFormat="1" ht="18.95" customHeight="1">
      <c r="A117" s="530"/>
      <c r="B117" s="879" t="s">
        <v>639</v>
      </c>
      <c r="C117" s="880"/>
      <c r="D117" s="880"/>
      <c r="E117" s="880"/>
      <c r="F117" s="880"/>
      <c r="G117" s="880"/>
      <c r="H117" s="880"/>
      <c r="I117" s="880"/>
      <c r="J117" s="880"/>
      <c r="K117" s="880"/>
      <c r="L117" s="880"/>
      <c r="M117" s="880"/>
      <c r="N117" s="880"/>
      <c r="O117" s="880"/>
      <c r="P117" s="880"/>
      <c r="Q117" s="880"/>
      <c r="R117" s="880"/>
      <c r="S117" s="880"/>
      <c r="T117" s="880"/>
      <c r="U117" s="880"/>
      <c r="V117" s="880"/>
      <c r="W117" s="880"/>
      <c r="X117" s="880"/>
      <c r="Y117" s="880"/>
      <c r="Z117" s="880"/>
      <c r="AA117" s="880"/>
      <c r="AB117" s="880"/>
      <c r="AC117" s="880"/>
      <c r="AD117" s="880"/>
      <c r="AE117" s="881"/>
      <c r="AF117" s="852">
        <f>(AF115-AF97)-AF116</f>
        <v>7111134.4646666665</v>
      </c>
      <c r="AG117" s="853"/>
      <c r="AH117" s="853"/>
      <c r="AI117" s="853"/>
      <c r="AJ117" s="854"/>
      <c r="AK117" s="531"/>
    </row>
    <row r="118" spans="1:43" s="532" customFormat="1" ht="18" customHeight="1">
      <c r="A118" s="530"/>
      <c r="B118" s="800" t="s">
        <v>640</v>
      </c>
      <c r="C118" s="801"/>
      <c r="D118" s="801"/>
      <c r="E118" s="801"/>
      <c r="F118" s="802" t="s">
        <v>641</v>
      </c>
      <c r="G118" s="802"/>
      <c r="H118" s="802"/>
      <c r="I118" s="802"/>
      <c r="J118" s="802"/>
      <c r="K118" s="802"/>
      <c r="L118" s="802"/>
      <c r="M118" s="802"/>
      <c r="N118" s="802"/>
      <c r="O118" s="802"/>
      <c r="P118" s="802"/>
      <c r="Q118" s="802"/>
      <c r="R118" s="802"/>
      <c r="S118" s="802"/>
      <c r="T118" s="802"/>
      <c r="U118" s="802"/>
      <c r="V118" s="802"/>
      <c r="W118" s="802"/>
      <c r="X118" s="802"/>
      <c r="Y118" s="802"/>
      <c r="Z118" s="802"/>
      <c r="AA118" s="802"/>
      <c r="AB118" s="802"/>
      <c r="AC118" s="802"/>
      <c r="AD118" s="802"/>
      <c r="AE118" s="802"/>
      <c r="AF118" s="802"/>
      <c r="AG118" s="802"/>
      <c r="AH118" s="802"/>
      <c r="AI118" s="802"/>
      <c r="AJ118" s="803"/>
      <c r="AK118" s="531"/>
    </row>
    <row r="119" spans="1:43" s="532" customFormat="1" ht="18.95" customHeight="1">
      <c r="A119" s="530"/>
      <c r="B119" s="804" t="s">
        <v>642</v>
      </c>
      <c r="C119" s="805"/>
      <c r="D119" s="805"/>
      <c r="E119" s="805"/>
      <c r="F119" s="805"/>
      <c r="G119" s="805"/>
      <c r="H119" s="805"/>
      <c r="I119" s="805"/>
      <c r="J119" s="805"/>
      <c r="K119" s="805"/>
      <c r="L119" s="805"/>
      <c r="M119" s="805"/>
      <c r="N119" s="805"/>
      <c r="O119" s="805"/>
      <c r="P119" s="805"/>
      <c r="Q119" s="805"/>
      <c r="R119" s="805"/>
      <c r="S119" s="805"/>
      <c r="T119" s="805"/>
      <c r="U119" s="805"/>
      <c r="V119" s="805"/>
      <c r="W119" s="805"/>
      <c r="X119" s="805"/>
      <c r="Y119" s="805"/>
      <c r="Z119" s="805"/>
      <c r="AA119" s="805"/>
      <c r="AB119" s="805"/>
      <c r="AC119" s="805"/>
      <c r="AD119" s="805"/>
      <c r="AE119" s="815"/>
      <c r="AF119" s="894">
        <f>Balancete!K19</f>
        <v>150250</v>
      </c>
      <c r="AG119" s="895"/>
      <c r="AH119" s="895"/>
      <c r="AI119" s="895"/>
      <c r="AJ119" s="896"/>
      <c r="AK119" s="531"/>
      <c r="AL119" s="545"/>
      <c r="AM119" s="545"/>
      <c r="AN119" s="545"/>
      <c r="AQ119" s="546">
        <f>AF117-'DRN '!E27</f>
        <v>0</v>
      </c>
    </row>
    <row r="120" spans="1:43" s="532" customFormat="1" ht="18.95" customHeight="1">
      <c r="A120" s="530"/>
      <c r="B120" s="804" t="s">
        <v>643</v>
      </c>
      <c r="C120" s="805"/>
      <c r="D120" s="805"/>
      <c r="E120" s="805"/>
      <c r="F120" s="805"/>
      <c r="G120" s="805"/>
      <c r="H120" s="805"/>
      <c r="I120" s="805"/>
      <c r="J120" s="805"/>
      <c r="K120" s="805"/>
      <c r="L120" s="805"/>
      <c r="M120" s="805"/>
      <c r="N120" s="805"/>
      <c r="O120" s="805"/>
      <c r="P120" s="805"/>
      <c r="Q120" s="805"/>
      <c r="R120" s="805"/>
      <c r="S120" s="805"/>
      <c r="T120" s="805"/>
      <c r="U120" s="805"/>
      <c r="V120" s="805"/>
      <c r="W120" s="805"/>
      <c r="X120" s="805"/>
      <c r="Y120" s="805"/>
      <c r="Z120" s="805"/>
      <c r="AA120" s="805"/>
      <c r="AB120" s="805"/>
      <c r="AC120" s="805"/>
      <c r="AD120" s="805"/>
      <c r="AE120" s="815"/>
      <c r="AF120" s="894">
        <f>Balancete!K20</f>
        <v>330250</v>
      </c>
      <c r="AG120" s="895"/>
      <c r="AH120" s="895"/>
      <c r="AI120" s="895"/>
      <c r="AJ120" s="896"/>
      <c r="AK120" s="531"/>
      <c r="AL120" s="545"/>
      <c r="AM120" s="545"/>
      <c r="AN120" s="545"/>
    </row>
    <row r="121" spans="1:43" s="532" customFormat="1" ht="18.95" customHeight="1">
      <c r="A121" s="530"/>
      <c r="B121" s="804" t="s">
        <v>644</v>
      </c>
      <c r="C121" s="805"/>
      <c r="D121" s="805"/>
      <c r="E121" s="805"/>
      <c r="F121" s="805"/>
      <c r="G121" s="805"/>
      <c r="H121" s="805"/>
      <c r="I121" s="805"/>
      <c r="J121" s="805"/>
      <c r="K121" s="805"/>
      <c r="L121" s="805"/>
      <c r="M121" s="805"/>
      <c r="N121" s="805"/>
      <c r="O121" s="805"/>
      <c r="P121" s="805"/>
      <c r="Q121" s="805"/>
      <c r="R121" s="805"/>
      <c r="S121" s="805"/>
      <c r="T121" s="805"/>
      <c r="U121" s="805"/>
      <c r="V121" s="805"/>
      <c r="W121" s="805"/>
      <c r="X121" s="805"/>
      <c r="Y121" s="805"/>
      <c r="Z121" s="805"/>
      <c r="AA121" s="805"/>
      <c r="AB121" s="805"/>
      <c r="AC121" s="805"/>
      <c r="AD121" s="805"/>
      <c r="AE121" s="815"/>
      <c r="AF121" s="894">
        <f>Balancete!K21+Balancete!K29</f>
        <v>158091.30434782608</v>
      </c>
      <c r="AG121" s="895"/>
      <c r="AH121" s="895"/>
      <c r="AI121" s="895"/>
      <c r="AJ121" s="896"/>
      <c r="AK121" s="531"/>
      <c r="AL121" s="545"/>
      <c r="AM121" s="545"/>
      <c r="AN121" s="545"/>
    </row>
    <row r="122" spans="1:43" s="532" customFormat="1" ht="18.95" customHeight="1">
      <c r="A122" s="530"/>
      <c r="B122" s="804" t="s">
        <v>645</v>
      </c>
      <c r="C122" s="805"/>
      <c r="D122" s="805"/>
      <c r="E122" s="805"/>
      <c r="F122" s="805"/>
      <c r="G122" s="805"/>
      <c r="H122" s="805"/>
      <c r="I122" s="805"/>
      <c r="J122" s="805"/>
      <c r="K122" s="805"/>
      <c r="L122" s="805"/>
      <c r="M122" s="805"/>
      <c r="N122" s="805"/>
      <c r="O122" s="805"/>
      <c r="P122" s="805"/>
      <c r="Q122" s="805"/>
      <c r="R122" s="805"/>
      <c r="S122" s="805"/>
      <c r="T122" s="805"/>
      <c r="U122" s="805"/>
      <c r="V122" s="805"/>
      <c r="W122" s="805"/>
      <c r="X122" s="805"/>
      <c r="Y122" s="805"/>
      <c r="Z122" s="805"/>
      <c r="AA122" s="805"/>
      <c r="AB122" s="805"/>
      <c r="AC122" s="805"/>
      <c r="AD122" s="805"/>
      <c r="AE122" s="815"/>
      <c r="AF122" s="894">
        <v>0</v>
      </c>
      <c r="AG122" s="895"/>
      <c r="AH122" s="895"/>
      <c r="AI122" s="895"/>
      <c r="AJ122" s="896"/>
      <c r="AK122" s="531"/>
      <c r="AL122" s="545"/>
      <c r="AM122" s="545"/>
      <c r="AN122" s="545"/>
    </row>
    <row r="123" spans="1:43" s="532" customFormat="1" ht="18.95" customHeight="1">
      <c r="A123" s="530"/>
      <c r="B123" s="804" t="s">
        <v>646</v>
      </c>
      <c r="C123" s="805"/>
      <c r="D123" s="805"/>
      <c r="E123" s="805"/>
      <c r="F123" s="805"/>
      <c r="G123" s="805"/>
      <c r="H123" s="805"/>
      <c r="I123" s="805"/>
      <c r="J123" s="805"/>
      <c r="K123" s="805"/>
      <c r="L123" s="805"/>
      <c r="M123" s="805"/>
      <c r="N123" s="805"/>
      <c r="O123" s="805"/>
      <c r="P123" s="805"/>
      <c r="Q123" s="805"/>
      <c r="R123" s="805"/>
      <c r="S123" s="805"/>
      <c r="T123" s="805"/>
      <c r="U123" s="805"/>
      <c r="V123" s="805"/>
      <c r="W123" s="805"/>
      <c r="X123" s="805"/>
      <c r="Y123" s="805"/>
      <c r="Z123" s="805"/>
      <c r="AA123" s="805"/>
      <c r="AB123" s="805"/>
      <c r="AC123" s="805"/>
      <c r="AD123" s="805"/>
      <c r="AE123" s="815"/>
      <c r="AF123" s="894">
        <v>0</v>
      </c>
      <c r="AG123" s="895"/>
      <c r="AH123" s="895"/>
      <c r="AI123" s="895"/>
      <c r="AJ123" s="896"/>
      <c r="AK123" s="531"/>
      <c r="AL123" s="545"/>
      <c r="AM123" s="545"/>
      <c r="AN123" s="545"/>
      <c r="AQ123" s="547"/>
    </row>
    <row r="124" spans="1:43" s="532" customFormat="1" ht="18.95" customHeight="1">
      <c r="A124" s="530"/>
      <c r="B124" s="804" t="s">
        <v>647</v>
      </c>
      <c r="C124" s="805"/>
      <c r="D124" s="805"/>
      <c r="E124" s="805"/>
      <c r="F124" s="805"/>
      <c r="G124" s="805"/>
      <c r="H124" s="805"/>
      <c r="I124" s="805"/>
      <c r="J124" s="805"/>
      <c r="K124" s="805"/>
      <c r="L124" s="805"/>
      <c r="M124" s="805"/>
      <c r="N124" s="805"/>
      <c r="O124" s="805"/>
      <c r="P124" s="805"/>
      <c r="Q124" s="805"/>
      <c r="R124" s="805"/>
      <c r="S124" s="805"/>
      <c r="T124" s="805"/>
      <c r="U124" s="805"/>
      <c r="V124" s="805"/>
      <c r="W124" s="805"/>
      <c r="X124" s="805"/>
      <c r="Y124" s="805"/>
      <c r="Z124" s="805"/>
      <c r="AA124" s="805"/>
      <c r="AB124" s="805"/>
      <c r="AC124" s="805"/>
      <c r="AD124" s="805"/>
      <c r="AE124" s="815"/>
      <c r="AF124" s="894">
        <f>Balancete!K24</f>
        <v>180000</v>
      </c>
      <c r="AG124" s="895"/>
      <c r="AH124" s="895"/>
      <c r="AI124" s="895"/>
      <c r="AJ124" s="896"/>
      <c r="AK124" s="531"/>
      <c r="AL124" s="545"/>
      <c r="AM124" s="545"/>
      <c r="AN124" s="545"/>
    </row>
    <row r="125" spans="1:43" s="532" customFormat="1" ht="18.95" customHeight="1">
      <c r="A125" s="530"/>
      <c r="B125" s="849" t="s">
        <v>648</v>
      </c>
      <c r="C125" s="850"/>
      <c r="D125" s="850"/>
      <c r="E125" s="850"/>
      <c r="F125" s="850"/>
      <c r="G125" s="850"/>
      <c r="H125" s="850"/>
      <c r="I125" s="850"/>
      <c r="J125" s="850"/>
      <c r="K125" s="850"/>
      <c r="L125" s="850"/>
      <c r="M125" s="850"/>
      <c r="N125" s="850"/>
      <c r="O125" s="850"/>
      <c r="P125" s="850"/>
      <c r="Q125" s="850"/>
      <c r="R125" s="850"/>
      <c r="S125" s="850"/>
      <c r="T125" s="850"/>
      <c r="U125" s="850"/>
      <c r="V125" s="850"/>
      <c r="W125" s="850"/>
      <c r="X125" s="850"/>
      <c r="Y125" s="850"/>
      <c r="Z125" s="850"/>
      <c r="AA125" s="850"/>
      <c r="AB125" s="850"/>
      <c r="AC125" s="850"/>
      <c r="AD125" s="850"/>
      <c r="AE125" s="851"/>
      <c r="AF125" s="894">
        <f>Balancete!K22</f>
        <v>4347.826086956522</v>
      </c>
      <c r="AG125" s="895"/>
      <c r="AH125" s="895"/>
      <c r="AI125" s="895"/>
      <c r="AJ125" s="896"/>
      <c r="AK125" s="531"/>
      <c r="AL125" s="545"/>
      <c r="AM125" s="545"/>
      <c r="AN125" s="545"/>
    </row>
    <row r="126" spans="1:43" s="532" customFormat="1" ht="18.95" customHeight="1">
      <c r="A126" s="530"/>
      <c r="B126" s="849" t="s">
        <v>649</v>
      </c>
      <c r="C126" s="850"/>
      <c r="D126" s="850"/>
      <c r="E126" s="850"/>
      <c r="F126" s="850"/>
      <c r="G126" s="850"/>
      <c r="H126" s="850"/>
      <c r="I126" s="850"/>
      <c r="J126" s="850"/>
      <c r="K126" s="850"/>
      <c r="L126" s="850"/>
      <c r="M126" s="850"/>
      <c r="N126" s="850"/>
      <c r="O126" s="850"/>
      <c r="P126" s="850"/>
      <c r="Q126" s="850"/>
      <c r="R126" s="850"/>
      <c r="S126" s="850"/>
      <c r="T126" s="850"/>
      <c r="U126" s="850"/>
      <c r="V126" s="850"/>
      <c r="W126" s="850"/>
      <c r="X126" s="850"/>
      <c r="Y126" s="850"/>
      <c r="Z126" s="850"/>
      <c r="AA126" s="850"/>
      <c r="AB126" s="850"/>
      <c r="AC126" s="850"/>
      <c r="AD126" s="850"/>
      <c r="AE126" s="851"/>
      <c r="AF126" s="894">
        <f>Balancete!K30+Balancete!K23</f>
        <v>106347.82608695653</v>
      </c>
      <c r="AG126" s="895"/>
      <c r="AH126" s="895"/>
      <c r="AI126" s="895"/>
      <c r="AJ126" s="896"/>
      <c r="AK126" s="531"/>
      <c r="AL126" s="545"/>
      <c r="AM126" s="545"/>
      <c r="AN126" s="545"/>
      <c r="AQ126" s="546"/>
    </row>
    <row r="127" spans="1:43" s="532" customFormat="1" ht="18.95" customHeight="1">
      <c r="A127" s="530"/>
      <c r="B127" s="849" t="s">
        <v>650</v>
      </c>
      <c r="C127" s="850"/>
      <c r="D127" s="850"/>
      <c r="E127" s="850"/>
      <c r="F127" s="850"/>
      <c r="G127" s="850"/>
      <c r="H127" s="850"/>
      <c r="I127" s="850"/>
      <c r="J127" s="850"/>
      <c r="K127" s="850"/>
      <c r="L127" s="850"/>
      <c r="M127" s="850"/>
      <c r="N127" s="850"/>
      <c r="O127" s="850"/>
      <c r="P127" s="850"/>
      <c r="Q127" s="850"/>
      <c r="R127" s="850"/>
      <c r="S127" s="850"/>
      <c r="T127" s="850"/>
      <c r="U127" s="850"/>
      <c r="V127" s="850"/>
      <c r="W127" s="850"/>
      <c r="X127" s="850"/>
      <c r="Y127" s="850"/>
      <c r="Z127" s="850"/>
      <c r="AA127" s="850"/>
      <c r="AB127" s="850"/>
      <c r="AC127" s="850"/>
      <c r="AD127" s="850"/>
      <c r="AE127" s="851"/>
      <c r="AF127" s="894">
        <f>Balancete!K25</f>
        <v>600000</v>
      </c>
      <c r="AG127" s="895"/>
      <c r="AH127" s="895"/>
      <c r="AI127" s="895"/>
      <c r="AJ127" s="896"/>
      <c r="AK127" s="531"/>
      <c r="AL127" s="545"/>
      <c r="AM127" s="545"/>
      <c r="AN127" s="545"/>
    </row>
    <row r="128" spans="1:43" s="532" customFormat="1" ht="18.95" customHeight="1">
      <c r="A128" s="530"/>
      <c r="B128" s="849" t="s">
        <v>651</v>
      </c>
      <c r="C128" s="850"/>
      <c r="D128" s="850"/>
      <c r="E128" s="850"/>
      <c r="F128" s="850"/>
      <c r="G128" s="850"/>
      <c r="H128" s="850"/>
      <c r="I128" s="850"/>
      <c r="J128" s="850"/>
      <c r="K128" s="850"/>
      <c r="L128" s="850"/>
      <c r="M128" s="850"/>
      <c r="N128" s="850"/>
      <c r="O128" s="850"/>
      <c r="P128" s="850"/>
      <c r="Q128" s="850"/>
      <c r="R128" s="850"/>
      <c r="S128" s="850"/>
      <c r="T128" s="850"/>
      <c r="U128" s="850"/>
      <c r="V128" s="850"/>
      <c r="W128" s="850"/>
      <c r="X128" s="850"/>
      <c r="Y128" s="850"/>
      <c r="Z128" s="850"/>
      <c r="AA128" s="850"/>
      <c r="AB128" s="850"/>
      <c r="AC128" s="850"/>
      <c r="AD128" s="850"/>
      <c r="AE128" s="851"/>
      <c r="AF128" s="894">
        <f>Balancete!K28</f>
        <v>216000</v>
      </c>
      <c r="AG128" s="895"/>
      <c r="AH128" s="895"/>
      <c r="AI128" s="895"/>
      <c r="AJ128" s="896"/>
      <c r="AK128" s="531"/>
      <c r="AL128" s="545"/>
      <c r="AM128" s="545"/>
      <c r="AN128" s="545"/>
      <c r="AQ128" s="546"/>
    </row>
    <row r="129" spans="1:43" s="532" customFormat="1" ht="18.95" customHeight="1">
      <c r="A129" s="530"/>
      <c r="B129" s="849" t="s">
        <v>652</v>
      </c>
      <c r="C129" s="850"/>
      <c r="D129" s="850"/>
      <c r="E129" s="850"/>
      <c r="F129" s="850"/>
      <c r="G129" s="850"/>
      <c r="H129" s="850"/>
      <c r="I129" s="850"/>
      <c r="J129" s="850"/>
      <c r="K129" s="850"/>
      <c r="L129" s="850"/>
      <c r="M129" s="850"/>
      <c r="N129" s="850"/>
      <c r="O129" s="850"/>
      <c r="P129" s="850"/>
      <c r="Q129" s="850"/>
      <c r="R129" s="850"/>
      <c r="S129" s="850"/>
      <c r="T129" s="850"/>
      <c r="U129" s="850"/>
      <c r="V129" s="850"/>
      <c r="W129" s="850"/>
      <c r="X129" s="850"/>
      <c r="Y129" s="850"/>
      <c r="Z129" s="850"/>
      <c r="AA129" s="850"/>
      <c r="AB129" s="850"/>
      <c r="AC129" s="850"/>
      <c r="AD129" s="850"/>
      <c r="AE129" s="851"/>
      <c r="AF129" s="894">
        <v>0</v>
      </c>
      <c r="AG129" s="895"/>
      <c r="AH129" s="895"/>
      <c r="AI129" s="895"/>
      <c r="AJ129" s="896"/>
      <c r="AK129" s="531"/>
      <c r="AL129" s="545"/>
      <c r="AM129" s="545"/>
      <c r="AN129" s="545"/>
    </row>
    <row r="130" spans="1:43" s="532" customFormat="1" ht="18.95" customHeight="1">
      <c r="A130" s="530"/>
      <c r="B130" s="849" t="s">
        <v>653</v>
      </c>
      <c r="C130" s="850"/>
      <c r="D130" s="850"/>
      <c r="E130" s="850"/>
      <c r="F130" s="850"/>
      <c r="G130" s="850"/>
      <c r="H130" s="850"/>
      <c r="I130" s="850"/>
      <c r="J130" s="850"/>
      <c r="K130" s="850"/>
      <c r="L130" s="850"/>
      <c r="M130" s="850"/>
      <c r="N130" s="850"/>
      <c r="O130" s="850"/>
      <c r="P130" s="850"/>
      <c r="Q130" s="850"/>
      <c r="R130" s="850"/>
      <c r="S130" s="850"/>
      <c r="T130" s="850"/>
      <c r="U130" s="850"/>
      <c r="V130" s="850"/>
      <c r="W130" s="850"/>
      <c r="X130" s="850"/>
      <c r="Y130" s="850"/>
      <c r="Z130" s="850"/>
      <c r="AA130" s="850"/>
      <c r="AB130" s="850"/>
      <c r="AC130" s="850"/>
      <c r="AD130" s="850"/>
      <c r="AE130" s="851"/>
      <c r="AF130" s="894">
        <f>Balancete!K26</f>
        <v>52600</v>
      </c>
      <c r="AG130" s="895"/>
      <c r="AH130" s="895"/>
      <c r="AI130" s="895"/>
      <c r="AJ130" s="896"/>
      <c r="AK130" s="531"/>
      <c r="AL130" s="545"/>
      <c r="AM130" s="545"/>
      <c r="AN130" s="545"/>
      <c r="AQ130" s="547">
        <f>SUM(AF119:AJ135)</f>
        <v>1977886.9565217393</v>
      </c>
    </row>
    <row r="131" spans="1:43" s="532" customFormat="1" ht="18.95" customHeight="1">
      <c r="A131" s="530"/>
      <c r="B131" s="849" t="s">
        <v>654</v>
      </c>
      <c r="C131" s="850"/>
      <c r="D131" s="850"/>
      <c r="E131" s="850"/>
      <c r="F131" s="850"/>
      <c r="G131" s="850"/>
      <c r="H131" s="850"/>
      <c r="I131" s="850"/>
      <c r="J131" s="850"/>
      <c r="K131" s="850"/>
      <c r="L131" s="850"/>
      <c r="M131" s="850"/>
      <c r="N131" s="850"/>
      <c r="O131" s="850"/>
      <c r="P131" s="850"/>
      <c r="Q131" s="850"/>
      <c r="R131" s="850"/>
      <c r="S131" s="850"/>
      <c r="T131" s="850"/>
      <c r="U131" s="850"/>
      <c r="V131" s="850"/>
      <c r="W131" s="850"/>
      <c r="X131" s="850"/>
      <c r="Y131" s="850"/>
      <c r="Z131" s="850"/>
      <c r="AA131" s="850"/>
      <c r="AB131" s="850"/>
      <c r="AC131" s="850"/>
      <c r="AD131" s="850"/>
      <c r="AE131" s="851"/>
      <c r="AF131" s="894">
        <f>Balancete!K27</f>
        <v>180000</v>
      </c>
      <c r="AG131" s="895"/>
      <c r="AH131" s="895"/>
      <c r="AI131" s="895"/>
      <c r="AJ131" s="896"/>
      <c r="AK131" s="531"/>
      <c r="AL131" s="545"/>
      <c r="AM131" s="545"/>
      <c r="AN131" s="545"/>
    </row>
    <row r="132" spans="1:43" s="532" customFormat="1" ht="18.95" customHeight="1">
      <c r="A132" s="530"/>
      <c r="B132" s="849" t="s">
        <v>655</v>
      </c>
      <c r="C132" s="850"/>
      <c r="D132" s="850"/>
      <c r="E132" s="850"/>
      <c r="F132" s="850"/>
      <c r="G132" s="850"/>
      <c r="H132" s="850"/>
      <c r="I132" s="850"/>
      <c r="J132" s="850"/>
      <c r="K132" s="850"/>
      <c r="L132" s="850"/>
      <c r="M132" s="850"/>
      <c r="N132" s="850"/>
      <c r="O132" s="850"/>
      <c r="P132" s="850"/>
      <c r="Q132" s="850"/>
      <c r="R132" s="850"/>
      <c r="S132" s="850"/>
      <c r="T132" s="850"/>
      <c r="U132" s="850"/>
      <c r="V132" s="850"/>
      <c r="W132" s="850"/>
      <c r="X132" s="850"/>
      <c r="Y132" s="850"/>
      <c r="Z132" s="850"/>
      <c r="AA132" s="850"/>
      <c r="AB132" s="850"/>
      <c r="AC132" s="850"/>
      <c r="AD132" s="850"/>
      <c r="AE132" s="851"/>
      <c r="AF132" s="894"/>
      <c r="AG132" s="895"/>
      <c r="AH132" s="895"/>
      <c r="AI132" s="895"/>
      <c r="AJ132" s="896"/>
      <c r="AK132" s="531"/>
      <c r="AL132" s="545"/>
      <c r="AM132" s="545"/>
      <c r="AN132" s="545"/>
    </row>
    <row r="133" spans="1:43" s="532" customFormat="1" ht="18.95" customHeight="1">
      <c r="A133" s="530"/>
      <c r="B133" s="849" t="s">
        <v>656</v>
      </c>
      <c r="C133" s="850"/>
      <c r="D133" s="850"/>
      <c r="E133" s="850"/>
      <c r="F133" s="850"/>
      <c r="G133" s="850"/>
      <c r="H133" s="850"/>
      <c r="I133" s="850"/>
      <c r="J133" s="850"/>
      <c r="K133" s="850"/>
      <c r="L133" s="850"/>
      <c r="M133" s="850"/>
      <c r="N133" s="850"/>
      <c r="O133" s="850"/>
      <c r="P133" s="850"/>
      <c r="Q133" s="850"/>
      <c r="R133" s="850"/>
      <c r="S133" s="850"/>
      <c r="T133" s="850"/>
      <c r="U133" s="850"/>
      <c r="V133" s="850"/>
      <c r="W133" s="850"/>
      <c r="X133" s="850"/>
      <c r="Y133" s="850"/>
      <c r="Z133" s="850"/>
      <c r="AA133" s="850"/>
      <c r="AB133" s="850"/>
      <c r="AC133" s="850"/>
      <c r="AD133" s="850"/>
      <c r="AE133" s="851"/>
      <c r="AF133" s="907"/>
      <c r="AG133" s="908"/>
      <c r="AH133" s="908"/>
      <c r="AI133" s="908"/>
      <c r="AJ133" s="909"/>
      <c r="AK133" s="531"/>
      <c r="AL133" s="545"/>
      <c r="AM133" s="545"/>
      <c r="AN133" s="545"/>
    </row>
    <row r="134" spans="1:43" s="532" customFormat="1" ht="18.95" customHeight="1">
      <c r="A134" s="530"/>
      <c r="B134" s="849" t="s">
        <v>657</v>
      </c>
      <c r="C134" s="850"/>
      <c r="D134" s="850"/>
      <c r="E134" s="850"/>
      <c r="F134" s="850"/>
      <c r="G134" s="850"/>
      <c r="H134" s="850"/>
      <c r="I134" s="850"/>
      <c r="J134" s="850"/>
      <c r="K134" s="850"/>
      <c r="L134" s="850"/>
      <c r="M134" s="850"/>
      <c r="N134" s="850"/>
      <c r="O134" s="850"/>
      <c r="P134" s="850"/>
      <c r="Q134" s="850"/>
      <c r="R134" s="850"/>
      <c r="S134" s="850"/>
      <c r="T134" s="850"/>
      <c r="U134" s="850"/>
      <c r="V134" s="850"/>
      <c r="W134" s="850"/>
      <c r="X134" s="850"/>
      <c r="Y134" s="850"/>
      <c r="Z134" s="850"/>
      <c r="AA134" s="850"/>
      <c r="AB134" s="850"/>
      <c r="AC134" s="850"/>
      <c r="AD134" s="850"/>
      <c r="AE134" s="851"/>
      <c r="AF134" s="907"/>
      <c r="AG134" s="908"/>
      <c r="AH134" s="908"/>
      <c r="AI134" s="908"/>
      <c r="AJ134" s="909"/>
      <c r="AK134" s="531"/>
      <c r="AL134" s="545"/>
      <c r="AM134" s="545"/>
      <c r="AN134" s="545"/>
    </row>
    <row r="135" spans="1:43" s="532" customFormat="1" ht="18.95" customHeight="1">
      <c r="A135" s="530"/>
      <c r="B135" s="910" t="s">
        <v>658</v>
      </c>
      <c r="C135" s="911"/>
      <c r="D135" s="911"/>
      <c r="E135" s="911"/>
      <c r="F135" s="911"/>
      <c r="G135" s="911"/>
      <c r="H135" s="911"/>
      <c r="I135" s="911"/>
      <c r="J135" s="911"/>
      <c r="K135" s="911"/>
      <c r="L135" s="911"/>
      <c r="M135" s="911"/>
      <c r="N135" s="911"/>
      <c r="O135" s="911"/>
      <c r="P135" s="911"/>
      <c r="Q135" s="911"/>
      <c r="R135" s="911"/>
      <c r="S135" s="911"/>
      <c r="T135" s="911"/>
      <c r="U135" s="911"/>
      <c r="V135" s="911"/>
      <c r="W135" s="911"/>
      <c r="X135" s="911"/>
      <c r="Y135" s="911"/>
      <c r="Z135" s="911"/>
      <c r="AA135" s="911"/>
      <c r="AB135" s="911"/>
      <c r="AC135" s="911"/>
      <c r="AD135" s="911"/>
      <c r="AE135" s="912"/>
      <c r="AF135" s="913"/>
      <c r="AG135" s="914"/>
      <c r="AH135" s="914"/>
      <c r="AI135" s="914"/>
      <c r="AJ135" s="915"/>
      <c r="AK135" s="531"/>
      <c r="AL135" s="545"/>
      <c r="AM135" s="545"/>
      <c r="AN135" s="545"/>
    </row>
    <row r="136" spans="1:43" s="532" customFormat="1" ht="6" customHeight="1">
      <c r="A136" s="530"/>
      <c r="B136" s="897"/>
      <c r="C136" s="897"/>
      <c r="D136" s="897"/>
      <c r="E136" s="897"/>
      <c r="F136" s="897"/>
      <c r="G136" s="897"/>
      <c r="H136" s="897"/>
      <c r="I136" s="897"/>
      <c r="J136" s="897"/>
      <c r="K136" s="897"/>
      <c r="L136" s="897"/>
      <c r="M136" s="897"/>
      <c r="N136" s="897"/>
      <c r="O136" s="897"/>
      <c r="P136" s="897"/>
      <c r="Q136" s="897"/>
      <c r="R136" s="897"/>
      <c r="S136" s="897"/>
      <c r="T136" s="897"/>
      <c r="U136" s="897"/>
      <c r="V136" s="897"/>
      <c r="W136" s="897"/>
      <c r="X136" s="897"/>
      <c r="Y136" s="897"/>
      <c r="Z136" s="897"/>
      <c r="AA136" s="897"/>
      <c r="AB136" s="897"/>
      <c r="AC136" s="897"/>
      <c r="AD136" s="897"/>
      <c r="AE136" s="897"/>
      <c r="AF136" s="897"/>
      <c r="AG136" s="897"/>
      <c r="AH136" s="897"/>
      <c r="AI136" s="897"/>
      <c r="AJ136" s="897"/>
      <c r="AK136" s="531"/>
    </row>
    <row r="137" spans="1:43" s="532" customFormat="1" ht="6" customHeight="1">
      <c r="A137" s="530"/>
      <c r="B137" s="543"/>
      <c r="C137" s="543"/>
      <c r="D137" s="543"/>
      <c r="E137" s="543"/>
      <c r="F137" s="543"/>
      <c r="G137" s="543"/>
      <c r="H137" s="543"/>
      <c r="I137" s="543"/>
      <c r="J137" s="543"/>
      <c r="K137" s="543"/>
      <c r="L137" s="543"/>
      <c r="M137" s="543"/>
      <c r="N137" s="543"/>
      <c r="O137" s="543"/>
      <c r="P137" s="543"/>
      <c r="Q137" s="543"/>
      <c r="R137" s="543"/>
      <c r="S137" s="543"/>
      <c r="T137" s="543"/>
      <c r="U137" s="543"/>
      <c r="V137" s="543"/>
      <c r="W137" s="543"/>
      <c r="X137" s="543"/>
      <c r="Y137" s="543"/>
      <c r="Z137" s="543"/>
      <c r="AA137" s="543"/>
      <c r="AB137" s="543"/>
      <c r="AC137" s="543"/>
      <c r="AD137" s="543"/>
      <c r="AE137" s="543"/>
      <c r="AF137" s="543"/>
      <c r="AG137" s="543"/>
      <c r="AH137" s="543"/>
      <c r="AI137" s="543"/>
      <c r="AJ137" s="543"/>
      <c r="AK137" s="531"/>
    </row>
    <row r="138" spans="1:43" s="532" customFormat="1" ht="18.95" customHeight="1">
      <c r="A138" s="530"/>
      <c r="B138" s="898" t="s">
        <v>659</v>
      </c>
      <c r="C138" s="899"/>
      <c r="D138" s="899"/>
      <c r="E138" s="899"/>
      <c r="F138" s="899"/>
      <c r="G138" s="899"/>
      <c r="H138" s="899"/>
      <c r="I138" s="899"/>
      <c r="J138" s="899"/>
      <c r="K138" s="899"/>
      <c r="L138" s="899"/>
      <c r="M138" s="899"/>
      <c r="N138" s="899"/>
      <c r="O138" s="899"/>
      <c r="P138" s="899"/>
      <c r="Q138" s="899"/>
      <c r="R138" s="899"/>
      <c r="S138" s="899"/>
      <c r="T138" s="899"/>
      <c r="U138" s="899"/>
      <c r="V138" s="899"/>
      <c r="W138" s="899"/>
      <c r="X138" s="899"/>
      <c r="Y138" s="899"/>
      <c r="Z138" s="899"/>
      <c r="AA138" s="899"/>
      <c r="AB138" s="899"/>
      <c r="AC138" s="899"/>
      <c r="AD138" s="899"/>
      <c r="AE138" s="900"/>
      <c r="AF138" s="901">
        <v>0</v>
      </c>
      <c r="AG138" s="902"/>
      <c r="AH138" s="902"/>
      <c r="AI138" s="902"/>
      <c r="AJ138" s="903"/>
      <c r="AK138" s="531"/>
    </row>
    <row r="139" spans="1:43" s="532" customFormat="1" ht="18.95" customHeight="1">
      <c r="A139" s="530"/>
      <c r="B139" s="804" t="s">
        <v>660</v>
      </c>
      <c r="C139" s="805"/>
      <c r="D139" s="805"/>
      <c r="E139" s="805"/>
      <c r="F139" s="805"/>
      <c r="G139" s="805"/>
      <c r="H139" s="805"/>
      <c r="I139" s="805"/>
      <c r="J139" s="805"/>
      <c r="K139" s="805"/>
      <c r="L139" s="805"/>
      <c r="M139" s="805"/>
      <c r="N139" s="805"/>
      <c r="O139" s="805"/>
      <c r="P139" s="805"/>
      <c r="Q139" s="805"/>
      <c r="R139" s="805"/>
      <c r="S139" s="805"/>
      <c r="T139" s="805"/>
      <c r="U139" s="805"/>
      <c r="V139" s="805"/>
      <c r="W139" s="805"/>
      <c r="X139" s="805"/>
      <c r="Y139" s="805"/>
      <c r="Z139" s="805"/>
      <c r="AA139" s="805"/>
      <c r="AB139" s="805"/>
      <c r="AC139" s="805"/>
      <c r="AD139" s="805"/>
      <c r="AE139" s="815"/>
      <c r="AF139" s="904">
        <v>0</v>
      </c>
      <c r="AG139" s="905"/>
      <c r="AH139" s="905"/>
      <c r="AI139" s="905"/>
      <c r="AJ139" s="906"/>
      <c r="AK139" s="531"/>
    </row>
    <row r="140" spans="1:43" s="532" customFormat="1" ht="18.95" customHeight="1">
      <c r="A140" s="530"/>
      <c r="B140" s="804" t="s">
        <v>661</v>
      </c>
      <c r="C140" s="805"/>
      <c r="D140" s="805"/>
      <c r="E140" s="805"/>
      <c r="F140" s="805"/>
      <c r="G140" s="805"/>
      <c r="H140" s="805"/>
      <c r="I140" s="805"/>
      <c r="J140" s="805"/>
      <c r="K140" s="805"/>
      <c r="L140" s="805"/>
      <c r="M140" s="805"/>
      <c r="N140" s="805"/>
      <c r="O140" s="805"/>
      <c r="P140" s="805"/>
      <c r="Q140" s="805"/>
      <c r="R140" s="805"/>
      <c r="S140" s="805"/>
      <c r="T140" s="805"/>
      <c r="U140" s="805"/>
      <c r="V140" s="805"/>
      <c r="W140" s="805"/>
      <c r="X140" s="805"/>
      <c r="Y140" s="805"/>
      <c r="Z140" s="805"/>
      <c r="AA140" s="805"/>
      <c r="AB140" s="805"/>
      <c r="AC140" s="805"/>
      <c r="AD140" s="805"/>
      <c r="AE140" s="815"/>
      <c r="AF140" s="904">
        <v>0</v>
      </c>
      <c r="AG140" s="905"/>
      <c r="AH140" s="905"/>
      <c r="AI140" s="905"/>
      <c r="AJ140" s="906"/>
      <c r="AK140" s="531"/>
    </row>
    <row r="141" spans="1:43" s="532" customFormat="1" ht="18.95" customHeight="1">
      <c r="A141" s="530"/>
      <c r="B141" s="822" t="s">
        <v>662</v>
      </c>
      <c r="C141" s="823"/>
      <c r="D141" s="823"/>
      <c r="E141" s="823"/>
      <c r="F141" s="823"/>
      <c r="G141" s="823"/>
      <c r="H141" s="823"/>
      <c r="I141" s="823"/>
      <c r="J141" s="823"/>
      <c r="K141" s="823"/>
      <c r="L141" s="823"/>
      <c r="M141" s="823"/>
      <c r="N141" s="823"/>
      <c r="O141" s="823"/>
      <c r="P141" s="823"/>
      <c r="Q141" s="823"/>
      <c r="R141" s="823"/>
      <c r="S141" s="823"/>
      <c r="T141" s="823"/>
      <c r="U141" s="823"/>
      <c r="V141" s="823"/>
      <c r="W141" s="823"/>
      <c r="X141" s="823"/>
      <c r="Y141" s="823"/>
      <c r="Z141" s="823"/>
      <c r="AA141" s="823"/>
      <c r="AB141" s="823"/>
      <c r="AC141" s="823"/>
      <c r="AD141" s="823"/>
      <c r="AE141" s="824"/>
      <c r="AF141" s="919">
        <v>0</v>
      </c>
      <c r="AG141" s="920"/>
      <c r="AH141" s="920"/>
      <c r="AI141" s="920"/>
      <c r="AJ141" s="921"/>
      <c r="AK141" s="531"/>
    </row>
    <row r="142" spans="1:43" s="532" customFormat="1" ht="18.95" customHeight="1">
      <c r="A142" s="530"/>
      <c r="B142" s="804" t="s">
        <v>663</v>
      </c>
      <c r="C142" s="805"/>
      <c r="D142" s="805"/>
      <c r="E142" s="805"/>
      <c r="F142" s="805"/>
      <c r="G142" s="805"/>
      <c r="H142" s="805"/>
      <c r="I142" s="805"/>
      <c r="J142" s="805"/>
      <c r="K142" s="805"/>
      <c r="L142" s="805"/>
      <c r="M142" s="805"/>
      <c r="N142" s="805"/>
      <c r="O142" s="805"/>
      <c r="P142" s="805"/>
      <c r="Q142" s="805"/>
      <c r="R142" s="805"/>
      <c r="S142" s="805"/>
      <c r="T142" s="805"/>
      <c r="U142" s="805"/>
      <c r="V142" s="805"/>
      <c r="W142" s="805"/>
      <c r="X142" s="805"/>
      <c r="Y142" s="805"/>
      <c r="Z142" s="805"/>
      <c r="AA142" s="805"/>
      <c r="AB142" s="805"/>
      <c r="AC142" s="805"/>
      <c r="AD142" s="805"/>
      <c r="AE142" s="815"/>
      <c r="AF142" s="904">
        <v>0</v>
      </c>
      <c r="AG142" s="905"/>
      <c r="AH142" s="905"/>
      <c r="AI142" s="905"/>
      <c r="AJ142" s="906"/>
      <c r="AK142" s="531"/>
    </row>
    <row r="143" spans="1:43" s="532" customFormat="1" ht="18.95" customHeight="1">
      <c r="A143" s="530"/>
      <c r="B143" s="804" t="s">
        <v>664</v>
      </c>
      <c r="C143" s="805"/>
      <c r="D143" s="805"/>
      <c r="E143" s="805"/>
      <c r="F143" s="805"/>
      <c r="G143" s="805"/>
      <c r="H143" s="805"/>
      <c r="I143" s="805"/>
      <c r="J143" s="805"/>
      <c r="K143" s="805"/>
      <c r="L143" s="805"/>
      <c r="M143" s="805"/>
      <c r="N143" s="805"/>
      <c r="O143" s="805"/>
      <c r="P143" s="805"/>
      <c r="Q143" s="805"/>
      <c r="R143" s="805"/>
      <c r="S143" s="805"/>
      <c r="T143" s="805"/>
      <c r="U143" s="805"/>
      <c r="V143" s="805"/>
      <c r="W143" s="805"/>
      <c r="X143" s="805"/>
      <c r="Y143" s="805"/>
      <c r="Z143" s="805"/>
      <c r="AA143" s="805"/>
      <c r="AB143" s="805"/>
      <c r="AC143" s="805"/>
      <c r="AD143" s="805"/>
      <c r="AE143" s="815"/>
      <c r="AF143" s="904">
        <v>0</v>
      </c>
      <c r="AG143" s="905"/>
      <c r="AH143" s="905"/>
      <c r="AI143" s="905"/>
      <c r="AJ143" s="906"/>
      <c r="AK143" s="531"/>
    </row>
    <row r="144" spans="1:43" s="532" customFormat="1" ht="18.95" customHeight="1">
      <c r="A144" s="530"/>
      <c r="B144" s="804" t="s">
        <v>665</v>
      </c>
      <c r="C144" s="805"/>
      <c r="D144" s="805"/>
      <c r="E144" s="805"/>
      <c r="F144" s="805"/>
      <c r="G144" s="805"/>
      <c r="H144" s="805"/>
      <c r="I144" s="805"/>
      <c r="J144" s="805"/>
      <c r="K144" s="805"/>
      <c r="L144" s="805"/>
      <c r="M144" s="805"/>
      <c r="N144" s="805"/>
      <c r="O144" s="805"/>
      <c r="P144" s="805"/>
      <c r="Q144" s="805"/>
      <c r="R144" s="805"/>
      <c r="S144" s="805"/>
      <c r="T144" s="805"/>
      <c r="U144" s="805"/>
      <c r="V144" s="805"/>
      <c r="W144" s="805"/>
      <c r="X144" s="805"/>
      <c r="Y144" s="805"/>
      <c r="Z144" s="805"/>
      <c r="AA144" s="805"/>
      <c r="AB144" s="805"/>
      <c r="AC144" s="805"/>
      <c r="AD144" s="805"/>
      <c r="AE144" s="815"/>
      <c r="AF144" s="904"/>
      <c r="AG144" s="905"/>
      <c r="AH144" s="905"/>
      <c r="AI144" s="905"/>
      <c r="AJ144" s="906"/>
      <c r="AK144" s="531"/>
    </row>
    <row r="145" spans="1:43" s="532" customFormat="1" ht="18.95" customHeight="1">
      <c r="A145" s="530"/>
      <c r="B145" s="879" t="s">
        <v>666</v>
      </c>
      <c r="C145" s="880"/>
      <c r="D145" s="880"/>
      <c r="E145" s="880"/>
      <c r="F145" s="880"/>
      <c r="G145" s="880"/>
      <c r="H145" s="880"/>
      <c r="I145" s="880"/>
      <c r="J145" s="880"/>
      <c r="K145" s="880"/>
      <c r="L145" s="880"/>
      <c r="M145" s="880"/>
      <c r="N145" s="880"/>
      <c r="O145" s="880"/>
      <c r="P145" s="880"/>
      <c r="Q145" s="880"/>
      <c r="R145" s="880"/>
      <c r="S145" s="880"/>
      <c r="T145" s="880"/>
      <c r="U145" s="880"/>
      <c r="V145" s="880"/>
      <c r="W145" s="880"/>
      <c r="X145" s="880"/>
      <c r="Y145" s="880"/>
      <c r="Z145" s="880"/>
      <c r="AA145" s="880"/>
      <c r="AB145" s="880"/>
      <c r="AC145" s="880"/>
      <c r="AD145" s="880"/>
      <c r="AE145" s="881"/>
      <c r="AF145" s="916">
        <f>AF119+AF120+AF121+AF122+AF123+AF124+AF125+AF126+AF127+AF128+AF129+AF131+AF132+AF133+AF137+AF134+AF135+AF138+AF139+AF140+AF141+AF142+AF143+AF144</f>
        <v>1925286.9565217393</v>
      </c>
      <c r="AG145" s="917"/>
      <c r="AH145" s="917"/>
      <c r="AI145" s="917"/>
      <c r="AJ145" s="918"/>
      <c r="AK145" s="531"/>
      <c r="AN145" s="544"/>
      <c r="AO145" s="544"/>
      <c r="AP145" s="544"/>
      <c r="AQ145" s="544"/>
    </row>
    <row r="146" spans="1:43" s="532" customFormat="1" ht="18.95" customHeight="1">
      <c r="A146" s="530"/>
      <c r="B146" s="800" t="s">
        <v>667</v>
      </c>
      <c r="C146" s="801"/>
      <c r="D146" s="801"/>
      <c r="E146" s="801"/>
      <c r="F146" s="802" t="s">
        <v>668</v>
      </c>
      <c r="G146" s="802"/>
      <c r="H146" s="802"/>
      <c r="I146" s="802"/>
      <c r="J146" s="802"/>
      <c r="K146" s="802"/>
      <c r="L146" s="802"/>
      <c r="M146" s="802"/>
      <c r="N146" s="802"/>
      <c r="O146" s="802"/>
      <c r="P146" s="802"/>
      <c r="Q146" s="802"/>
      <c r="R146" s="802"/>
      <c r="S146" s="802"/>
      <c r="T146" s="802"/>
      <c r="U146" s="802"/>
      <c r="V146" s="802"/>
      <c r="W146" s="802"/>
      <c r="X146" s="802"/>
      <c r="Y146" s="802"/>
      <c r="Z146" s="802"/>
      <c r="AA146" s="802"/>
      <c r="AB146" s="802"/>
      <c r="AC146" s="802"/>
      <c r="AD146" s="802"/>
      <c r="AE146" s="802"/>
      <c r="AF146" s="802"/>
      <c r="AG146" s="802"/>
      <c r="AH146" s="802"/>
      <c r="AI146" s="802"/>
      <c r="AJ146" s="803"/>
      <c r="AK146" s="531"/>
    </row>
    <row r="147" spans="1:43" s="532" customFormat="1" ht="18.95" customHeight="1">
      <c r="A147" s="530"/>
      <c r="B147" s="804" t="s">
        <v>669</v>
      </c>
      <c r="C147" s="805"/>
      <c r="D147" s="805"/>
      <c r="E147" s="805"/>
      <c r="F147" s="805"/>
      <c r="G147" s="805"/>
      <c r="H147" s="805"/>
      <c r="I147" s="805"/>
      <c r="J147" s="805"/>
      <c r="K147" s="805"/>
      <c r="L147" s="805"/>
      <c r="M147" s="805"/>
      <c r="N147" s="805"/>
      <c r="O147" s="805"/>
      <c r="P147" s="805"/>
      <c r="Q147" s="805"/>
      <c r="R147" s="805"/>
      <c r="S147" s="805"/>
      <c r="T147" s="805"/>
      <c r="U147" s="805"/>
      <c r="V147" s="805"/>
      <c r="W147" s="805"/>
      <c r="X147" s="805"/>
      <c r="Y147" s="805"/>
      <c r="Z147" s="805"/>
      <c r="AA147" s="805"/>
      <c r="AB147" s="805"/>
      <c r="AC147" s="805"/>
      <c r="AD147" s="805"/>
      <c r="AE147" s="815"/>
      <c r="AF147" s="843">
        <f>Balancete!K31</f>
        <v>3844200</v>
      </c>
      <c r="AG147" s="844"/>
      <c r="AH147" s="844"/>
      <c r="AI147" s="844"/>
      <c r="AJ147" s="845"/>
      <c r="AK147" s="531"/>
      <c r="AL147" s="545"/>
    </row>
    <row r="148" spans="1:43" s="532" customFormat="1" ht="18.95" customHeight="1">
      <c r="A148" s="530"/>
      <c r="B148" s="804" t="s">
        <v>670</v>
      </c>
      <c r="C148" s="805"/>
      <c r="D148" s="805"/>
      <c r="E148" s="805"/>
      <c r="F148" s="805"/>
      <c r="G148" s="805"/>
      <c r="H148" s="805"/>
      <c r="I148" s="805"/>
      <c r="J148" s="805"/>
      <c r="K148" s="805"/>
      <c r="L148" s="805"/>
      <c r="M148" s="805"/>
      <c r="N148" s="805"/>
      <c r="O148" s="805"/>
      <c r="P148" s="805"/>
      <c r="Q148" s="805"/>
      <c r="R148" s="805"/>
      <c r="S148" s="805"/>
      <c r="T148" s="805"/>
      <c r="U148" s="805"/>
      <c r="V148" s="805"/>
      <c r="W148" s="805"/>
      <c r="X148" s="805"/>
      <c r="Y148" s="805"/>
      <c r="Z148" s="805"/>
      <c r="AA148" s="805"/>
      <c r="AB148" s="805"/>
      <c r="AC148" s="805"/>
      <c r="AD148" s="805"/>
      <c r="AE148" s="815"/>
      <c r="AF148" s="843">
        <f>Balancete!K32</f>
        <v>8714400</v>
      </c>
      <c r="AG148" s="844"/>
      <c r="AH148" s="844"/>
      <c r="AI148" s="844"/>
      <c r="AJ148" s="845"/>
      <c r="AK148" s="531"/>
      <c r="AL148" s="545"/>
    </row>
    <row r="149" spans="1:43" s="532" customFormat="1" ht="18.95" customHeight="1">
      <c r="A149" s="530"/>
      <c r="B149" s="804" t="s">
        <v>671</v>
      </c>
      <c r="C149" s="805"/>
      <c r="D149" s="805"/>
      <c r="E149" s="805"/>
      <c r="F149" s="805"/>
      <c r="G149" s="805"/>
      <c r="H149" s="805"/>
      <c r="I149" s="805"/>
      <c r="J149" s="805"/>
      <c r="K149" s="805"/>
      <c r="L149" s="805"/>
      <c r="M149" s="805"/>
      <c r="N149" s="805"/>
      <c r="O149" s="805"/>
      <c r="P149" s="805"/>
      <c r="Q149" s="805"/>
      <c r="R149" s="805"/>
      <c r="S149" s="805"/>
      <c r="T149" s="805"/>
      <c r="U149" s="805"/>
      <c r="V149" s="805"/>
      <c r="W149" s="805"/>
      <c r="X149" s="805"/>
      <c r="Y149" s="805"/>
      <c r="Z149" s="805"/>
      <c r="AA149" s="805"/>
      <c r="AB149" s="805"/>
      <c r="AC149" s="805"/>
      <c r="AD149" s="805"/>
      <c r="AE149" s="815"/>
      <c r="AF149" s="843">
        <v>0</v>
      </c>
      <c r="AG149" s="844"/>
      <c r="AH149" s="844"/>
      <c r="AI149" s="844"/>
      <c r="AJ149" s="845"/>
      <c r="AK149" s="531"/>
      <c r="AL149" s="545"/>
    </row>
    <row r="150" spans="1:43" s="532" customFormat="1" ht="18.95" customHeight="1">
      <c r="A150" s="530"/>
      <c r="B150" s="804" t="s">
        <v>672</v>
      </c>
      <c r="C150" s="805"/>
      <c r="D150" s="805"/>
      <c r="E150" s="805"/>
      <c r="F150" s="805"/>
      <c r="G150" s="805"/>
      <c r="H150" s="805"/>
      <c r="I150" s="805"/>
      <c r="J150" s="805"/>
      <c r="K150" s="805"/>
      <c r="L150" s="805"/>
      <c r="M150" s="805"/>
      <c r="N150" s="805"/>
      <c r="O150" s="805"/>
      <c r="P150" s="805"/>
      <c r="Q150" s="805"/>
      <c r="R150" s="805"/>
      <c r="S150" s="805"/>
      <c r="T150" s="805"/>
      <c r="U150" s="805"/>
      <c r="V150" s="805"/>
      <c r="W150" s="805"/>
      <c r="X150" s="805"/>
      <c r="Y150" s="805"/>
      <c r="Z150" s="805"/>
      <c r="AA150" s="805"/>
      <c r="AB150" s="805"/>
      <c r="AC150" s="805"/>
      <c r="AD150" s="805"/>
      <c r="AE150" s="815"/>
      <c r="AF150" s="843">
        <f>Balancete!K33</f>
        <v>1692000</v>
      </c>
      <c r="AG150" s="844"/>
      <c r="AH150" s="844"/>
      <c r="AI150" s="844"/>
      <c r="AJ150" s="845"/>
      <c r="AK150" s="531"/>
      <c r="AL150" s="545"/>
    </row>
    <row r="151" spans="1:43" s="532" customFormat="1" ht="18.95" customHeight="1">
      <c r="A151" s="530"/>
      <c r="B151" s="879" t="s">
        <v>334</v>
      </c>
      <c r="C151" s="880"/>
      <c r="D151" s="880"/>
      <c r="E151" s="880"/>
      <c r="F151" s="880"/>
      <c r="G151" s="880"/>
      <c r="H151" s="880"/>
      <c r="I151" s="880"/>
      <c r="J151" s="880"/>
      <c r="K151" s="880"/>
      <c r="L151" s="880"/>
      <c r="M151" s="880"/>
      <c r="N151" s="880"/>
      <c r="O151" s="880"/>
      <c r="P151" s="880"/>
      <c r="Q151" s="880"/>
      <c r="R151" s="880"/>
      <c r="S151" s="880"/>
      <c r="T151" s="880"/>
      <c r="U151" s="880"/>
      <c r="V151" s="880"/>
      <c r="W151" s="880"/>
      <c r="X151" s="880"/>
      <c r="Y151" s="880"/>
      <c r="Z151" s="880"/>
      <c r="AA151" s="880"/>
      <c r="AB151" s="880"/>
      <c r="AC151" s="880"/>
      <c r="AD151" s="880"/>
      <c r="AE151" s="881"/>
      <c r="AF151" s="852">
        <f>AF147+AF148+AF149+AF150</f>
        <v>14250600</v>
      </c>
      <c r="AG151" s="853"/>
      <c r="AH151" s="853"/>
      <c r="AI151" s="853"/>
      <c r="AJ151" s="854"/>
      <c r="AK151" s="531"/>
      <c r="AL151" s="545"/>
    </row>
    <row r="152" spans="1:43" s="532" customFormat="1" ht="18.95" customHeight="1">
      <c r="A152" s="530"/>
      <c r="B152" s="788" t="s">
        <v>673</v>
      </c>
      <c r="C152" s="789"/>
      <c r="D152" s="789"/>
      <c r="E152" s="789"/>
      <c r="F152" s="789"/>
      <c r="G152" s="789"/>
      <c r="H152" s="789"/>
      <c r="I152" s="789"/>
      <c r="J152" s="789"/>
      <c r="K152" s="789"/>
      <c r="L152" s="789"/>
      <c r="M152" s="789"/>
      <c r="N152" s="789"/>
      <c r="O152" s="922" t="s">
        <v>714</v>
      </c>
      <c r="P152" s="841"/>
      <c r="Q152" s="841"/>
      <c r="R152" s="841"/>
      <c r="S152" s="868" t="s">
        <v>674</v>
      </c>
      <c r="T152" s="868"/>
      <c r="U152" s="868"/>
      <c r="V152" s="868"/>
      <c r="W152" s="868"/>
      <c r="X152" s="868"/>
      <c r="Y152" s="868"/>
      <c r="Z152" s="868"/>
      <c r="AA152" s="868"/>
      <c r="AB152" s="868"/>
      <c r="AC152" s="868"/>
      <c r="AD152" s="868"/>
      <c r="AE152" s="869"/>
      <c r="AF152" s="852">
        <v>0</v>
      </c>
      <c r="AG152" s="853"/>
      <c r="AH152" s="853"/>
      <c r="AI152" s="853"/>
      <c r="AJ152" s="854"/>
      <c r="AK152" s="531"/>
    </row>
    <row r="153" spans="1:43" s="532" customFormat="1" ht="18" customHeight="1">
      <c r="A153" s="530"/>
      <c r="B153" s="923" t="s">
        <v>675</v>
      </c>
      <c r="C153" s="802"/>
      <c r="D153" s="802"/>
      <c r="E153" s="802"/>
      <c r="F153" s="802"/>
      <c r="G153" s="802"/>
      <c r="H153" s="802"/>
      <c r="I153" s="802"/>
      <c r="J153" s="802"/>
      <c r="K153" s="802"/>
      <c r="L153" s="802"/>
      <c r="M153" s="802"/>
      <c r="N153" s="802"/>
      <c r="O153" s="802"/>
      <c r="P153" s="802"/>
      <c r="Q153" s="802"/>
      <c r="R153" s="802"/>
      <c r="S153" s="802"/>
      <c r="T153" s="802"/>
      <c r="U153" s="802"/>
      <c r="V153" s="802"/>
      <c r="W153" s="802"/>
      <c r="X153" s="802"/>
      <c r="Y153" s="802"/>
      <c r="Z153" s="802"/>
      <c r="AA153" s="802"/>
      <c r="AB153" s="802"/>
      <c r="AC153" s="802"/>
      <c r="AD153" s="802"/>
      <c r="AE153" s="802"/>
      <c r="AF153" s="802"/>
      <c r="AG153" s="802"/>
      <c r="AH153" s="802"/>
      <c r="AI153" s="802"/>
      <c r="AJ153" s="803"/>
      <c r="AK153" s="531"/>
    </row>
    <row r="154" spans="1:43" s="532" customFormat="1" ht="18" customHeight="1">
      <c r="A154" s="530"/>
      <c r="B154" s="923" t="s">
        <v>676</v>
      </c>
      <c r="C154" s="802"/>
      <c r="D154" s="802"/>
      <c r="E154" s="802"/>
      <c r="F154" s="802"/>
      <c r="G154" s="802"/>
      <c r="H154" s="802"/>
      <c r="I154" s="802"/>
      <c r="J154" s="802"/>
      <c r="K154" s="802"/>
      <c r="L154" s="802"/>
      <c r="M154" s="802"/>
      <c r="N154" s="802"/>
      <c r="O154" s="802"/>
      <c r="P154" s="802"/>
      <c r="Q154" s="802"/>
      <c r="R154" s="803"/>
      <c r="S154" s="802" t="s">
        <v>677</v>
      </c>
      <c r="T154" s="802"/>
      <c r="U154" s="802"/>
      <c r="V154" s="802"/>
      <c r="W154" s="802"/>
      <c r="X154" s="802"/>
      <c r="Y154" s="802"/>
      <c r="Z154" s="802"/>
      <c r="AA154" s="802"/>
      <c r="AB154" s="802"/>
      <c r="AC154" s="802"/>
      <c r="AD154" s="802"/>
      <c r="AE154" s="802"/>
      <c r="AF154" s="802"/>
      <c r="AG154" s="802"/>
      <c r="AH154" s="802"/>
      <c r="AI154" s="802"/>
      <c r="AJ154" s="803"/>
      <c r="AK154" s="531"/>
    </row>
    <row r="155" spans="1:43" s="532" customFormat="1" ht="18" customHeight="1">
      <c r="A155" s="530"/>
      <c r="B155" s="924" t="s">
        <v>678</v>
      </c>
      <c r="C155" s="925"/>
      <c r="D155" s="925"/>
      <c r="E155" s="925"/>
      <c r="F155" s="925"/>
      <c r="G155" s="925"/>
      <c r="H155" s="925"/>
      <c r="I155" s="925"/>
      <c r="J155" s="925"/>
      <c r="K155" s="925"/>
      <c r="L155" s="925"/>
      <c r="M155" s="925"/>
      <c r="N155" s="925"/>
      <c r="O155" s="926" t="s">
        <v>544</v>
      </c>
      <c r="P155" s="926"/>
      <c r="Q155" s="926"/>
      <c r="R155" s="927"/>
      <c r="S155" s="776" t="s">
        <v>713</v>
      </c>
      <c r="T155" s="777"/>
      <c r="U155" s="777"/>
      <c r="V155" s="777"/>
      <c r="W155" s="777"/>
      <c r="X155" s="777"/>
      <c r="Y155" s="777"/>
      <c r="Z155" s="777"/>
      <c r="AA155" s="777"/>
      <c r="AB155" s="777"/>
      <c r="AC155" s="777"/>
      <c r="AD155" s="777"/>
      <c r="AE155" s="777"/>
      <c r="AF155" s="777"/>
      <c r="AG155" s="777"/>
      <c r="AH155" s="777"/>
      <c r="AI155" s="777"/>
      <c r="AJ155" s="778"/>
      <c r="AK155" s="531"/>
    </row>
    <row r="156" spans="1:43" s="532" customFormat="1" ht="18" customHeight="1">
      <c r="A156" s="530"/>
      <c r="B156" s="928" t="s">
        <v>544</v>
      </c>
      <c r="C156" s="929"/>
      <c r="D156" s="929"/>
      <c r="E156" s="929"/>
      <c r="F156" s="929"/>
      <c r="G156" s="929"/>
      <c r="H156" s="929"/>
      <c r="I156" s="929"/>
      <c r="J156" s="929"/>
      <c r="K156" s="929"/>
      <c r="L156" s="929"/>
      <c r="M156" s="929"/>
      <c r="N156" s="929"/>
      <c r="O156" s="929"/>
      <c r="P156" s="929"/>
      <c r="Q156" s="929"/>
      <c r="R156" s="930"/>
      <c r="S156" s="707"/>
      <c r="T156" s="708"/>
      <c r="U156" s="708"/>
      <c r="V156" s="708"/>
      <c r="W156" s="708"/>
      <c r="X156" s="708"/>
      <c r="Y156" s="708"/>
      <c r="Z156" s="708"/>
      <c r="AA156" s="708"/>
      <c r="AB156" s="708"/>
      <c r="AC156" s="708"/>
      <c r="AD156" s="708"/>
      <c r="AE156" s="708"/>
      <c r="AF156" s="708"/>
      <c r="AG156" s="708"/>
      <c r="AH156" s="708"/>
      <c r="AI156" s="708"/>
      <c r="AJ156" s="709"/>
      <c r="AK156" s="531"/>
    </row>
    <row r="157" spans="1:43" s="532" customFormat="1" ht="9.9499999999999993" customHeight="1">
      <c r="A157" s="530"/>
      <c r="B157" s="931" t="s">
        <v>679</v>
      </c>
      <c r="C157" s="932"/>
      <c r="D157" s="932"/>
      <c r="E157" s="932"/>
      <c r="F157" s="932"/>
      <c r="G157" s="932"/>
      <c r="H157" s="932"/>
      <c r="I157" s="932"/>
      <c r="J157" s="932"/>
      <c r="K157" s="932"/>
      <c r="L157" s="932"/>
      <c r="M157" s="932"/>
      <c r="N157" s="932"/>
      <c r="O157" s="932"/>
      <c r="P157" s="932"/>
      <c r="Q157" s="932"/>
      <c r="R157" s="933"/>
      <c r="S157" s="707"/>
      <c r="T157" s="708"/>
      <c r="U157" s="708"/>
      <c r="V157" s="708"/>
      <c r="W157" s="708"/>
      <c r="X157" s="708"/>
      <c r="Y157" s="708"/>
      <c r="Z157" s="708"/>
      <c r="AA157" s="708"/>
      <c r="AB157" s="708"/>
      <c r="AC157" s="708"/>
      <c r="AD157" s="708"/>
      <c r="AE157" s="708"/>
      <c r="AF157" s="708"/>
      <c r="AG157" s="708"/>
      <c r="AH157" s="708"/>
      <c r="AI157" s="708"/>
      <c r="AJ157" s="709"/>
      <c r="AK157" s="531"/>
    </row>
    <row r="158" spans="1:43" s="532" customFormat="1" ht="9.9499999999999993" customHeight="1">
      <c r="A158" s="530"/>
      <c r="B158" s="931"/>
      <c r="C158" s="932"/>
      <c r="D158" s="932"/>
      <c r="E158" s="932"/>
      <c r="F158" s="932"/>
      <c r="G158" s="932"/>
      <c r="H158" s="932"/>
      <c r="I158" s="932"/>
      <c r="J158" s="932"/>
      <c r="K158" s="932"/>
      <c r="L158" s="932"/>
      <c r="M158" s="932"/>
      <c r="N158" s="932"/>
      <c r="O158" s="932"/>
      <c r="P158" s="932"/>
      <c r="Q158" s="932"/>
      <c r="R158" s="933"/>
      <c r="S158" s="707"/>
      <c r="T158" s="708"/>
      <c r="U158" s="708"/>
      <c r="V158" s="708"/>
      <c r="W158" s="708"/>
      <c r="X158" s="708"/>
      <c r="Y158" s="708"/>
      <c r="Z158" s="708"/>
      <c r="AA158" s="708"/>
      <c r="AB158" s="708"/>
      <c r="AC158" s="708"/>
      <c r="AD158" s="708"/>
      <c r="AE158" s="708"/>
      <c r="AF158" s="708"/>
      <c r="AG158" s="708"/>
      <c r="AH158" s="708"/>
      <c r="AI158" s="708"/>
      <c r="AJ158" s="709"/>
      <c r="AK158" s="531"/>
    </row>
    <row r="159" spans="1:43" s="532" customFormat="1" ht="18" customHeight="1">
      <c r="A159" s="530"/>
      <c r="B159" s="707" t="s">
        <v>544</v>
      </c>
      <c r="C159" s="708"/>
      <c r="D159" s="708"/>
      <c r="E159" s="708"/>
      <c r="F159" s="708"/>
      <c r="G159" s="708"/>
      <c r="H159" s="708"/>
      <c r="I159" s="708"/>
      <c r="J159" s="708"/>
      <c r="K159" s="708"/>
      <c r="L159" s="708"/>
      <c r="M159" s="708"/>
      <c r="N159" s="708"/>
      <c r="O159" s="708"/>
      <c r="P159" s="708"/>
      <c r="Q159" s="708"/>
      <c r="R159" s="709"/>
      <c r="S159" s="707"/>
      <c r="T159" s="708"/>
      <c r="U159" s="708"/>
      <c r="V159" s="708"/>
      <c r="W159" s="708"/>
      <c r="X159" s="708"/>
      <c r="Y159" s="708"/>
      <c r="Z159" s="708"/>
      <c r="AA159" s="708"/>
      <c r="AB159" s="708"/>
      <c r="AC159" s="708"/>
      <c r="AD159" s="708"/>
      <c r="AE159" s="708"/>
      <c r="AF159" s="708"/>
      <c r="AG159" s="708"/>
      <c r="AH159" s="708"/>
      <c r="AI159" s="708"/>
      <c r="AJ159" s="709"/>
      <c r="AK159" s="531"/>
    </row>
    <row r="160" spans="1:43" s="532" customFormat="1" ht="18" customHeight="1">
      <c r="A160" s="530"/>
      <c r="B160" s="707" t="s">
        <v>680</v>
      </c>
      <c r="C160" s="708"/>
      <c r="D160" s="708"/>
      <c r="E160" s="708"/>
      <c r="F160" s="708"/>
      <c r="G160" s="708"/>
      <c r="H160" s="708"/>
      <c r="I160" s="708"/>
      <c r="J160" s="708"/>
      <c r="K160" s="708"/>
      <c r="L160" s="708"/>
      <c r="M160" s="708"/>
      <c r="N160" s="708"/>
      <c r="O160" s="708"/>
      <c r="P160" s="708"/>
      <c r="Q160" s="708"/>
      <c r="R160" s="709"/>
      <c r="S160" s="707" t="s">
        <v>680</v>
      </c>
      <c r="T160" s="708"/>
      <c r="U160" s="708"/>
      <c r="V160" s="708"/>
      <c r="W160" s="708"/>
      <c r="X160" s="708"/>
      <c r="Y160" s="708"/>
      <c r="Z160" s="708"/>
      <c r="AA160" s="708"/>
      <c r="AB160" s="708"/>
      <c r="AC160" s="708"/>
      <c r="AD160" s="708"/>
      <c r="AE160" s="708"/>
      <c r="AF160" s="708"/>
      <c r="AG160" s="708"/>
      <c r="AH160" s="708"/>
      <c r="AI160" s="708"/>
      <c r="AJ160" s="709"/>
      <c r="AK160" s="531"/>
    </row>
    <row r="161" spans="1:37" s="532" customFormat="1" ht="6" customHeight="1">
      <c r="A161" s="530"/>
      <c r="B161" s="940" t="s">
        <v>681</v>
      </c>
      <c r="C161" s="941"/>
      <c r="D161" s="941"/>
      <c r="E161" s="941"/>
      <c r="F161" s="941"/>
      <c r="G161" s="941"/>
      <c r="H161" s="941"/>
      <c r="I161" s="941"/>
      <c r="J161" s="941"/>
      <c r="K161" s="941"/>
      <c r="L161" s="941"/>
      <c r="M161" s="941"/>
      <c r="N161" s="941"/>
      <c r="O161" s="941"/>
      <c r="P161" s="941"/>
      <c r="Q161" s="941"/>
      <c r="R161" s="941"/>
      <c r="S161" s="941" t="s">
        <v>681</v>
      </c>
      <c r="T161" s="941"/>
      <c r="U161" s="941"/>
      <c r="V161" s="941"/>
      <c r="W161" s="941"/>
      <c r="X161" s="941"/>
      <c r="Y161" s="941"/>
      <c r="Z161" s="941"/>
      <c r="AA161" s="941"/>
      <c r="AB161" s="941"/>
      <c r="AC161" s="941"/>
      <c r="AD161" s="941"/>
      <c r="AE161" s="941"/>
      <c r="AF161" s="941"/>
      <c r="AG161" s="941"/>
      <c r="AH161" s="941"/>
      <c r="AI161" s="941"/>
      <c r="AJ161" s="942"/>
      <c r="AK161" s="531"/>
    </row>
    <row r="162" spans="1:37" s="532" customFormat="1" ht="18" customHeight="1">
      <c r="A162" s="530"/>
      <c r="B162" s="943" t="s">
        <v>682</v>
      </c>
      <c r="C162" s="944"/>
      <c r="D162" s="944"/>
      <c r="E162" s="944"/>
      <c r="F162" s="944"/>
      <c r="G162" s="944"/>
      <c r="H162" s="944"/>
      <c r="I162" s="944"/>
      <c r="J162" s="944"/>
      <c r="K162" s="944"/>
      <c r="L162" s="944"/>
      <c r="M162" s="944"/>
      <c r="N162" s="944"/>
      <c r="O162" s="944"/>
      <c r="P162" s="944"/>
      <c r="Q162" s="944"/>
      <c r="R162" s="944"/>
      <c r="S162" s="944"/>
      <c r="T162" s="944"/>
      <c r="U162" s="944"/>
      <c r="V162" s="944"/>
      <c r="W162" s="944"/>
      <c r="X162" s="944"/>
      <c r="Y162" s="944"/>
      <c r="Z162" s="944"/>
      <c r="AA162" s="944"/>
      <c r="AB162" s="944"/>
      <c r="AC162" s="944"/>
      <c r="AD162" s="944"/>
      <c r="AE162" s="944"/>
      <c r="AF162" s="944"/>
      <c r="AG162" s="944"/>
      <c r="AH162" s="944"/>
      <c r="AI162" s="944"/>
      <c r="AJ162" s="945"/>
      <c r="AK162" s="531"/>
    </row>
    <row r="163" spans="1:37" s="532" customFormat="1" ht="18" customHeight="1">
      <c r="A163" s="530"/>
      <c r="B163" s="937" t="s">
        <v>683</v>
      </c>
      <c r="C163" s="938"/>
      <c r="D163" s="938"/>
      <c r="E163" s="938"/>
      <c r="F163" s="938"/>
      <c r="G163" s="938"/>
      <c r="H163" s="938"/>
      <c r="I163" s="938"/>
      <c r="J163" s="938"/>
      <c r="K163" s="938"/>
      <c r="L163" s="938"/>
      <c r="M163" s="938"/>
      <c r="N163" s="938"/>
      <c r="O163" s="938"/>
      <c r="P163" s="938"/>
      <c r="Q163" s="938"/>
      <c r="R163" s="938"/>
      <c r="S163" s="938"/>
      <c r="T163" s="938"/>
      <c r="U163" s="938"/>
      <c r="V163" s="938"/>
      <c r="W163" s="938"/>
      <c r="X163" s="938"/>
      <c r="Y163" s="938"/>
      <c r="Z163" s="938"/>
      <c r="AA163" s="938"/>
      <c r="AB163" s="938"/>
      <c r="AC163" s="938"/>
      <c r="AD163" s="938"/>
      <c r="AE163" s="938"/>
      <c r="AF163" s="938"/>
      <c r="AG163" s="938"/>
      <c r="AH163" s="938"/>
      <c r="AI163" s="938"/>
      <c r="AJ163" s="939"/>
      <c r="AK163" s="531"/>
    </row>
    <row r="164" spans="1:37" s="532" customFormat="1" ht="18" customHeight="1">
      <c r="A164" s="530"/>
      <c r="B164" s="934" t="s">
        <v>684</v>
      </c>
      <c r="C164" s="935"/>
      <c r="D164" s="935"/>
      <c r="E164" s="935"/>
      <c r="F164" s="935"/>
      <c r="G164" s="935"/>
      <c r="H164" s="935"/>
      <c r="I164" s="935"/>
      <c r="J164" s="935"/>
      <c r="K164" s="935"/>
      <c r="L164" s="935"/>
      <c r="M164" s="935"/>
      <c r="N164" s="935"/>
      <c r="O164" s="935"/>
      <c r="P164" s="935"/>
      <c r="Q164" s="935"/>
      <c r="R164" s="935"/>
      <c r="S164" s="935"/>
      <c r="T164" s="935"/>
      <c r="U164" s="935"/>
      <c r="V164" s="935"/>
      <c r="W164" s="935"/>
      <c r="X164" s="935"/>
      <c r="Y164" s="935"/>
      <c r="Z164" s="935"/>
      <c r="AA164" s="935"/>
      <c r="AB164" s="935"/>
      <c r="AC164" s="935"/>
      <c r="AD164" s="935"/>
      <c r="AE164" s="935"/>
      <c r="AF164" s="935"/>
      <c r="AG164" s="935"/>
      <c r="AH164" s="935"/>
      <c r="AI164" s="935"/>
      <c r="AJ164" s="936"/>
      <c r="AK164" s="531"/>
    </row>
    <row r="165" spans="1:37" s="532" customFormat="1" ht="18" customHeight="1">
      <c r="A165" s="530"/>
      <c r="B165" s="934" t="s">
        <v>685</v>
      </c>
      <c r="C165" s="935"/>
      <c r="D165" s="935"/>
      <c r="E165" s="935"/>
      <c r="F165" s="935"/>
      <c r="G165" s="935"/>
      <c r="H165" s="935"/>
      <c r="I165" s="935"/>
      <c r="J165" s="935"/>
      <c r="K165" s="935"/>
      <c r="L165" s="935"/>
      <c r="M165" s="935"/>
      <c r="N165" s="935"/>
      <c r="O165" s="935"/>
      <c r="P165" s="935"/>
      <c r="Q165" s="935"/>
      <c r="R165" s="935"/>
      <c r="S165" s="935"/>
      <c r="T165" s="935"/>
      <c r="U165" s="935"/>
      <c r="V165" s="935"/>
      <c r="W165" s="935"/>
      <c r="X165" s="935"/>
      <c r="Y165" s="935"/>
      <c r="Z165" s="935"/>
      <c r="AA165" s="935"/>
      <c r="AB165" s="935"/>
      <c r="AC165" s="935"/>
      <c r="AD165" s="935"/>
      <c r="AE165" s="935"/>
      <c r="AF165" s="935"/>
      <c r="AG165" s="935"/>
      <c r="AH165" s="935"/>
      <c r="AI165" s="935"/>
      <c r="AJ165" s="936"/>
      <c r="AK165" s="531"/>
    </row>
    <row r="166" spans="1:37" s="532" customFormat="1" ht="18" customHeight="1">
      <c r="A166" s="530"/>
      <c r="B166" s="934" t="s">
        <v>686</v>
      </c>
      <c r="C166" s="935"/>
      <c r="D166" s="935"/>
      <c r="E166" s="935"/>
      <c r="F166" s="935"/>
      <c r="G166" s="935"/>
      <c r="H166" s="935"/>
      <c r="I166" s="935"/>
      <c r="J166" s="935"/>
      <c r="K166" s="935"/>
      <c r="L166" s="935"/>
      <c r="M166" s="935"/>
      <c r="N166" s="935"/>
      <c r="O166" s="935"/>
      <c r="P166" s="935"/>
      <c r="Q166" s="935"/>
      <c r="R166" s="935"/>
      <c r="S166" s="935"/>
      <c r="T166" s="935"/>
      <c r="U166" s="935"/>
      <c r="V166" s="935"/>
      <c r="W166" s="935"/>
      <c r="X166" s="935"/>
      <c r="Y166" s="935"/>
      <c r="Z166" s="935"/>
      <c r="AA166" s="935"/>
      <c r="AB166" s="935"/>
      <c r="AC166" s="935"/>
      <c r="AD166" s="935"/>
      <c r="AE166" s="935"/>
      <c r="AF166" s="935"/>
      <c r="AG166" s="935"/>
      <c r="AH166" s="935"/>
      <c r="AI166" s="935"/>
      <c r="AJ166" s="936"/>
      <c r="AK166" s="531"/>
    </row>
    <row r="167" spans="1:37" s="532" customFormat="1" ht="18" customHeight="1">
      <c r="A167" s="530"/>
      <c r="B167" s="934" t="s">
        <v>687</v>
      </c>
      <c r="C167" s="935"/>
      <c r="D167" s="935"/>
      <c r="E167" s="935"/>
      <c r="F167" s="935"/>
      <c r="G167" s="935"/>
      <c r="H167" s="935"/>
      <c r="I167" s="935"/>
      <c r="J167" s="935"/>
      <c r="K167" s="935"/>
      <c r="L167" s="935"/>
      <c r="M167" s="935"/>
      <c r="N167" s="935"/>
      <c r="O167" s="935"/>
      <c r="P167" s="935"/>
      <c r="Q167" s="935"/>
      <c r="R167" s="935"/>
      <c r="S167" s="935"/>
      <c r="T167" s="935"/>
      <c r="U167" s="935"/>
      <c r="V167" s="935"/>
      <c r="W167" s="935"/>
      <c r="X167" s="935"/>
      <c r="Y167" s="935"/>
      <c r="Z167" s="935"/>
      <c r="AA167" s="935"/>
      <c r="AB167" s="935"/>
      <c r="AC167" s="935"/>
      <c r="AD167" s="935"/>
      <c r="AE167" s="935"/>
      <c r="AF167" s="935"/>
      <c r="AG167" s="935"/>
      <c r="AH167" s="935"/>
      <c r="AI167" s="935"/>
      <c r="AJ167" s="936"/>
      <c r="AK167" s="531"/>
    </row>
    <row r="168" spans="1:37" s="532" customFormat="1" ht="18" customHeight="1">
      <c r="A168" s="530"/>
      <c r="B168" s="937" t="s">
        <v>688</v>
      </c>
      <c r="C168" s="938"/>
      <c r="D168" s="938"/>
      <c r="E168" s="938"/>
      <c r="F168" s="938"/>
      <c r="G168" s="938"/>
      <c r="H168" s="938"/>
      <c r="I168" s="938"/>
      <c r="J168" s="938"/>
      <c r="K168" s="938"/>
      <c r="L168" s="938"/>
      <c r="M168" s="938"/>
      <c r="N168" s="938"/>
      <c r="O168" s="938"/>
      <c r="P168" s="938"/>
      <c r="Q168" s="938"/>
      <c r="R168" s="938"/>
      <c r="S168" s="938"/>
      <c r="T168" s="938"/>
      <c r="U168" s="938"/>
      <c r="V168" s="938"/>
      <c r="W168" s="938"/>
      <c r="X168" s="938"/>
      <c r="Y168" s="938"/>
      <c r="Z168" s="938"/>
      <c r="AA168" s="938"/>
      <c r="AB168" s="938"/>
      <c r="AC168" s="938"/>
      <c r="AD168" s="938"/>
      <c r="AE168" s="938"/>
      <c r="AF168" s="938"/>
      <c r="AG168" s="938"/>
      <c r="AH168" s="938"/>
      <c r="AI168" s="938"/>
      <c r="AJ168" s="939"/>
      <c r="AK168" s="531"/>
    </row>
    <row r="169" spans="1:37" s="532" customFormat="1" ht="18" customHeight="1">
      <c r="A169" s="530"/>
      <c r="B169" s="937" t="s">
        <v>689</v>
      </c>
      <c r="C169" s="938"/>
      <c r="D169" s="938"/>
      <c r="E169" s="938"/>
      <c r="F169" s="938"/>
      <c r="G169" s="938"/>
      <c r="H169" s="938"/>
      <c r="I169" s="938"/>
      <c r="J169" s="938"/>
      <c r="K169" s="938"/>
      <c r="L169" s="938"/>
      <c r="M169" s="938"/>
      <c r="N169" s="938"/>
      <c r="O169" s="938"/>
      <c r="P169" s="938"/>
      <c r="Q169" s="938"/>
      <c r="R169" s="938"/>
      <c r="S169" s="938"/>
      <c r="T169" s="938"/>
      <c r="U169" s="938"/>
      <c r="V169" s="938"/>
      <c r="W169" s="938"/>
      <c r="X169" s="938"/>
      <c r="Y169" s="938"/>
      <c r="Z169" s="938"/>
      <c r="AA169" s="938"/>
      <c r="AB169" s="938"/>
      <c r="AC169" s="938"/>
      <c r="AD169" s="938"/>
      <c r="AE169" s="938"/>
      <c r="AF169" s="938"/>
      <c r="AG169" s="938"/>
      <c r="AH169" s="938"/>
      <c r="AI169" s="938"/>
      <c r="AJ169" s="939"/>
      <c r="AK169" s="531"/>
    </row>
    <row r="170" spans="1:37" s="532" customFormat="1" ht="18" customHeight="1">
      <c r="A170" s="530"/>
      <c r="B170" s="959" t="s">
        <v>690</v>
      </c>
      <c r="C170" s="960"/>
      <c r="D170" s="960"/>
      <c r="E170" s="960"/>
      <c r="F170" s="960"/>
      <c r="G170" s="960"/>
      <c r="H170" s="960"/>
      <c r="I170" s="960"/>
      <c r="J170" s="960"/>
      <c r="K170" s="960"/>
      <c r="L170" s="960"/>
      <c r="M170" s="960"/>
      <c r="N170" s="960"/>
      <c r="O170" s="960"/>
      <c r="P170" s="960"/>
      <c r="Q170" s="960"/>
      <c r="R170" s="960"/>
      <c r="S170" s="960"/>
      <c r="T170" s="960"/>
      <c r="U170" s="960"/>
      <c r="V170" s="960"/>
      <c r="W170" s="960"/>
      <c r="X170" s="960"/>
      <c r="Y170" s="960"/>
      <c r="Z170" s="960"/>
      <c r="AA170" s="960"/>
      <c r="AB170" s="960"/>
      <c r="AC170" s="960"/>
      <c r="AD170" s="960"/>
      <c r="AE170" s="960"/>
      <c r="AF170" s="960"/>
      <c r="AG170" s="960"/>
      <c r="AH170" s="960"/>
      <c r="AI170" s="960"/>
      <c r="AJ170" s="961"/>
      <c r="AK170" s="531"/>
    </row>
    <row r="171" spans="1:37" s="532" customFormat="1" ht="24" customHeight="1">
      <c r="A171" s="530"/>
      <c r="B171" s="962" t="s">
        <v>691</v>
      </c>
      <c r="C171" s="963"/>
      <c r="D171" s="963"/>
      <c r="E171" s="963"/>
      <c r="F171" s="963"/>
      <c r="G171" s="963"/>
      <c r="H171" s="963"/>
      <c r="I171" s="963"/>
      <c r="J171" s="963"/>
      <c r="K171" s="963"/>
      <c r="L171" s="963"/>
      <c r="M171" s="963"/>
      <c r="N171" s="963"/>
      <c r="O171" s="963"/>
      <c r="P171" s="963"/>
      <c r="Q171" s="963"/>
      <c r="R171" s="963"/>
      <c r="S171" s="963"/>
      <c r="T171" s="963"/>
      <c r="U171" s="963"/>
      <c r="V171" s="963"/>
      <c r="W171" s="963"/>
      <c r="X171" s="963"/>
      <c r="Y171" s="963"/>
      <c r="Z171" s="963"/>
      <c r="AA171" s="963"/>
      <c r="AB171" s="963"/>
      <c r="AC171" s="963"/>
      <c r="AD171" s="963"/>
      <c r="AE171" s="963"/>
      <c r="AF171" s="963"/>
      <c r="AG171" s="963"/>
      <c r="AH171" s="963"/>
      <c r="AI171" s="963"/>
      <c r="AJ171" s="964"/>
      <c r="AK171" s="531"/>
    </row>
    <row r="172" spans="1:37" s="532" customFormat="1" ht="24" customHeight="1">
      <c r="A172" s="530"/>
      <c r="B172" s="965" t="s">
        <v>692</v>
      </c>
      <c r="C172" s="966"/>
      <c r="D172" s="966"/>
      <c r="E172" s="966"/>
      <c r="F172" s="966"/>
      <c r="G172" s="966"/>
      <c r="H172" s="966"/>
      <c r="I172" s="966"/>
      <c r="J172" s="966"/>
      <c r="K172" s="966"/>
      <c r="L172" s="966"/>
      <c r="M172" s="966"/>
      <c r="N172" s="966"/>
      <c r="O172" s="966"/>
      <c r="P172" s="966"/>
      <c r="Q172" s="966"/>
      <c r="R172" s="966"/>
      <c r="S172" s="966"/>
      <c r="T172" s="966"/>
      <c r="U172" s="966"/>
      <c r="V172" s="966"/>
      <c r="W172" s="966"/>
      <c r="X172" s="966"/>
      <c r="Y172" s="966"/>
      <c r="Z172" s="966"/>
      <c r="AA172" s="966"/>
      <c r="AB172" s="966"/>
      <c r="AC172" s="966"/>
      <c r="AD172" s="966"/>
      <c r="AE172" s="966"/>
      <c r="AF172" s="966"/>
      <c r="AG172" s="966"/>
      <c r="AH172" s="966"/>
      <c r="AI172" s="966"/>
      <c r="AJ172" s="967"/>
      <c r="AK172" s="531"/>
    </row>
    <row r="173" spans="1:37" s="532" customFormat="1" ht="9" customHeight="1">
      <c r="A173" s="530"/>
      <c r="B173" s="968"/>
      <c r="C173" s="969"/>
      <c r="D173" s="969"/>
      <c r="E173" s="969"/>
      <c r="F173" s="969"/>
      <c r="G173" s="969"/>
      <c r="H173" s="969"/>
      <c r="I173" s="969"/>
      <c r="J173" s="969"/>
      <c r="K173" s="969"/>
      <c r="L173" s="969"/>
      <c r="M173" s="969"/>
      <c r="N173" s="969"/>
      <c r="O173" s="969"/>
      <c r="P173" s="969"/>
      <c r="Q173" s="969"/>
      <c r="R173" s="969"/>
      <c r="S173" s="969"/>
      <c r="T173" s="969"/>
      <c r="U173" s="969"/>
      <c r="V173" s="969"/>
      <c r="W173" s="969"/>
      <c r="X173" s="969"/>
      <c r="Y173" s="969"/>
      <c r="Z173" s="969"/>
      <c r="AA173" s="969"/>
      <c r="AB173" s="969"/>
      <c r="AC173" s="969"/>
      <c r="AD173" s="969"/>
      <c r="AE173" s="969"/>
      <c r="AF173" s="969"/>
      <c r="AG173" s="969"/>
      <c r="AH173" s="969"/>
      <c r="AI173" s="969"/>
      <c r="AJ173" s="970"/>
      <c r="AK173" s="531"/>
    </row>
    <row r="174" spans="1:37" s="532" customFormat="1" ht="18" customHeight="1">
      <c r="A174" s="530"/>
      <c r="B174" s="971" t="s">
        <v>693</v>
      </c>
      <c r="C174" s="972"/>
      <c r="D174" s="972"/>
      <c r="E174" s="972"/>
      <c r="F174" s="972"/>
      <c r="G174" s="972"/>
      <c r="H174" s="972"/>
      <c r="I174" s="972"/>
      <c r="J174" s="972"/>
      <c r="K174" s="973"/>
      <c r="L174" s="971" t="s">
        <v>694</v>
      </c>
      <c r="M174" s="972"/>
      <c r="N174" s="972"/>
      <c r="O174" s="972"/>
      <c r="P174" s="972"/>
      <c r="Q174" s="972"/>
      <c r="R174" s="972"/>
      <c r="S174" s="972"/>
      <c r="T174" s="972"/>
      <c r="U174" s="972"/>
      <c r="V174" s="972"/>
      <c r="W174" s="973"/>
      <c r="X174" s="971" t="s">
        <v>695</v>
      </c>
      <c r="Y174" s="972"/>
      <c r="Z174" s="972"/>
      <c r="AA174" s="972"/>
      <c r="AB174" s="972"/>
      <c r="AC174" s="972"/>
      <c r="AD174" s="972"/>
      <c r="AE174" s="972"/>
      <c r="AF174" s="972"/>
      <c r="AG174" s="972"/>
      <c r="AH174" s="972"/>
      <c r="AI174" s="972"/>
      <c r="AJ174" s="973"/>
      <c r="AK174" s="531"/>
    </row>
    <row r="175" spans="1:37" s="532" customFormat="1" ht="21.95" customHeight="1">
      <c r="A175" s="530"/>
      <c r="B175" s="947" t="s">
        <v>696</v>
      </c>
      <c r="C175" s="948"/>
      <c r="D175" s="948"/>
      <c r="E175" s="948"/>
      <c r="F175" s="948"/>
      <c r="G175" s="948"/>
      <c r="H175" s="948"/>
      <c r="I175" s="948"/>
      <c r="J175" s="948"/>
      <c r="K175" s="949"/>
      <c r="L175" s="947" t="s">
        <v>697</v>
      </c>
      <c r="M175" s="948"/>
      <c r="N175" s="948"/>
      <c r="O175" s="948"/>
      <c r="P175" s="948"/>
      <c r="Q175" s="948"/>
      <c r="R175" s="948"/>
      <c r="S175" s="948"/>
      <c r="T175" s="948"/>
      <c r="U175" s="948"/>
      <c r="V175" s="948"/>
      <c r="W175" s="949"/>
      <c r="X175" s="956" t="s">
        <v>698</v>
      </c>
      <c r="Y175" s="957"/>
      <c r="Z175" s="957"/>
      <c r="AA175" s="957"/>
      <c r="AB175" s="957"/>
      <c r="AC175" s="957"/>
      <c r="AD175" s="957"/>
      <c r="AE175" s="957"/>
      <c r="AF175" s="957"/>
      <c r="AG175" s="957"/>
      <c r="AH175" s="957"/>
      <c r="AI175" s="957"/>
      <c r="AJ175" s="958"/>
      <c r="AK175" s="531"/>
    </row>
    <row r="176" spans="1:37" s="532" customFormat="1" ht="21.95" customHeight="1">
      <c r="A176" s="530"/>
      <c r="B176" s="947" t="s">
        <v>699</v>
      </c>
      <c r="C176" s="948"/>
      <c r="D176" s="948"/>
      <c r="E176" s="948"/>
      <c r="F176" s="948"/>
      <c r="G176" s="948"/>
      <c r="H176" s="948"/>
      <c r="I176" s="948"/>
      <c r="J176" s="948"/>
      <c r="K176" s="949"/>
      <c r="L176" s="947" t="s">
        <v>700</v>
      </c>
      <c r="M176" s="948"/>
      <c r="N176" s="948"/>
      <c r="O176" s="948"/>
      <c r="P176" s="948"/>
      <c r="Q176" s="948"/>
      <c r="R176" s="948"/>
      <c r="S176" s="948"/>
      <c r="T176" s="948"/>
      <c r="U176" s="948"/>
      <c r="V176" s="948"/>
      <c r="W176" s="949"/>
      <c r="X176" s="947" t="s">
        <v>701</v>
      </c>
      <c r="Y176" s="948"/>
      <c r="Z176" s="948"/>
      <c r="AA176" s="948"/>
      <c r="AB176" s="948"/>
      <c r="AC176" s="948"/>
      <c r="AD176" s="948"/>
      <c r="AE176" s="948"/>
      <c r="AF176" s="948"/>
      <c r="AG176" s="948"/>
      <c r="AH176" s="948"/>
      <c r="AI176" s="948"/>
      <c r="AJ176" s="949"/>
      <c r="AK176" s="531"/>
    </row>
    <row r="177" spans="1:37" s="532" customFormat="1" ht="21.95" customHeight="1">
      <c r="A177" s="530"/>
      <c r="B177" s="947" t="s">
        <v>702</v>
      </c>
      <c r="C177" s="948"/>
      <c r="D177" s="948"/>
      <c r="E177" s="948"/>
      <c r="F177" s="948"/>
      <c r="G177" s="948"/>
      <c r="H177" s="948"/>
      <c r="I177" s="948"/>
      <c r="J177" s="948"/>
      <c r="K177" s="949"/>
      <c r="L177" s="947" t="s">
        <v>703</v>
      </c>
      <c r="M177" s="948"/>
      <c r="N177" s="948"/>
      <c r="O177" s="948"/>
      <c r="P177" s="948"/>
      <c r="Q177" s="948"/>
      <c r="R177" s="948"/>
      <c r="S177" s="948"/>
      <c r="T177" s="948"/>
      <c r="U177" s="948"/>
      <c r="V177" s="948"/>
      <c r="W177" s="949"/>
      <c r="X177" s="947" t="s">
        <v>700</v>
      </c>
      <c r="Y177" s="948"/>
      <c r="Z177" s="948"/>
      <c r="AA177" s="948"/>
      <c r="AB177" s="948"/>
      <c r="AC177" s="948"/>
      <c r="AD177" s="948"/>
      <c r="AE177" s="948"/>
      <c r="AF177" s="948"/>
      <c r="AG177" s="948"/>
      <c r="AH177" s="948"/>
      <c r="AI177" s="948"/>
      <c r="AJ177" s="949"/>
      <c r="AK177" s="531"/>
    </row>
    <row r="178" spans="1:37" s="532" customFormat="1" ht="21.95" customHeight="1">
      <c r="A178" s="530"/>
      <c r="B178" s="947" t="s">
        <v>704</v>
      </c>
      <c r="C178" s="948"/>
      <c r="D178" s="948"/>
      <c r="E178" s="948"/>
      <c r="F178" s="948"/>
      <c r="G178" s="948"/>
      <c r="H178" s="948"/>
      <c r="I178" s="948"/>
      <c r="J178" s="948"/>
      <c r="K178" s="949"/>
      <c r="L178" s="947" t="s">
        <v>705</v>
      </c>
      <c r="M178" s="948"/>
      <c r="N178" s="948"/>
      <c r="O178" s="948"/>
      <c r="P178" s="948"/>
      <c r="Q178" s="948"/>
      <c r="R178" s="948"/>
      <c r="S178" s="948"/>
      <c r="T178" s="948"/>
      <c r="U178" s="948"/>
      <c r="V178" s="948"/>
      <c r="W178" s="949"/>
      <c r="X178" s="947" t="s">
        <v>705</v>
      </c>
      <c r="Y178" s="948"/>
      <c r="Z178" s="948"/>
      <c r="AA178" s="948"/>
      <c r="AB178" s="948"/>
      <c r="AC178" s="948"/>
      <c r="AD178" s="948"/>
      <c r="AE178" s="948"/>
      <c r="AF178" s="948"/>
      <c r="AG178" s="948"/>
      <c r="AH178" s="948"/>
      <c r="AI178" s="948"/>
      <c r="AJ178" s="949"/>
      <c r="AK178" s="531"/>
    </row>
    <row r="179" spans="1:37" s="532" customFormat="1" ht="21.95" customHeight="1">
      <c r="A179" s="530"/>
      <c r="B179" s="950"/>
      <c r="C179" s="951"/>
      <c r="D179" s="951"/>
      <c r="E179" s="951"/>
      <c r="F179" s="951"/>
      <c r="G179" s="951"/>
      <c r="H179" s="951"/>
      <c r="I179" s="951"/>
      <c r="J179" s="951"/>
      <c r="K179" s="952"/>
      <c r="L179" s="953" t="s">
        <v>706</v>
      </c>
      <c r="M179" s="954"/>
      <c r="N179" s="954"/>
      <c r="O179" s="954"/>
      <c r="P179" s="954"/>
      <c r="Q179" s="954"/>
      <c r="R179" s="954"/>
      <c r="S179" s="954"/>
      <c r="T179" s="954"/>
      <c r="U179" s="954"/>
      <c r="V179" s="954"/>
      <c r="W179" s="955"/>
      <c r="X179" s="953" t="s">
        <v>706</v>
      </c>
      <c r="Y179" s="954"/>
      <c r="Z179" s="954"/>
      <c r="AA179" s="954"/>
      <c r="AB179" s="954"/>
      <c r="AC179" s="954"/>
      <c r="AD179" s="954"/>
      <c r="AE179" s="954"/>
      <c r="AF179" s="954"/>
      <c r="AG179" s="954"/>
      <c r="AH179" s="954"/>
      <c r="AI179" s="954"/>
      <c r="AJ179" s="955"/>
      <c r="AK179" s="531"/>
    </row>
    <row r="180" spans="1:37" s="532" customFormat="1" ht="5.25" customHeight="1">
      <c r="A180" s="540"/>
      <c r="B180" s="946"/>
      <c r="C180" s="946"/>
      <c r="D180" s="946"/>
      <c r="E180" s="946"/>
      <c r="F180" s="946"/>
      <c r="G180" s="946"/>
      <c r="H180" s="946"/>
      <c r="I180" s="946"/>
      <c r="J180" s="946"/>
      <c r="K180" s="946"/>
      <c r="L180" s="946"/>
      <c r="M180" s="946"/>
      <c r="N180" s="946"/>
      <c r="O180" s="946"/>
      <c r="P180" s="946"/>
      <c r="Q180" s="946"/>
      <c r="R180" s="946"/>
      <c r="S180" s="946"/>
      <c r="T180" s="946"/>
      <c r="U180" s="946"/>
      <c r="V180" s="946"/>
      <c r="W180" s="946"/>
      <c r="X180" s="946"/>
      <c r="Y180" s="946"/>
      <c r="Z180" s="946"/>
      <c r="AA180" s="946"/>
      <c r="AB180" s="946"/>
      <c r="AC180" s="946"/>
      <c r="AD180" s="946"/>
      <c r="AE180" s="946"/>
      <c r="AF180" s="946"/>
      <c r="AG180" s="946"/>
      <c r="AH180" s="946"/>
      <c r="AI180" s="946"/>
      <c r="AJ180" s="946"/>
      <c r="AK180" s="541"/>
    </row>
    <row r="181" spans="1:37" s="532" customFormat="1" ht="18" customHeight="1"/>
    <row r="182" spans="1:37" s="532" customFormat="1" ht="18" customHeight="1"/>
    <row r="183" spans="1:37" s="532" customFormat="1" ht="18" customHeight="1"/>
    <row r="184" spans="1:37" s="532" customFormat="1" ht="18" customHeight="1"/>
    <row r="185" spans="1:37" s="532" customFormat="1" ht="18" customHeight="1"/>
    <row r="186" spans="1:37" ht="18" customHeight="1"/>
    <row r="187" spans="1:37" ht="18" customHeight="1"/>
    <row r="188" spans="1:37" ht="18" customHeight="1"/>
    <row r="189" spans="1:37" ht="18" customHeight="1"/>
    <row r="190" spans="1:37" ht="18" customHeight="1"/>
    <row r="191" spans="1:37" ht="18" customHeight="1"/>
    <row r="192" spans="1:3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</sheetData>
  <mergeCells count="377">
    <mergeCell ref="B180:AJ180"/>
    <mergeCell ref="AF130:AJ130"/>
    <mergeCell ref="B177:K177"/>
    <mergeCell ref="L177:W177"/>
    <mergeCell ref="X177:AJ177"/>
    <mergeCell ref="B178:K179"/>
    <mergeCell ref="L178:W178"/>
    <mergeCell ref="X178:AJ178"/>
    <mergeCell ref="L179:W179"/>
    <mergeCell ref="X179:AJ179"/>
    <mergeCell ref="B175:K175"/>
    <mergeCell ref="L175:W175"/>
    <mergeCell ref="X175:AJ175"/>
    <mergeCell ref="B176:K176"/>
    <mergeCell ref="L176:W176"/>
    <mergeCell ref="X176:AJ176"/>
    <mergeCell ref="B170:AJ170"/>
    <mergeCell ref="B171:AJ171"/>
    <mergeCell ref="B172:AJ172"/>
    <mergeCell ref="B173:AJ173"/>
    <mergeCell ref="B174:K174"/>
    <mergeCell ref="L174:W174"/>
    <mergeCell ref="X174:AJ174"/>
    <mergeCell ref="B164:AJ164"/>
    <mergeCell ref="B165:AJ165"/>
    <mergeCell ref="B166:AJ166"/>
    <mergeCell ref="B167:AJ167"/>
    <mergeCell ref="B168:AJ168"/>
    <mergeCell ref="B169:AJ169"/>
    <mergeCell ref="B160:R160"/>
    <mergeCell ref="S160:AJ160"/>
    <mergeCell ref="B161:R161"/>
    <mergeCell ref="S161:AJ161"/>
    <mergeCell ref="B162:AJ162"/>
    <mergeCell ref="B163:AJ163"/>
    <mergeCell ref="B153:AJ153"/>
    <mergeCell ref="B154:R154"/>
    <mergeCell ref="S154:AJ154"/>
    <mergeCell ref="B155:N155"/>
    <mergeCell ref="O155:R155"/>
    <mergeCell ref="S155:AJ159"/>
    <mergeCell ref="B156:R156"/>
    <mergeCell ref="B157:R158"/>
    <mergeCell ref="B159:R159"/>
    <mergeCell ref="B150:AE150"/>
    <mergeCell ref="AF150:AJ150"/>
    <mergeCell ref="B151:AE151"/>
    <mergeCell ref="AF151:AJ151"/>
    <mergeCell ref="B152:N152"/>
    <mergeCell ref="O152:R152"/>
    <mergeCell ref="S152:AE152"/>
    <mergeCell ref="AF152:AJ152"/>
    <mergeCell ref="B147:AE147"/>
    <mergeCell ref="AF147:AJ147"/>
    <mergeCell ref="B148:AE148"/>
    <mergeCell ref="AF148:AJ148"/>
    <mergeCell ref="B149:AE149"/>
    <mergeCell ref="AF149:AJ149"/>
    <mergeCell ref="B144:AE144"/>
    <mergeCell ref="AF144:AJ144"/>
    <mergeCell ref="B145:AE145"/>
    <mergeCell ref="AF145:AJ145"/>
    <mergeCell ref="B146:E146"/>
    <mergeCell ref="F146:AJ146"/>
    <mergeCell ref="B141:AE141"/>
    <mergeCell ref="AF141:AJ141"/>
    <mergeCell ref="B142:AE142"/>
    <mergeCell ref="AF142:AJ142"/>
    <mergeCell ref="B143:AE143"/>
    <mergeCell ref="AF143:AJ143"/>
    <mergeCell ref="B136:AJ136"/>
    <mergeCell ref="B138:AE138"/>
    <mergeCell ref="AF138:AJ138"/>
    <mergeCell ref="B139:AE139"/>
    <mergeCell ref="AF139:AJ139"/>
    <mergeCell ref="B140:AE140"/>
    <mergeCell ref="AF140:AJ140"/>
    <mergeCell ref="B133:AE133"/>
    <mergeCell ref="AF133:AJ133"/>
    <mergeCell ref="B134:AE134"/>
    <mergeCell ref="AF134:AJ134"/>
    <mergeCell ref="B135:AE135"/>
    <mergeCell ref="AF135:AJ135"/>
    <mergeCell ref="B130:AE130"/>
    <mergeCell ref="AF129:AJ129"/>
    <mergeCell ref="B131:AE131"/>
    <mergeCell ref="AF131:AJ131"/>
    <mergeCell ref="B132:AE132"/>
    <mergeCell ref="AF132:AJ132"/>
    <mergeCell ref="B127:AE127"/>
    <mergeCell ref="AF127:AJ127"/>
    <mergeCell ref="B128:AE128"/>
    <mergeCell ref="AF128:AJ128"/>
    <mergeCell ref="B129:AE129"/>
    <mergeCell ref="B124:AE124"/>
    <mergeCell ref="AF124:AJ124"/>
    <mergeCell ref="B125:AE125"/>
    <mergeCell ref="AF125:AJ125"/>
    <mergeCell ref="B126:AE126"/>
    <mergeCell ref="AF126:AJ126"/>
    <mergeCell ref="B121:AE121"/>
    <mergeCell ref="AF121:AJ121"/>
    <mergeCell ref="B122:AE122"/>
    <mergeCell ref="AF122:AJ122"/>
    <mergeCell ref="B123:AE123"/>
    <mergeCell ref="AF123:AJ123"/>
    <mergeCell ref="B118:E118"/>
    <mergeCell ref="F118:AJ118"/>
    <mergeCell ref="B119:AE119"/>
    <mergeCell ref="AF119:AJ119"/>
    <mergeCell ref="B120:AE120"/>
    <mergeCell ref="AF120:AJ120"/>
    <mergeCell ref="B115:AE115"/>
    <mergeCell ref="AF115:AJ115"/>
    <mergeCell ref="B116:AE116"/>
    <mergeCell ref="AF116:AJ116"/>
    <mergeCell ref="B117:AE117"/>
    <mergeCell ref="AF117:AJ117"/>
    <mergeCell ref="B112:AE112"/>
    <mergeCell ref="AF112:AJ112"/>
    <mergeCell ref="B113:AE113"/>
    <mergeCell ref="AF113:AJ113"/>
    <mergeCell ref="B114:AE114"/>
    <mergeCell ref="AF114:AJ114"/>
    <mergeCell ref="B109:AE109"/>
    <mergeCell ref="AF109:AJ109"/>
    <mergeCell ref="B110:AE110"/>
    <mergeCell ref="AF110:AJ110"/>
    <mergeCell ref="B111:AE111"/>
    <mergeCell ref="AF111:AJ111"/>
    <mergeCell ref="B106:AE106"/>
    <mergeCell ref="AF106:AJ106"/>
    <mergeCell ref="B107:AE107"/>
    <mergeCell ref="AF107:AJ107"/>
    <mergeCell ref="B108:AE108"/>
    <mergeCell ref="AF108:AJ108"/>
    <mergeCell ref="B103:AE103"/>
    <mergeCell ref="AF103:AJ103"/>
    <mergeCell ref="B104:AE104"/>
    <mergeCell ref="AF104:AJ104"/>
    <mergeCell ref="B105:AE105"/>
    <mergeCell ref="AF105:AJ105"/>
    <mergeCell ref="B100:AE100"/>
    <mergeCell ref="AF100:AJ100"/>
    <mergeCell ref="B101:AE101"/>
    <mergeCell ref="AF101:AJ101"/>
    <mergeCell ref="B102:AE102"/>
    <mergeCell ref="AF102:AJ102"/>
    <mergeCell ref="B96:AE96"/>
    <mergeCell ref="AF96:AJ96"/>
    <mergeCell ref="B97:AE97"/>
    <mergeCell ref="AF97:AJ97"/>
    <mergeCell ref="B98:AJ98"/>
    <mergeCell ref="B99:AE99"/>
    <mergeCell ref="AF99:AJ99"/>
    <mergeCell ref="B92:AE92"/>
    <mergeCell ref="AF92:AJ92"/>
    <mergeCell ref="B93:AJ93"/>
    <mergeCell ref="B94:AJ94"/>
    <mergeCell ref="B95:AE95"/>
    <mergeCell ref="AF95:AJ95"/>
    <mergeCell ref="B89:AE89"/>
    <mergeCell ref="AF89:AJ89"/>
    <mergeCell ref="B90:AE90"/>
    <mergeCell ref="AF90:AJ90"/>
    <mergeCell ref="B91:AE91"/>
    <mergeCell ref="AF91:AJ91"/>
    <mergeCell ref="B86:AE86"/>
    <mergeCell ref="AF86:AJ86"/>
    <mergeCell ref="B87:AE87"/>
    <mergeCell ref="AF87:AJ87"/>
    <mergeCell ref="B88:AE88"/>
    <mergeCell ref="AF88:AJ88"/>
    <mergeCell ref="B83:AE83"/>
    <mergeCell ref="AF83:AJ83"/>
    <mergeCell ref="B84:AE84"/>
    <mergeCell ref="AF84:AJ84"/>
    <mergeCell ref="B85:AE85"/>
    <mergeCell ref="AF85:AJ85"/>
    <mergeCell ref="B79:E79"/>
    <mergeCell ref="F79:AJ79"/>
    <mergeCell ref="B80:AJ80"/>
    <mergeCell ref="B81:AE81"/>
    <mergeCell ref="AF81:AJ81"/>
    <mergeCell ref="B82:AE82"/>
    <mergeCell ref="AF82:AJ82"/>
    <mergeCell ref="B77:J77"/>
    <mergeCell ref="K77:Q77"/>
    <mergeCell ref="R77:X77"/>
    <mergeCell ref="Y77:AE77"/>
    <mergeCell ref="AF77:AJ77"/>
    <mergeCell ref="B78:J78"/>
    <mergeCell ref="K78:Q78"/>
    <mergeCell ref="R78:X78"/>
    <mergeCell ref="Y78:AE78"/>
    <mergeCell ref="AF78:AJ78"/>
    <mergeCell ref="B75:J75"/>
    <mergeCell ref="K75:Q75"/>
    <mergeCell ref="R75:X75"/>
    <mergeCell ref="Y75:AE75"/>
    <mergeCell ref="AF75:AJ75"/>
    <mergeCell ref="B76:J76"/>
    <mergeCell ref="K76:Q76"/>
    <mergeCell ref="R76:X76"/>
    <mergeCell ref="Y76:AE76"/>
    <mergeCell ref="AF76:AJ76"/>
    <mergeCell ref="B73:O73"/>
    <mergeCell ref="P73:W73"/>
    <mergeCell ref="X73:AE73"/>
    <mergeCell ref="AF73:AJ73"/>
    <mergeCell ref="B74:E74"/>
    <mergeCell ref="F74:AJ74"/>
    <mergeCell ref="B71:O71"/>
    <mergeCell ref="P71:W71"/>
    <mergeCell ref="X71:AE71"/>
    <mergeCell ref="AF71:AJ71"/>
    <mergeCell ref="B72:O72"/>
    <mergeCell ref="P72:W72"/>
    <mergeCell ref="X72:AE72"/>
    <mergeCell ref="AF72:AJ72"/>
    <mergeCell ref="B69:O69"/>
    <mergeCell ref="P69:W69"/>
    <mergeCell ref="X69:AE69"/>
    <mergeCell ref="AF69:AJ69"/>
    <mergeCell ref="B70:O70"/>
    <mergeCell ref="P70:W70"/>
    <mergeCell ref="X70:AE70"/>
    <mergeCell ref="AF70:AJ70"/>
    <mergeCell ref="B67:J67"/>
    <mergeCell ref="K67:R67"/>
    <mergeCell ref="S67:AE67"/>
    <mergeCell ref="AF67:AJ67"/>
    <mergeCell ref="B68:E68"/>
    <mergeCell ref="F68:AJ68"/>
    <mergeCell ref="B65:J65"/>
    <mergeCell ref="K65:R65"/>
    <mergeCell ref="S65:AE65"/>
    <mergeCell ref="AF65:AJ65"/>
    <mergeCell ref="B66:J66"/>
    <mergeCell ref="K66:R66"/>
    <mergeCell ref="S66:AE66"/>
    <mergeCell ref="AF66:AJ66"/>
    <mergeCell ref="B63:J63"/>
    <mergeCell ref="K63:R63"/>
    <mergeCell ref="S63:AE63"/>
    <mergeCell ref="AF63:AJ63"/>
    <mergeCell ref="B64:J64"/>
    <mergeCell ref="K64:R64"/>
    <mergeCell ref="S64:AE64"/>
    <mergeCell ref="AF64:AJ64"/>
    <mergeCell ref="B59:AE59"/>
    <mergeCell ref="AF59:AJ59"/>
    <mergeCell ref="B60:AE60"/>
    <mergeCell ref="AF60:AJ60"/>
    <mergeCell ref="B61:AJ61"/>
    <mergeCell ref="B62:AJ62"/>
    <mergeCell ref="B56:AE56"/>
    <mergeCell ref="AF56:AJ56"/>
    <mergeCell ref="B57:AE57"/>
    <mergeCell ref="AF57:AJ57"/>
    <mergeCell ref="B58:AE58"/>
    <mergeCell ref="AF58:AJ58"/>
    <mergeCell ref="B53:AE53"/>
    <mergeCell ref="AF53:AJ53"/>
    <mergeCell ref="B54:AE54"/>
    <mergeCell ref="AF54:AJ54"/>
    <mergeCell ref="B55:AE55"/>
    <mergeCell ref="AF55:AJ55"/>
    <mergeCell ref="B49:AJ49"/>
    <mergeCell ref="B50:AJ50"/>
    <mergeCell ref="B51:AE51"/>
    <mergeCell ref="AF51:AJ51"/>
    <mergeCell ref="B52:AE52"/>
    <mergeCell ref="AF52:AJ52"/>
    <mergeCell ref="B46:AE46"/>
    <mergeCell ref="AF46:AJ46"/>
    <mergeCell ref="B47:AE47"/>
    <mergeCell ref="AF47:AJ47"/>
    <mergeCell ref="B48:AE48"/>
    <mergeCell ref="AF48:AJ48"/>
    <mergeCell ref="B43:E43"/>
    <mergeCell ref="F43:AJ43"/>
    <mergeCell ref="B44:AE44"/>
    <mergeCell ref="AF44:AJ44"/>
    <mergeCell ref="B45:AE45"/>
    <mergeCell ref="AF45:AJ45"/>
    <mergeCell ref="B40:AE40"/>
    <mergeCell ref="AF40:AJ40"/>
    <mergeCell ref="B41:AE41"/>
    <mergeCell ref="AF41:AJ41"/>
    <mergeCell ref="B42:AE42"/>
    <mergeCell ref="AF42:AJ42"/>
    <mergeCell ref="B37:AE37"/>
    <mergeCell ref="AF37:AJ37"/>
    <mergeCell ref="B38:AE38"/>
    <mergeCell ref="AF38:AJ38"/>
    <mergeCell ref="B39:AE39"/>
    <mergeCell ref="AF39:AJ39"/>
    <mergeCell ref="B34:AE34"/>
    <mergeCell ref="AF34:AJ34"/>
    <mergeCell ref="B35:AE35"/>
    <mergeCell ref="AF35:AJ35"/>
    <mergeCell ref="B36:AE36"/>
    <mergeCell ref="AF36:AJ36"/>
    <mergeCell ref="B30:AE30"/>
    <mergeCell ref="AF30:AJ30"/>
    <mergeCell ref="B31:AE31"/>
    <mergeCell ref="AF31:AJ31"/>
    <mergeCell ref="B32:AJ32"/>
    <mergeCell ref="B33:AE33"/>
    <mergeCell ref="AF33:AJ33"/>
    <mergeCell ref="B26:AE26"/>
    <mergeCell ref="AF26:AJ26"/>
    <mergeCell ref="B27:AJ27"/>
    <mergeCell ref="B28:AJ28"/>
    <mergeCell ref="B29:AE29"/>
    <mergeCell ref="AF29:AJ29"/>
    <mergeCell ref="G23:H23"/>
    <mergeCell ref="AC23:AD23"/>
    <mergeCell ref="AF23:AJ23"/>
    <mergeCell ref="B24:AJ24"/>
    <mergeCell ref="B25:E25"/>
    <mergeCell ref="F25:AJ25"/>
    <mergeCell ref="B20:H20"/>
    <mergeCell ref="I20:U20"/>
    <mergeCell ref="V20:AA20"/>
    <mergeCell ref="AB20:AJ20"/>
    <mergeCell ref="B21:AJ21"/>
    <mergeCell ref="B22:F23"/>
    <mergeCell ref="G22:H22"/>
    <mergeCell ref="J22:AB23"/>
    <mergeCell ref="AC22:AD22"/>
    <mergeCell ref="AF22:AH22"/>
    <mergeCell ref="B17:I17"/>
    <mergeCell ref="J17:AJ17"/>
    <mergeCell ref="B18:AJ18"/>
    <mergeCell ref="B19:C19"/>
    <mergeCell ref="D19:F19"/>
    <mergeCell ref="G19:I19"/>
    <mergeCell ref="J19:M19"/>
    <mergeCell ref="P19:V19"/>
    <mergeCell ref="W19:Z19"/>
    <mergeCell ref="AA19:AJ19"/>
    <mergeCell ref="B12:AJ12"/>
    <mergeCell ref="B13:AJ13"/>
    <mergeCell ref="B14:D14"/>
    <mergeCell ref="E14:AJ14"/>
    <mergeCell ref="B15:AJ15"/>
    <mergeCell ref="B16:Z16"/>
    <mergeCell ref="Z9:AJ9"/>
    <mergeCell ref="B10:H10"/>
    <mergeCell ref="M10:R10"/>
    <mergeCell ref="S10:Y10"/>
    <mergeCell ref="Z10:AJ10"/>
    <mergeCell ref="B11:AJ11"/>
    <mergeCell ref="B8:B9"/>
    <mergeCell ref="C8:G9"/>
    <mergeCell ref="H8:H9"/>
    <mergeCell ref="I8:L10"/>
    <mergeCell ref="M8:Y8"/>
    <mergeCell ref="M9:Y9"/>
    <mergeCell ref="M5:AJ5"/>
    <mergeCell ref="M6:Y6"/>
    <mergeCell ref="Z6:AJ8"/>
    <mergeCell ref="M7:O7"/>
    <mergeCell ref="P7:S7"/>
    <mergeCell ref="T7:Y7"/>
    <mergeCell ref="B1:AJ1"/>
    <mergeCell ref="B2:F2"/>
    <mergeCell ref="G2:L2"/>
    <mergeCell ref="M2:AJ2"/>
    <mergeCell ref="B3:L7"/>
    <mergeCell ref="M3:AJ3"/>
    <mergeCell ref="M4:Q4"/>
    <mergeCell ref="S4:Z4"/>
    <mergeCell ref="AB4:AG4"/>
    <mergeCell ref="AI4:AJ4"/>
  </mergeCells>
  <printOptions horizontalCentered="1"/>
  <pageMargins left="0.35433070866141736" right="0.35433070866141736" top="0.39370078740157483" bottom="0.59055118110236227" header="0.51181102362204722" footer="0.51181102362204722"/>
  <pageSetup paperSize="9" scale="73" fitToHeight="0" orientation="portrait" horizontalDpi="300" verticalDpi="300" r:id="rId1"/>
  <headerFooter alignWithMargins="0">
    <oddFooter>&amp;L&amp;6&amp;P</oddFooter>
  </headerFooter>
  <rowBreaks count="3" manualBreakCount="3">
    <brk id="49" max="16383" man="1"/>
    <brk id="93" max="16383" man="1"/>
    <brk id="136" max="16383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20481" r:id="rId4">
          <objectPr defaultSize="0" autoPict="0" r:id="rId5">
            <anchor moveWithCells="1" sizeWithCells="1">
              <from>
                <xdr:col>1</xdr:col>
                <xdr:colOff>47625</xdr:colOff>
                <xdr:row>1</xdr:row>
                <xdr:rowOff>47625</xdr:rowOff>
              </from>
              <to>
                <xdr:col>5</xdr:col>
                <xdr:colOff>95250</xdr:colOff>
                <xdr:row>3</xdr:row>
                <xdr:rowOff>142875</xdr:rowOff>
              </to>
            </anchor>
          </objectPr>
        </oleObject>
      </mc:Choice>
      <mc:Fallback>
        <oleObject progId="Word.Picture.8" shapeId="20481" r:id="rId4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B604"/>
  <sheetViews>
    <sheetView view="pageLayout" topLeftCell="D98" zoomScaleNormal="100" workbookViewId="0">
      <selection activeCell="BA103" sqref="BA103:BA106"/>
    </sheetView>
  </sheetViews>
  <sheetFormatPr defaultRowHeight="12.75"/>
  <cols>
    <col min="1" max="1" width="2.42578125" style="544" customWidth="1"/>
    <col min="2" max="2" width="3" style="544" bestFit="1" customWidth="1"/>
    <col min="3" max="3" width="2.7109375" style="544" customWidth="1"/>
    <col min="4" max="4" width="3" style="544" bestFit="1" customWidth="1"/>
    <col min="5" max="5" width="3.42578125" style="544" customWidth="1"/>
    <col min="6" max="6" width="0.5703125" style="544" customWidth="1"/>
    <col min="7" max="7" width="3.42578125" style="544" customWidth="1"/>
    <col min="8" max="8" width="0.5703125" style="544" customWidth="1"/>
    <col min="9" max="9" width="3.42578125" style="544" customWidth="1"/>
    <col min="10" max="10" width="0.5703125" style="544" customWidth="1"/>
    <col min="11" max="11" width="3.42578125" style="544" customWidth="1"/>
    <col min="12" max="12" width="2.28515625" style="544" customWidth="1"/>
    <col min="13" max="14" width="2.7109375" style="544" customWidth="1"/>
    <col min="15" max="15" width="4" style="544" customWidth="1"/>
    <col min="16" max="16" width="2.85546875" style="544" customWidth="1"/>
    <col min="17" max="17" width="0.7109375" style="544" customWidth="1"/>
    <col min="18" max="18" width="3" style="544" bestFit="1" customWidth="1"/>
    <col min="19" max="19" width="2.7109375" style="544" customWidth="1"/>
    <col min="20" max="20" width="0.7109375" style="544" customWidth="1"/>
    <col min="21" max="21" width="2.7109375" style="544" customWidth="1"/>
    <col min="22" max="22" width="0.7109375" style="544" customWidth="1"/>
    <col min="23" max="23" width="2.7109375" style="544" customWidth="1"/>
    <col min="24" max="24" width="1" style="544" customWidth="1"/>
    <col min="25" max="25" width="3" style="544" bestFit="1" customWidth="1"/>
    <col min="26" max="26" width="0.7109375" style="544" customWidth="1"/>
    <col min="27" max="27" width="2.7109375" style="544" customWidth="1"/>
    <col min="28" max="28" width="0.5703125" style="544" customWidth="1"/>
    <col min="29" max="29" width="2.7109375" style="544" customWidth="1"/>
    <col min="30" max="30" width="0.7109375" style="544" customWidth="1"/>
    <col min="31" max="31" width="2.7109375" style="544" customWidth="1"/>
    <col min="32" max="32" width="0.5703125" style="544" customWidth="1"/>
    <col min="33" max="33" width="2.7109375" style="544" customWidth="1"/>
    <col min="34" max="34" width="0.42578125" style="544" customWidth="1"/>
    <col min="35" max="35" width="3" style="544" bestFit="1" customWidth="1"/>
    <col min="36" max="36" width="0.5703125" style="544" customWidth="1"/>
    <col min="37" max="37" width="3" style="544" bestFit="1" customWidth="1"/>
    <col min="38" max="38" width="0.7109375" style="544" customWidth="1"/>
    <col min="39" max="39" width="2.7109375" style="544" customWidth="1"/>
    <col min="40" max="40" width="0.5703125" style="544" customWidth="1"/>
    <col min="41" max="41" width="2.7109375" style="544" customWidth="1"/>
    <col min="42" max="42" width="0.5703125" style="544" customWidth="1"/>
    <col min="43" max="43" width="2.7109375" style="544" customWidth="1"/>
    <col min="44" max="44" width="0.5703125" style="544" customWidth="1"/>
    <col min="45" max="45" width="2.7109375" style="544" customWidth="1"/>
    <col min="46" max="46" width="0.5703125" style="544" customWidth="1"/>
    <col min="47" max="47" width="2.7109375" style="544" customWidth="1"/>
    <col min="48" max="48" width="0.7109375" style="544" customWidth="1"/>
    <col min="49" max="49" width="2" style="544" customWidth="1"/>
    <col min="50" max="50" width="3.7109375" style="544" customWidth="1"/>
    <col min="51" max="51" width="2.42578125" style="544" customWidth="1"/>
    <col min="52" max="53" width="2.7109375" style="544" customWidth="1"/>
    <col min="54" max="54" width="7.5703125" style="544" bestFit="1" customWidth="1"/>
    <col min="55" max="76" width="2.7109375" style="544" customWidth="1"/>
    <col min="77" max="256" width="9.140625" style="544"/>
    <col min="257" max="257" width="2.42578125" style="544" customWidth="1"/>
    <col min="258" max="258" width="3" style="544" bestFit="1" customWidth="1"/>
    <col min="259" max="259" width="2.7109375" style="544" customWidth="1"/>
    <col min="260" max="260" width="3" style="544" bestFit="1" customWidth="1"/>
    <col min="261" max="261" width="3.42578125" style="544" customWidth="1"/>
    <col min="262" max="262" width="0.5703125" style="544" customWidth="1"/>
    <col min="263" max="263" width="3.42578125" style="544" customWidth="1"/>
    <col min="264" max="264" width="0.5703125" style="544" customWidth="1"/>
    <col min="265" max="265" width="3.42578125" style="544" customWidth="1"/>
    <col min="266" max="266" width="0.5703125" style="544" customWidth="1"/>
    <col min="267" max="267" width="3.42578125" style="544" customWidth="1"/>
    <col min="268" max="268" width="2.28515625" style="544" customWidth="1"/>
    <col min="269" max="270" width="2.7109375" style="544" customWidth="1"/>
    <col min="271" max="271" width="4" style="544" customWidth="1"/>
    <col min="272" max="272" width="2.85546875" style="544" customWidth="1"/>
    <col min="273" max="273" width="0.7109375" style="544" customWidth="1"/>
    <col min="274" max="274" width="3" style="544" bestFit="1" customWidth="1"/>
    <col min="275" max="275" width="2.7109375" style="544" customWidth="1"/>
    <col min="276" max="276" width="0.7109375" style="544" customWidth="1"/>
    <col min="277" max="277" width="2.7109375" style="544" customWidth="1"/>
    <col min="278" max="278" width="0.7109375" style="544" customWidth="1"/>
    <col min="279" max="279" width="2.7109375" style="544" customWidth="1"/>
    <col min="280" max="280" width="1" style="544" customWidth="1"/>
    <col min="281" max="281" width="3" style="544" bestFit="1" customWidth="1"/>
    <col min="282" max="282" width="0.7109375" style="544" customWidth="1"/>
    <col min="283" max="283" width="2.7109375" style="544" customWidth="1"/>
    <col min="284" max="284" width="0.5703125" style="544" customWidth="1"/>
    <col min="285" max="285" width="2.7109375" style="544" customWidth="1"/>
    <col min="286" max="286" width="0.7109375" style="544" customWidth="1"/>
    <col min="287" max="287" width="2.7109375" style="544" customWidth="1"/>
    <col min="288" max="288" width="0.5703125" style="544" customWidth="1"/>
    <col min="289" max="289" width="2.7109375" style="544" customWidth="1"/>
    <col min="290" max="290" width="0.42578125" style="544" customWidth="1"/>
    <col min="291" max="291" width="3" style="544" bestFit="1" customWidth="1"/>
    <col min="292" max="292" width="0.5703125" style="544" customWidth="1"/>
    <col min="293" max="293" width="3" style="544" bestFit="1" customWidth="1"/>
    <col min="294" max="294" width="0.7109375" style="544" customWidth="1"/>
    <col min="295" max="295" width="2.7109375" style="544" customWidth="1"/>
    <col min="296" max="296" width="0.5703125" style="544" customWidth="1"/>
    <col min="297" max="297" width="2.7109375" style="544" customWidth="1"/>
    <col min="298" max="298" width="0.5703125" style="544" customWidth="1"/>
    <col min="299" max="299" width="2.7109375" style="544" customWidth="1"/>
    <col min="300" max="300" width="0.5703125" style="544" customWidth="1"/>
    <col min="301" max="301" width="2.7109375" style="544" customWidth="1"/>
    <col min="302" max="302" width="0.5703125" style="544" customWidth="1"/>
    <col min="303" max="303" width="2.7109375" style="544" customWidth="1"/>
    <col min="304" max="304" width="0.7109375" style="544" customWidth="1"/>
    <col min="305" max="305" width="2" style="544" customWidth="1"/>
    <col min="306" max="306" width="3.7109375" style="544" customWidth="1"/>
    <col min="307" max="307" width="2.42578125" style="544" customWidth="1"/>
    <col min="308" max="332" width="2.7109375" style="544" customWidth="1"/>
    <col min="333" max="512" width="9.140625" style="544"/>
    <col min="513" max="513" width="2.42578125" style="544" customWidth="1"/>
    <col min="514" max="514" width="3" style="544" bestFit="1" customWidth="1"/>
    <col min="515" max="515" width="2.7109375" style="544" customWidth="1"/>
    <col min="516" max="516" width="3" style="544" bestFit="1" customWidth="1"/>
    <col min="517" max="517" width="3.42578125" style="544" customWidth="1"/>
    <col min="518" max="518" width="0.5703125" style="544" customWidth="1"/>
    <col min="519" max="519" width="3.42578125" style="544" customWidth="1"/>
    <col min="520" max="520" width="0.5703125" style="544" customWidth="1"/>
    <col min="521" max="521" width="3.42578125" style="544" customWidth="1"/>
    <col min="522" max="522" width="0.5703125" style="544" customWidth="1"/>
    <col min="523" max="523" width="3.42578125" style="544" customWidth="1"/>
    <col min="524" max="524" width="2.28515625" style="544" customWidth="1"/>
    <col min="525" max="526" width="2.7109375" style="544" customWidth="1"/>
    <col min="527" max="527" width="4" style="544" customWidth="1"/>
    <col min="528" max="528" width="2.85546875" style="544" customWidth="1"/>
    <col min="529" max="529" width="0.7109375" style="544" customWidth="1"/>
    <col min="530" max="530" width="3" style="544" bestFit="1" customWidth="1"/>
    <col min="531" max="531" width="2.7109375" style="544" customWidth="1"/>
    <col min="532" max="532" width="0.7109375" style="544" customWidth="1"/>
    <col min="533" max="533" width="2.7109375" style="544" customWidth="1"/>
    <col min="534" max="534" width="0.7109375" style="544" customWidth="1"/>
    <col min="535" max="535" width="2.7109375" style="544" customWidth="1"/>
    <col min="536" max="536" width="1" style="544" customWidth="1"/>
    <col min="537" max="537" width="3" style="544" bestFit="1" customWidth="1"/>
    <col min="538" max="538" width="0.7109375" style="544" customWidth="1"/>
    <col min="539" max="539" width="2.7109375" style="544" customWidth="1"/>
    <col min="540" max="540" width="0.5703125" style="544" customWidth="1"/>
    <col min="541" max="541" width="2.7109375" style="544" customWidth="1"/>
    <col min="542" max="542" width="0.7109375" style="544" customWidth="1"/>
    <col min="543" max="543" width="2.7109375" style="544" customWidth="1"/>
    <col min="544" max="544" width="0.5703125" style="544" customWidth="1"/>
    <col min="545" max="545" width="2.7109375" style="544" customWidth="1"/>
    <col min="546" max="546" width="0.42578125" style="544" customWidth="1"/>
    <col min="547" max="547" width="3" style="544" bestFit="1" customWidth="1"/>
    <col min="548" max="548" width="0.5703125" style="544" customWidth="1"/>
    <col min="549" max="549" width="3" style="544" bestFit="1" customWidth="1"/>
    <col min="550" max="550" width="0.7109375" style="544" customWidth="1"/>
    <col min="551" max="551" width="2.7109375" style="544" customWidth="1"/>
    <col min="552" max="552" width="0.5703125" style="544" customWidth="1"/>
    <col min="553" max="553" width="2.7109375" style="544" customWidth="1"/>
    <col min="554" max="554" width="0.5703125" style="544" customWidth="1"/>
    <col min="555" max="555" width="2.7109375" style="544" customWidth="1"/>
    <col min="556" max="556" width="0.5703125" style="544" customWidth="1"/>
    <col min="557" max="557" width="2.7109375" style="544" customWidth="1"/>
    <col min="558" max="558" width="0.5703125" style="544" customWidth="1"/>
    <col min="559" max="559" width="2.7109375" style="544" customWidth="1"/>
    <col min="560" max="560" width="0.7109375" style="544" customWidth="1"/>
    <col min="561" max="561" width="2" style="544" customWidth="1"/>
    <col min="562" max="562" width="3.7109375" style="544" customWidth="1"/>
    <col min="563" max="563" width="2.42578125" style="544" customWidth="1"/>
    <col min="564" max="588" width="2.7109375" style="544" customWidth="1"/>
    <col min="589" max="768" width="9.140625" style="544"/>
    <col min="769" max="769" width="2.42578125" style="544" customWidth="1"/>
    <col min="770" max="770" width="3" style="544" bestFit="1" customWidth="1"/>
    <col min="771" max="771" width="2.7109375" style="544" customWidth="1"/>
    <col min="772" max="772" width="3" style="544" bestFit="1" customWidth="1"/>
    <col min="773" max="773" width="3.42578125" style="544" customWidth="1"/>
    <col min="774" max="774" width="0.5703125" style="544" customWidth="1"/>
    <col min="775" max="775" width="3.42578125" style="544" customWidth="1"/>
    <col min="776" max="776" width="0.5703125" style="544" customWidth="1"/>
    <col min="777" max="777" width="3.42578125" style="544" customWidth="1"/>
    <col min="778" max="778" width="0.5703125" style="544" customWidth="1"/>
    <col min="779" max="779" width="3.42578125" style="544" customWidth="1"/>
    <col min="780" max="780" width="2.28515625" style="544" customWidth="1"/>
    <col min="781" max="782" width="2.7109375" style="544" customWidth="1"/>
    <col min="783" max="783" width="4" style="544" customWidth="1"/>
    <col min="784" max="784" width="2.85546875" style="544" customWidth="1"/>
    <col min="785" max="785" width="0.7109375" style="544" customWidth="1"/>
    <col min="786" max="786" width="3" style="544" bestFit="1" customWidth="1"/>
    <col min="787" max="787" width="2.7109375" style="544" customWidth="1"/>
    <col min="788" max="788" width="0.7109375" style="544" customWidth="1"/>
    <col min="789" max="789" width="2.7109375" style="544" customWidth="1"/>
    <col min="790" max="790" width="0.7109375" style="544" customWidth="1"/>
    <col min="791" max="791" width="2.7109375" style="544" customWidth="1"/>
    <col min="792" max="792" width="1" style="544" customWidth="1"/>
    <col min="793" max="793" width="3" style="544" bestFit="1" customWidth="1"/>
    <col min="794" max="794" width="0.7109375" style="544" customWidth="1"/>
    <col min="795" max="795" width="2.7109375" style="544" customWidth="1"/>
    <col min="796" max="796" width="0.5703125" style="544" customWidth="1"/>
    <col min="797" max="797" width="2.7109375" style="544" customWidth="1"/>
    <col min="798" max="798" width="0.7109375" style="544" customWidth="1"/>
    <col min="799" max="799" width="2.7109375" style="544" customWidth="1"/>
    <col min="800" max="800" width="0.5703125" style="544" customWidth="1"/>
    <col min="801" max="801" width="2.7109375" style="544" customWidth="1"/>
    <col min="802" max="802" width="0.42578125" style="544" customWidth="1"/>
    <col min="803" max="803" width="3" style="544" bestFit="1" customWidth="1"/>
    <col min="804" max="804" width="0.5703125" style="544" customWidth="1"/>
    <col min="805" max="805" width="3" style="544" bestFit="1" customWidth="1"/>
    <col min="806" max="806" width="0.7109375" style="544" customWidth="1"/>
    <col min="807" max="807" width="2.7109375" style="544" customWidth="1"/>
    <col min="808" max="808" width="0.5703125" style="544" customWidth="1"/>
    <col min="809" max="809" width="2.7109375" style="544" customWidth="1"/>
    <col min="810" max="810" width="0.5703125" style="544" customWidth="1"/>
    <col min="811" max="811" width="2.7109375" style="544" customWidth="1"/>
    <col min="812" max="812" width="0.5703125" style="544" customWidth="1"/>
    <col min="813" max="813" width="2.7109375" style="544" customWidth="1"/>
    <col min="814" max="814" width="0.5703125" style="544" customWidth="1"/>
    <col min="815" max="815" width="2.7109375" style="544" customWidth="1"/>
    <col min="816" max="816" width="0.7109375" style="544" customWidth="1"/>
    <col min="817" max="817" width="2" style="544" customWidth="1"/>
    <col min="818" max="818" width="3.7109375" style="544" customWidth="1"/>
    <col min="819" max="819" width="2.42578125" style="544" customWidth="1"/>
    <col min="820" max="844" width="2.7109375" style="544" customWidth="1"/>
    <col min="845" max="1024" width="9.140625" style="544"/>
    <col min="1025" max="1025" width="2.42578125" style="544" customWidth="1"/>
    <col min="1026" max="1026" width="3" style="544" bestFit="1" customWidth="1"/>
    <col min="1027" max="1027" width="2.7109375" style="544" customWidth="1"/>
    <col min="1028" max="1028" width="3" style="544" bestFit="1" customWidth="1"/>
    <col min="1029" max="1029" width="3.42578125" style="544" customWidth="1"/>
    <col min="1030" max="1030" width="0.5703125" style="544" customWidth="1"/>
    <col min="1031" max="1031" width="3.42578125" style="544" customWidth="1"/>
    <col min="1032" max="1032" width="0.5703125" style="544" customWidth="1"/>
    <col min="1033" max="1033" width="3.42578125" style="544" customWidth="1"/>
    <col min="1034" max="1034" width="0.5703125" style="544" customWidth="1"/>
    <col min="1035" max="1035" width="3.42578125" style="544" customWidth="1"/>
    <col min="1036" max="1036" width="2.28515625" style="544" customWidth="1"/>
    <col min="1037" max="1038" width="2.7109375" style="544" customWidth="1"/>
    <col min="1039" max="1039" width="4" style="544" customWidth="1"/>
    <col min="1040" max="1040" width="2.85546875" style="544" customWidth="1"/>
    <col min="1041" max="1041" width="0.7109375" style="544" customWidth="1"/>
    <col min="1042" max="1042" width="3" style="544" bestFit="1" customWidth="1"/>
    <col min="1043" max="1043" width="2.7109375" style="544" customWidth="1"/>
    <col min="1044" max="1044" width="0.7109375" style="544" customWidth="1"/>
    <col min="1045" max="1045" width="2.7109375" style="544" customWidth="1"/>
    <col min="1046" max="1046" width="0.7109375" style="544" customWidth="1"/>
    <col min="1047" max="1047" width="2.7109375" style="544" customWidth="1"/>
    <col min="1048" max="1048" width="1" style="544" customWidth="1"/>
    <col min="1049" max="1049" width="3" style="544" bestFit="1" customWidth="1"/>
    <col min="1050" max="1050" width="0.7109375" style="544" customWidth="1"/>
    <col min="1051" max="1051" width="2.7109375" style="544" customWidth="1"/>
    <col min="1052" max="1052" width="0.5703125" style="544" customWidth="1"/>
    <col min="1053" max="1053" width="2.7109375" style="544" customWidth="1"/>
    <col min="1054" max="1054" width="0.7109375" style="544" customWidth="1"/>
    <col min="1055" max="1055" width="2.7109375" style="544" customWidth="1"/>
    <col min="1056" max="1056" width="0.5703125" style="544" customWidth="1"/>
    <col min="1057" max="1057" width="2.7109375" style="544" customWidth="1"/>
    <col min="1058" max="1058" width="0.42578125" style="544" customWidth="1"/>
    <col min="1059" max="1059" width="3" style="544" bestFit="1" customWidth="1"/>
    <col min="1060" max="1060" width="0.5703125" style="544" customWidth="1"/>
    <col min="1061" max="1061" width="3" style="544" bestFit="1" customWidth="1"/>
    <col min="1062" max="1062" width="0.7109375" style="544" customWidth="1"/>
    <col min="1063" max="1063" width="2.7109375" style="544" customWidth="1"/>
    <col min="1064" max="1064" width="0.5703125" style="544" customWidth="1"/>
    <col min="1065" max="1065" width="2.7109375" style="544" customWidth="1"/>
    <col min="1066" max="1066" width="0.5703125" style="544" customWidth="1"/>
    <col min="1067" max="1067" width="2.7109375" style="544" customWidth="1"/>
    <col min="1068" max="1068" width="0.5703125" style="544" customWidth="1"/>
    <col min="1069" max="1069" width="2.7109375" style="544" customWidth="1"/>
    <col min="1070" max="1070" width="0.5703125" style="544" customWidth="1"/>
    <col min="1071" max="1071" width="2.7109375" style="544" customWidth="1"/>
    <col min="1072" max="1072" width="0.7109375" style="544" customWidth="1"/>
    <col min="1073" max="1073" width="2" style="544" customWidth="1"/>
    <col min="1074" max="1074" width="3.7109375" style="544" customWidth="1"/>
    <col min="1075" max="1075" width="2.42578125" style="544" customWidth="1"/>
    <col min="1076" max="1100" width="2.7109375" style="544" customWidth="1"/>
    <col min="1101" max="1280" width="9.140625" style="544"/>
    <col min="1281" max="1281" width="2.42578125" style="544" customWidth="1"/>
    <col min="1282" max="1282" width="3" style="544" bestFit="1" customWidth="1"/>
    <col min="1283" max="1283" width="2.7109375" style="544" customWidth="1"/>
    <col min="1284" max="1284" width="3" style="544" bestFit="1" customWidth="1"/>
    <col min="1285" max="1285" width="3.42578125" style="544" customWidth="1"/>
    <col min="1286" max="1286" width="0.5703125" style="544" customWidth="1"/>
    <col min="1287" max="1287" width="3.42578125" style="544" customWidth="1"/>
    <col min="1288" max="1288" width="0.5703125" style="544" customWidth="1"/>
    <col min="1289" max="1289" width="3.42578125" style="544" customWidth="1"/>
    <col min="1290" max="1290" width="0.5703125" style="544" customWidth="1"/>
    <col min="1291" max="1291" width="3.42578125" style="544" customWidth="1"/>
    <col min="1292" max="1292" width="2.28515625" style="544" customWidth="1"/>
    <col min="1293" max="1294" width="2.7109375" style="544" customWidth="1"/>
    <col min="1295" max="1295" width="4" style="544" customWidth="1"/>
    <col min="1296" max="1296" width="2.85546875" style="544" customWidth="1"/>
    <col min="1297" max="1297" width="0.7109375" style="544" customWidth="1"/>
    <col min="1298" max="1298" width="3" style="544" bestFit="1" customWidth="1"/>
    <col min="1299" max="1299" width="2.7109375" style="544" customWidth="1"/>
    <col min="1300" max="1300" width="0.7109375" style="544" customWidth="1"/>
    <col min="1301" max="1301" width="2.7109375" style="544" customWidth="1"/>
    <col min="1302" max="1302" width="0.7109375" style="544" customWidth="1"/>
    <col min="1303" max="1303" width="2.7109375" style="544" customWidth="1"/>
    <col min="1304" max="1304" width="1" style="544" customWidth="1"/>
    <col min="1305" max="1305" width="3" style="544" bestFit="1" customWidth="1"/>
    <col min="1306" max="1306" width="0.7109375" style="544" customWidth="1"/>
    <col min="1307" max="1307" width="2.7109375" style="544" customWidth="1"/>
    <col min="1308" max="1308" width="0.5703125" style="544" customWidth="1"/>
    <col min="1309" max="1309" width="2.7109375" style="544" customWidth="1"/>
    <col min="1310" max="1310" width="0.7109375" style="544" customWidth="1"/>
    <col min="1311" max="1311" width="2.7109375" style="544" customWidth="1"/>
    <col min="1312" max="1312" width="0.5703125" style="544" customWidth="1"/>
    <col min="1313" max="1313" width="2.7109375" style="544" customWidth="1"/>
    <col min="1314" max="1314" width="0.42578125" style="544" customWidth="1"/>
    <col min="1315" max="1315" width="3" style="544" bestFit="1" customWidth="1"/>
    <col min="1316" max="1316" width="0.5703125" style="544" customWidth="1"/>
    <col min="1317" max="1317" width="3" style="544" bestFit="1" customWidth="1"/>
    <col min="1318" max="1318" width="0.7109375" style="544" customWidth="1"/>
    <col min="1319" max="1319" width="2.7109375" style="544" customWidth="1"/>
    <col min="1320" max="1320" width="0.5703125" style="544" customWidth="1"/>
    <col min="1321" max="1321" width="2.7109375" style="544" customWidth="1"/>
    <col min="1322" max="1322" width="0.5703125" style="544" customWidth="1"/>
    <col min="1323" max="1323" width="2.7109375" style="544" customWidth="1"/>
    <col min="1324" max="1324" width="0.5703125" style="544" customWidth="1"/>
    <col min="1325" max="1325" width="2.7109375" style="544" customWidth="1"/>
    <col min="1326" max="1326" width="0.5703125" style="544" customWidth="1"/>
    <col min="1327" max="1327" width="2.7109375" style="544" customWidth="1"/>
    <col min="1328" max="1328" width="0.7109375" style="544" customWidth="1"/>
    <col min="1329" max="1329" width="2" style="544" customWidth="1"/>
    <col min="1330" max="1330" width="3.7109375" style="544" customWidth="1"/>
    <col min="1331" max="1331" width="2.42578125" style="544" customWidth="1"/>
    <col min="1332" max="1356" width="2.7109375" style="544" customWidth="1"/>
    <col min="1357" max="1536" width="9.140625" style="544"/>
    <col min="1537" max="1537" width="2.42578125" style="544" customWidth="1"/>
    <col min="1538" max="1538" width="3" style="544" bestFit="1" customWidth="1"/>
    <col min="1539" max="1539" width="2.7109375" style="544" customWidth="1"/>
    <col min="1540" max="1540" width="3" style="544" bestFit="1" customWidth="1"/>
    <col min="1541" max="1541" width="3.42578125" style="544" customWidth="1"/>
    <col min="1542" max="1542" width="0.5703125" style="544" customWidth="1"/>
    <col min="1543" max="1543" width="3.42578125" style="544" customWidth="1"/>
    <col min="1544" max="1544" width="0.5703125" style="544" customWidth="1"/>
    <col min="1545" max="1545" width="3.42578125" style="544" customWidth="1"/>
    <col min="1546" max="1546" width="0.5703125" style="544" customWidth="1"/>
    <col min="1547" max="1547" width="3.42578125" style="544" customWidth="1"/>
    <col min="1548" max="1548" width="2.28515625" style="544" customWidth="1"/>
    <col min="1549" max="1550" width="2.7109375" style="544" customWidth="1"/>
    <col min="1551" max="1551" width="4" style="544" customWidth="1"/>
    <col min="1552" max="1552" width="2.85546875" style="544" customWidth="1"/>
    <col min="1553" max="1553" width="0.7109375" style="544" customWidth="1"/>
    <col min="1554" max="1554" width="3" style="544" bestFit="1" customWidth="1"/>
    <col min="1555" max="1555" width="2.7109375" style="544" customWidth="1"/>
    <col min="1556" max="1556" width="0.7109375" style="544" customWidth="1"/>
    <col min="1557" max="1557" width="2.7109375" style="544" customWidth="1"/>
    <col min="1558" max="1558" width="0.7109375" style="544" customWidth="1"/>
    <col min="1559" max="1559" width="2.7109375" style="544" customWidth="1"/>
    <col min="1560" max="1560" width="1" style="544" customWidth="1"/>
    <col min="1561" max="1561" width="3" style="544" bestFit="1" customWidth="1"/>
    <col min="1562" max="1562" width="0.7109375" style="544" customWidth="1"/>
    <col min="1563" max="1563" width="2.7109375" style="544" customWidth="1"/>
    <col min="1564" max="1564" width="0.5703125" style="544" customWidth="1"/>
    <col min="1565" max="1565" width="2.7109375" style="544" customWidth="1"/>
    <col min="1566" max="1566" width="0.7109375" style="544" customWidth="1"/>
    <col min="1567" max="1567" width="2.7109375" style="544" customWidth="1"/>
    <col min="1568" max="1568" width="0.5703125" style="544" customWidth="1"/>
    <col min="1569" max="1569" width="2.7109375" style="544" customWidth="1"/>
    <col min="1570" max="1570" width="0.42578125" style="544" customWidth="1"/>
    <col min="1571" max="1571" width="3" style="544" bestFit="1" customWidth="1"/>
    <col min="1572" max="1572" width="0.5703125" style="544" customWidth="1"/>
    <col min="1573" max="1573" width="3" style="544" bestFit="1" customWidth="1"/>
    <col min="1574" max="1574" width="0.7109375" style="544" customWidth="1"/>
    <col min="1575" max="1575" width="2.7109375" style="544" customWidth="1"/>
    <col min="1576" max="1576" width="0.5703125" style="544" customWidth="1"/>
    <col min="1577" max="1577" width="2.7109375" style="544" customWidth="1"/>
    <col min="1578" max="1578" width="0.5703125" style="544" customWidth="1"/>
    <col min="1579" max="1579" width="2.7109375" style="544" customWidth="1"/>
    <col min="1580" max="1580" width="0.5703125" style="544" customWidth="1"/>
    <col min="1581" max="1581" width="2.7109375" style="544" customWidth="1"/>
    <col min="1582" max="1582" width="0.5703125" style="544" customWidth="1"/>
    <col min="1583" max="1583" width="2.7109375" style="544" customWidth="1"/>
    <col min="1584" max="1584" width="0.7109375" style="544" customWidth="1"/>
    <col min="1585" max="1585" width="2" style="544" customWidth="1"/>
    <col min="1586" max="1586" width="3.7109375" style="544" customWidth="1"/>
    <col min="1587" max="1587" width="2.42578125" style="544" customWidth="1"/>
    <col min="1588" max="1612" width="2.7109375" style="544" customWidth="1"/>
    <col min="1613" max="1792" width="9.140625" style="544"/>
    <col min="1793" max="1793" width="2.42578125" style="544" customWidth="1"/>
    <col min="1794" max="1794" width="3" style="544" bestFit="1" customWidth="1"/>
    <col min="1795" max="1795" width="2.7109375" style="544" customWidth="1"/>
    <col min="1796" max="1796" width="3" style="544" bestFit="1" customWidth="1"/>
    <col min="1797" max="1797" width="3.42578125" style="544" customWidth="1"/>
    <col min="1798" max="1798" width="0.5703125" style="544" customWidth="1"/>
    <col min="1799" max="1799" width="3.42578125" style="544" customWidth="1"/>
    <col min="1800" max="1800" width="0.5703125" style="544" customWidth="1"/>
    <col min="1801" max="1801" width="3.42578125" style="544" customWidth="1"/>
    <col min="1802" max="1802" width="0.5703125" style="544" customWidth="1"/>
    <col min="1803" max="1803" width="3.42578125" style="544" customWidth="1"/>
    <col min="1804" max="1804" width="2.28515625" style="544" customWidth="1"/>
    <col min="1805" max="1806" width="2.7109375" style="544" customWidth="1"/>
    <col min="1807" max="1807" width="4" style="544" customWidth="1"/>
    <col min="1808" max="1808" width="2.85546875" style="544" customWidth="1"/>
    <col min="1809" max="1809" width="0.7109375" style="544" customWidth="1"/>
    <col min="1810" max="1810" width="3" style="544" bestFit="1" customWidth="1"/>
    <col min="1811" max="1811" width="2.7109375" style="544" customWidth="1"/>
    <col min="1812" max="1812" width="0.7109375" style="544" customWidth="1"/>
    <col min="1813" max="1813" width="2.7109375" style="544" customWidth="1"/>
    <col min="1814" max="1814" width="0.7109375" style="544" customWidth="1"/>
    <col min="1815" max="1815" width="2.7109375" style="544" customWidth="1"/>
    <col min="1816" max="1816" width="1" style="544" customWidth="1"/>
    <col min="1817" max="1817" width="3" style="544" bestFit="1" customWidth="1"/>
    <col min="1818" max="1818" width="0.7109375" style="544" customWidth="1"/>
    <col min="1819" max="1819" width="2.7109375" style="544" customWidth="1"/>
    <col min="1820" max="1820" width="0.5703125" style="544" customWidth="1"/>
    <col min="1821" max="1821" width="2.7109375" style="544" customWidth="1"/>
    <col min="1822" max="1822" width="0.7109375" style="544" customWidth="1"/>
    <col min="1823" max="1823" width="2.7109375" style="544" customWidth="1"/>
    <col min="1824" max="1824" width="0.5703125" style="544" customWidth="1"/>
    <col min="1825" max="1825" width="2.7109375" style="544" customWidth="1"/>
    <col min="1826" max="1826" width="0.42578125" style="544" customWidth="1"/>
    <col min="1827" max="1827" width="3" style="544" bestFit="1" customWidth="1"/>
    <col min="1828" max="1828" width="0.5703125" style="544" customWidth="1"/>
    <col min="1829" max="1829" width="3" style="544" bestFit="1" customWidth="1"/>
    <col min="1830" max="1830" width="0.7109375" style="544" customWidth="1"/>
    <col min="1831" max="1831" width="2.7109375" style="544" customWidth="1"/>
    <col min="1832" max="1832" width="0.5703125" style="544" customWidth="1"/>
    <col min="1833" max="1833" width="2.7109375" style="544" customWidth="1"/>
    <col min="1834" max="1834" width="0.5703125" style="544" customWidth="1"/>
    <col min="1835" max="1835" width="2.7109375" style="544" customWidth="1"/>
    <col min="1836" max="1836" width="0.5703125" style="544" customWidth="1"/>
    <col min="1837" max="1837" width="2.7109375" style="544" customWidth="1"/>
    <col min="1838" max="1838" width="0.5703125" style="544" customWidth="1"/>
    <col min="1839" max="1839" width="2.7109375" style="544" customWidth="1"/>
    <col min="1840" max="1840" width="0.7109375" style="544" customWidth="1"/>
    <col min="1841" max="1841" width="2" style="544" customWidth="1"/>
    <col min="1842" max="1842" width="3.7109375" style="544" customWidth="1"/>
    <col min="1843" max="1843" width="2.42578125" style="544" customWidth="1"/>
    <col min="1844" max="1868" width="2.7109375" style="544" customWidth="1"/>
    <col min="1869" max="2048" width="9.140625" style="544"/>
    <col min="2049" max="2049" width="2.42578125" style="544" customWidth="1"/>
    <col min="2050" max="2050" width="3" style="544" bestFit="1" customWidth="1"/>
    <col min="2051" max="2051" width="2.7109375" style="544" customWidth="1"/>
    <col min="2052" max="2052" width="3" style="544" bestFit="1" customWidth="1"/>
    <col min="2053" max="2053" width="3.42578125" style="544" customWidth="1"/>
    <col min="2054" max="2054" width="0.5703125" style="544" customWidth="1"/>
    <col min="2055" max="2055" width="3.42578125" style="544" customWidth="1"/>
    <col min="2056" max="2056" width="0.5703125" style="544" customWidth="1"/>
    <col min="2057" max="2057" width="3.42578125" style="544" customWidth="1"/>
    <col min="2058" max="2058" width="0.5703125" style="544" customWidth="1"/>
    <col min="2059" max="2059" width="3.42578125" style="544" customWidth="1"/>
    <col min="2060" max="2060" width="2.28515625" style="544" customWidth="1"/>
    <col min="2061" max="2062" width="2.7109375" style="544" customWidth="1"/>
    <col min="2063" max="2063" width="4" style="544" customWidth="1"/>
    <col min="2064" max="2064" width="2.85546875" style="544" customWidth="1"/>
    <col min="2065" max="2065" width="0.7109375" style="544" customWidth="1"/>
    <col min="2066" max="2066" width="3" style="544" bestFit="1" customWidth="1"/>
    <col min="2067" max="2067" width="2.7109375" style="544" customWidth="1"/>
    <col min="2068" max="2068" width="0.7109375" style="544" customWidth="1"/>
    <col min="2069" max="2069" width="2.7109375" style="544" customWidth="1"/>
    <col min="2070" max="2070" width="0.7109375" style="544" customWidth="1"/>
    <col min="2071" max="2071" width="2.7109375" style="544" customWidth="1"/>
    <col min="2072" max="2072" width="1" style="544" customWidth="1"/>
    <col min="2073" max="2073" width="3" style="544" bestFit="1" customWidth="1"/>
    <col min="2074" max="2074" width="0.7109375" style="544" customWidth="1"/>
    <col min="2075" max="2075" width="2.7109375" style="544" customWidth="1"/>
    <col min="2076" max="2076" width="0.5703125" style="544" customWidth="1"/>
    <col min="2077" max="2077" width="2.7109375" style="544" customWidth="1"/>
    <col min="2078" max="2078" width="0.7109375" style="544" customWidth="1"/>
    <col min="2079" max="2079" width="2.7109375" style="544" customWidth="1"/>
    <col min="2080" max="2080" width="0.5703125" style="544" customWidth="1"/>
    <col min="2081" max="2081" width="2.7109375" style="544" customWidth="1"/>
    <col min="2082" max="2082" width="0.42578125" style="544" customWidth="1"/>
    <col min="2083" max="2083" width="3" style="544" bestFit="1" customWidth="1"/>
    <col min="2084" max="2084" width="0.5703125" style="544" customWidth="1"/>
    <col min="2085" max="2085" width="3" style="544" bestFit="1" customWidth="1"/>
    <col min="2086" max="2086" width="0.7109375" style="544" customWidth="1"/>
    <col min="2087" max="2087" width="2.7109375" style="544" customWidth="1"/>
    <col min="2088" max="2088" width="0.5703125" style="544" customWidth="1"/>
    <col min="2089" max="2089" width="2.7109375" style="544" customWidth="1"/>
    <col min="2090" max="2090" width="0.5703125" style="544" customWidth="1"/>
    <col min="2091" max="2091" width="2.7109375" style="544" customWidth="1"/>
    <col min="2092" max="2092" width="0.5703125" style="544" customWidth="1"/>
    <col min="2093" max="2093" width="2.7109375" style="544" customWidth="1"/>
    <col min="2094" max="2094" width="0.5703125" style="544" customWidth="1"/>
    <col min="2095" max="2095" width="2.7109375" style="544" customWidth="1"/>
    <col min="2096" max="2096" width="0.7109375" style="544" customWidth="1"/>
    <col min="2097" max="2097" width="2" style="544" customWidth="1"/>
    <col min="2098" max="2098" width="3.7109375" style="544" customWidth="1"/>
    <col min="2099" max="2099" width="2.42578125" style="544" customWidth="1"/>
    <col min="2100" max="2124" width="2.7109375" style="544" customWidth="1"/>
    <col min="2125" max="2304" width="9.140625" style="544"/>
    <col min="2305" max="2305" width="2.42578125" style="544" customWidth="1"/>
    <col min="2306" max="2306" width="3" style="544" bestFit="1" customWidth="1"/>
    <col min="2307" max="2307" width="2.7109375" style="544" customWidth="1"/>
    <col min="2308" max="2308" width="3" style="544" bestFit="1" customWidth="1"/>
    <col min="2309" max="2309" width="3.42578125" style="544" customWidth="1"/>
    <col min="2310" max="2310" width="0.5703125" style="544" customWidth="1"/>
    <col min="2311" max="2311" width="3.42578125" style="544" customWidth="1"/>
    <col min="2312" max="2312" width="0.5703125" style="544" customWidth="1"/>
    <col min="2313" max="2313" width="3.42578125" style="544" customWidth="1"/>
    <col min="2314" max="2314" width="0.5703125" style="544" customWidth="1"/>
    <col min="2315" max="2315" width="3.42578125" style="544" customWidth="1"/>
    <col min="2316" max="2316" width="2.28515625" style="544" customWidth="1"/>
    <col min="2317" max="2318" width="2.7109375" style="544" customWidth="1"/>
    <col min="2319" max="2319" width="4" style="544" customWidth="1"/>
    <col min="2320" max="2320" width="2.85546875" style="544" customWidth="1"/>
    <col min="2321" max="2321" width="0.7109375" style="544" customWidth="1"/>
    <col min="2322" max="2322" width="3" style="544" bestFit="1" customWidth="1"/>
    <col min="2323" max="2323" width="2.7109375" style="544" customWidth="1"/>
    <col min="2324" max="2324" width="0.7109375" style="544" customWidth="1"/>
    <col min="2325" max="2325" width="2.7109375" style="544" customWidth="1"/>
    <col min="2326" max="2326" width="0.7109375" style="544" customWidth="1"/>
    <col min="2327" max="2327" width="2.7109375" style="544" customWidth="1"/>
    <col min="2328" max="2328" width="1" style="544" customWidth="1"/>
    <col min="2329" max="2329" width="3" style="544" bestFit="1" customWidth="1"/>
    <col min="2330" max="2330" width="0.7109375" style="544" customWidth="1"/>
    <col min="2331" max="2331" width="2.7109375" style="544" customWidth="1"/>
    <col min="2332" max="2332" width="0.5703125" style="544" customWidth="1"/>
    <col min="2333" max="2333" width="2.7109375" style="544" customWidth="1"/>
    <col min="2334" max="2334" width="0.7109375" style="544" customWidth="1"/>
    <col min="2335" max="2335" width="2.7109375" style="544" customWidth="1"/>
    <col min="2336" max="2336" width="0.5703125" style="544" customWidth="1"/>
    <col min="2337" max="2337" width="2.7109375" style="544" customWidth="1"/>
    <col min="2338" max="2338" width="0.42578125" style="544" customWidth="1"/>
    <col min="2339" max="2339" width="3" style="544" bestFit="1" customWidth="1"/>
    <col min="2340" max="2340" width="0.5703125" style="544" customWidth="1"/>
    <col min="2341" max="2341" width="3" style="544" bestFit="1" customWidth="1"/>
    <col min="2342" max="2342" width="0.7109375" style="544" customWidth="1"/>
    <col min="2343" max="2343" width="2.7109375" style="544" customWidth="1"/>
    <col min="2344" max="2344" width="0.5703125" style="544" customWidth="1"/>
    <col min="2345" max="2345" width="2.7109375" style="544" customWidth="1"/>
    <col min="2346" max="2346" width="0.5703125" style="544" customWidth="1"/>
    <col min="2347" max="2347" width="2.7109375" style="544" customWidth="1"/>
    <col min="2348" max="2348" width="0.5703125" style="544" customWidth="1"/>
    <col min="2349" max="2349" width="2.7109375" style="544" customWidth="1"/>
    <col min="2350" max="2350" width="0.5703125" style="544" customWidth="1"/>
    <col min="2351" max="2351" width="2.7109375" style="544" customWidth="1"/>
    <col min="2352" max="2352" width="0.7109375" style="544" customWidth="1"/>
    <col min="2353" max="2353" width="2" style="544" customWidth="1"/>
    <col min="2354" max="2354" width="3.7109375" style="544" customWidth="1"/>
    <col min="2355" max="2355" width="2.42578125" style="544" customWidth="1"/>
    <col min="2356" max="2380" width="2.7109375" style="544" customWidth="1"/>
    <col min="2381" max="2560" width="9.140625" style="544"/>
    <col min="2561" max="2561" width="2.42578125" style="544" customWidth="1"/>
    <col min="2562" max="2562" width="3" style="544" bestFit="1" customWidth="1"/>
    <col min="2563" max="2563" width="2.7109375" style="544" customWidth="1"/>
    <col min="2564" max="2564" width="3" style="544" bestFit="1" customWidth="1"/>
    <col min="2565" max="2565" width="3.42578125" style="544" customWidth="1"/>
    <col min="2566" max="2566" width="0.5703125" style="544" customWidth="1"/>
    <col min="2567" max="2567" width="3.42578125" style="544" customWidth="1"/>
    <col min="2568" max="2568" width="0.5703125" style="544" customWidth="1"/>
    <col min="2569" max="2569" width="3.42578125" style="544" customWidth="1"/>
    <col min="2570" max="2570" width="0.5703125" style="544" customWidth="1"/>
    <col min="2571" max="2571" width="3.42578125" style="544" customWidth="1"/>
    <col min="2572" max="2572" width="2.28515625" style="544" customWidth="1"/>
    <col min="2573" max="2574" width="2.7109375" style="544" customWidth="1"/>
    <col min="2575" max="2575" width="4" style="544" customWidth="1"/>
    <col min="2576" max="2576" width="2.85546875" style="544" customWidth="1"/>
    <col min="2577" max="2577" width="0.7109375" style="544" customWidth="1"/>
    <col min="2578" max="2578" width="3" style="544" bestFit="1" customWidth="1"/>
    <col min="2579" max="2579" width="2.7109375" style="544" customWidth="1"/>
    <col min="2580" max="2580" width="0.7109375" style="544" customWidth="1"/>
    <col min="2581" max="2581" width="2.7109375" style="544" customWidth="1"/>
    <col min="2582" max="2582" width="0.7109375" style="544" customWidth="1"/>
    <col min="2583" max="2583" width="2.7109375" style="544" customWidth="1"/>
    <col min="2584" max="2584" width="1" style="544" customWidth="1"/>
    <col min="2585" max="2585" width="3" style="544" bestFit="1" customWidth="1"/>
    <col min="2586" max="2586" width="0.7109375" style="544" customWidth="1"/>
    <col min="2587" max="2587" width="2.7109375" style="544" customWidth="1"/>
    <col min="2588" max="2588" width="0.5703125" style="544" customWidth="1"/>
    <col min="2589" max="2589" width="2.7109375" style="544" customWidth="1"/>
    <col min="2590" max="2590" width="0.7109375" style="544" customWidth="1"/>
    <col min="2591" max="2591" width="2.7109375" style="544" customWidth="1"/>
    <col min="2592" max="2592" width="0.5703125" style="544" customWidth="1"/>
    <col min="2593" max="2593" width="2.7109375" style="544" customWidth="1"/>
    <col min="2594" max="2594" width="0.42578125" style="544" customWidth="1"/>
    <col min="2595" max="2595" width="3" style="544" bestFit="1" customWidth="1"/>
    <col min="2596" max="2596" width="0.5703125" style="544" customWidth="1"/>
    <col min="2597" max="2597" width="3" style="544" bestFit="1" customWidth="1"/>
    <col min="2598" max="2598" width="0.7109375" style="544" customWidth="1"/>
    <col min="2599" max="2599" width="2.7109375" style="544" customWidth="1"/>
    <col min="2600" max="2600" width="0.5703125" style="544" customWidth="1"/>
    <col min="2601" max="2601" width="2.7109375" style="544" customWidth="1"/>
    <col min="2602" max="2602" width="0.5703125" style="544" customWidth="1"/>
    <col min="2603" max="2603" width="2.7109375" style="544" customWidth="1"/>
    <col min="2604" max="2604" width="0.5703125" style="544" customWidth="1"/>
    <col min="2605" max="2605" width="2.7109375" style="544" customWidth="1"/>
    <col min="2606" max="2606" width="0.5703125" style="544" customWidth="1"/>
    <col min="2607" max="2607" width="2.7109375" style="544" customWidth="1"/>
    <col min="2608" max="2608" width="0.7109375" style="544" customWidth="1"/>
    <col min="2609" max="2609" width="2" style="544" customWidth="1"/>
    <col min="2610" max="2610" width="3.7109375" style="544" customWidth="1"/>
    <col min="2611" max="2611" width="2.42578125" style="544" customWidth="1"/>
    <col min="2612" max="2636" width="2.7109375" style="544" customWidth="1"/>
    <col min="2637" max="2816" width="9.140625" style="544"/>
    <col min="2817" max="2817" width="2.42578125" style="544" customWidth="1"/>
    <col min="2818" max="2818" width="3" style="544" bestFit="1" customWidth="1"/>
    <col min="2819" max="2819" width="2.7109375" style="544" customWidth="1"/>
    <col min="2820" max="2820" width="3" style="544" bestFit="1" customWidth="1"/>
    <col min="2821" max="2821" width="3.42578125" style="544" customWidth="1"/>
    <col min="2822" max="2822" width="0.5703125" style="544" customWidth="1"/>
    <col min="2823" max="2823" width="3.42578125" style="544" customWidth="1"/>
    <col min="2824" max="2824" width="0.5703125" style="544" customWidth="1"/>
    <col min="2825" max="2825" width="3.42578125" style="544" customWidth="1"/>
    <col min="2826" max="2826" width="0.5703125" style="544" customWidth="1"/>
    <col min="2827" max="2827" width="3.42578125" style="544" customWidth="1"/>
    <col min="2828" max="2828" width="2.28515625" style="544" customWidth="1"/>
    <col min="2829" max="2830" width="2.7109375" style="544" customWidth="1"/>
    <col min="2831" max="2831" width="4" style="544" customWidth="1"/>
    <col min="2832" max="2832" width="2.85546875" style="544" customWidth="1"/>
    <col min="2833" max="2833" width="0.7109375" style="544" customWidth="1"/>
    <col min="2834" max="2834" width="3" style="544" bestFit="1" customWidth="1"/>
    <col min="2835" max="2835" width="2.7109375" style="544" customWidth="1"/>
    <col min="2836" max="2836" width="0.7109375" style="544" customWidth="1"/>
    <col min="2837" max="2837" width="2.7109375" style="544" customWidth="1"/>
    <col min="2838" max="2838" width="0.7109375" style="544" customWidth="1"/>
    <col min="2839" max="2839" width="2.7109375" style="544" customWidth="1"/>
    <col min="2840" max="2840" width="1" style="544" customWidth="1"/>
    <col min="2841" max="2841" width="3" style="544" bestFit="1" customWidth="1"/>
    <col min="2842" max="2842" width="0.7109375" style="544" customWidth="1"/>
    <col min="2843" max="2843" width="2.7109375" style="544" customWidth="1"/>
    <col min="2844" max="2844" width="0.5703125" style="544" customWidth="1"/>
    <col min="2845" max="2845" width="2.7109375" style="544" customWidth="1"/>
    <col min="2846" max="2846" width="0.7109375" style="544" customWidth="1"/>
    <col min="2847" max="2847" width="2.7109375" style="544" customWidth="1"/>
    <col min="2848" max="2848" width="0.5703125" style="544" customWidth="1"/>
    <col min="2849" max="2849" width="2.7109375" style="544" customWidth="1"/>
    <col min="2850" max="2850" width="0.42578125" style="544" customWidth="1"/>
    <col min="2851" max="2851" width="3" style="544" bestFit="1" customWidth="1"/>
    <col min="2852" max="2852" width="0.5703125" style="544" customWidth="1"/>
    <col min="2853" max="2853" width="3" style="544" bestFit="1" customWidth="1"/>
    <col min="2854" max="2854" width="0.7109375" style="544" customWidth="1"/>
    <col min="2855" max="2855" width="2.7109375" style="544" customWidth="1"/>
    <col min="2856" max="2856" width="0.5703125" style="544" customWidth="1"/>
    <col min="2857" max="2857" width="2.7109375" style="544" customWidth="1"/>
    <col min="2858" max="2858" width="0.5703125" style="544" customWidth="1"/>
    <col min="2859" max="2859" width="2.7109375" style="544" customWidth="1"/>
    <col min="2860" max="2860" width="0.5703125" style="544" customWidth="1"/>
    <col min="2861" max="2861" width="2.7109375" style="544" customWidth="1"/>
    <col min="2862" max="2862" width="0.5703125" style="544" customWidth="1"/>
    <col min="2863" max="2863" width="2.7109375" style="544" customWidth="1"/>
    <col min="2864" max="2864" width="0.7109375" style="544" customWidth="1"/>
    <col min="2865" max="2865" width="2" style="544" customWidth="1"/>
    <col min="2866" max="2866" width="3.7109375" style="544" customWidth="1"/>
    <col min="2867" max="2867" width="2.42578125" style="544" customWidth="1"/>
    <col min="2868" max="2892" width="2.7109375" style="544" customWidth="1"/>
    <col min="2893" max="3072" width="9.140625" style="544"/>
    <col min="3073" max="3073" width="2.42578125" style="544" customWidth="1"/>
    <col min="3074" max="3074" width="3" style="544" bestFit="1" customWidth="1"/>
    <col min="3075" max="3075" width="2.7109375" style="544" customWidth="1"/>
    <col min="3076" max="3076" width="3" style="544" bestFit="1" customWidth="1"/>
    <col min="3077" max="3077" width="3.42578125" style="544" customWidth="1"/>
    <col min="3078" max="3078" width="0.5703125" style="544" customWidth="1"/>
    <col min="3079" max="3079" width="3.42578125" style="544" customWidth="1"/>
    <col min="3080" max="3080" width="0.5703125" style="544" customWidth="1"/>
    <col min="3081" max="3081" width="3.42578125" style="544" customWidth="1"/>
    <col min="3082" max="3082" width="0.5703125" style="544" customWidth="1"/>
    <col min="3083" max="3083" width="3.42578125" style="544" customWidth="1"/>
    <col min="3084" max="3084" width="2.28515625" style="544" customWidth="1"/>
    <col min="3085" max="3086" width="2.7109375" style="544" customWidth="1"/>
    <col min="3087" max="3087" width="4" style="544" customWidth="1"/>
    <col min="3088" max="3088" width="2.85546875" style="544" customWidth="1"/>
    <col min="3089" max="3089" width="0.7109375" style="544" customWidth="1"/>
    <col min="3090" max="3090" width="3" style="544" bestFit="1" customWidth="1"/>
    <col min="3091" max="3091" width="2.7109375" style="544" customWidth="1"/>
    <col min="3092" max="3092" width="0.7109375" style="544" customWidth="1"/>
    <col min="3093" max="3093" width="2.7109375" style="544" customWidth="1"/>
    <col min="3094" max="3094" width="0.7109375" style="544" customWidth="1"/>
    <col min="3095" max="3095" width="2.7109375" style="544" customWidth="1"/>
    <col min="3096" max="3096" width="1" style="544" customWidth="1"/>
    <col min="3097" max="3097" width="3" style="544" bestFit="1" customWidth="1"/>
    <col min="3098" max="3098" width="0.7109375" style="544" customWidth="1"/>
    <col min="3099" max="3099" width="2.7109375" style="544" customWidth="1"/>
    <col min="3100" max="3100" width="0.5703125" style="544" customWidth="1"/>
    <col min="3101" max="3101" width="2.7109375" style="544" customWidth="1"/>
    <col min="3102" max="3102" width="0.7109375" style="544" customWidth="1"/>
    <col min="3103" max="3103" width="2.7109375" style="544" customWidth="1"/>
    <col min="3104" max="3104" width="0.5703125" style="544" customWidth="1"/>
    <col min="3105" max="3105" width="2.7109375" style="544" customWidth="1"/>
    <col min="3106" max="3106" width="0.42578125" style="544" customWidth="1"/>
    <col min="3107" max="3107" width="3" style="544" bestFit="1" customWidth="1"/>
    <col min="3108" max="3108" width="0.5703125" style="544" customWidth="1"/>
    <col min="3109" max="3109" width="3" style="544" bestFit="1" customWidth="1"/>
    <col min="3110" max="3110" width="0.7109375" style="544" customWidth="1"/>
    <col min="3111" max="3111" width="2.7109375" style="544" customWidth="1"/>
    <col min="3112" max="3112" width="0.5703125" style="544" customWidth="1"/>
    <col min="3113" max="3113" width="2.7109375" style="544" customWidth="1"/>
    <col min="3114" max="3114" width="0.5703125" style="544" customWidth="1"/>
    <col min="3115" max="3115" width="2.7109375" style="544" customWidth="1"/>
    <col min="3116" max="3116" width="0.5703125" style="544" customWidth="1"/>
    <col min="3117" max="3117" width="2.7109375" style="544" customWidth="1"/>
    <col min="3118" max="3118" width="0.5703125" style="544" customWidth="1"/>
    <col min="3119" max="3119" width="2.7109375" style="544" customWidth="1"/>
    <col min="3120" max="3120" width="0.7109375" style="544" customWidth="1"/>
    <col min="3121" max="3121" width="2" style="544" customWidth="1"/>
    <col min="3122" max="3122" width="3.7109375" style="544" customWidth="1"/>
    <col min="3123" max="3123" width="2.42578125" style="544" customWidth="1"/>
    <col min="3124" max="3148" width="2.7109375" style="544" customWidth="1"/>
    <col min="3149" max="3328" width="9.140625" style="544"/>
    <col min="3329" max="3329" width="2.42578125" style="544" customWidth="1"/>
    <col min="3330" max="3330" width="3" style="544" bestFit="1" customWidth="1"/>
    <col min="3331" max="3331" width="2.7109375" style="544" customWidth="1"/>
    <col min="3332" max="3332" width="3" style="544" bestFit="1" customWidth="1"/>
    <col min="3333" max="3333" width="3.42578125" style="544" customWidth="1"/>
    <col min="3334" max="3334" width="0.5703125" style="544" customWidth="1"/>
    <col min="3335" max="3335" width="3.42578125" style="544" customWidth="1"/>
    <col min="3336" max="3336" width="0.5703125" style="544" customWidth="1"/>
    <col min="3337" max="3337" width="3.42578125" style="544" customWidth="1"/>
    <col min="3338" max="3338" width="0.5703125" style="544" customWidth="1"/>
    <col min="3339" max="3339" width="3.42578125" style="544" customWidth="1"/>
    <col min="3340" max="3340" width="2.28515625" style="544" customWidth="1"/>
    <col min="3341" max="3342" width="2.7109375" style="544" customWidth="1"/>
    <col min="3343" max="3343" width="4" style="544" customWidth="1"/>
    <col min="3344" max="3344" width="2.85546875" style="544" customWidth="1"/>
    <col min="3345" max="3345" width="0.7109375" style="544" customWidth="1"/>
    <col min="3346" max="3346" width="3" style="544" bestFit="1" customWidth="1"/>
    <col min="3347" max="3347" width="2.7109375" style="544" customWidth="1"/>
    <col min="3348" max="3348" width="0.7109375" style="544" customWidth="1"/>
    <col min="3349" max="3349" width="2.7109375" style="544" customWidth="1"/>
    <col min="3350" max="3350" width="0.7109375" style="544" customWidth="1"/>
    <col min="3351" max="3351" width="2.7109375" style="544" customWidth="1"/>
    <col min="3352" max="3352" width="1" style="544" customWidth="1"/>
    <col min="3353" max="3353" width="3" style="544" bestFit="1" customWidth="1"/>
    <col min="3354" max="3354" width="0.7109375" style="544" customWidth="1"/>
    <col min="3355" max="3355" width="2.7109375" style="544" customWidth="1"/>
    <col min="3356" max="3356" width="0.5703125" style="544" customWidth="1"/>
    <col min="3357" max="3357" width="2.7109375" style="544" customWidth="1"/>
    <col min="3358" max="3358" width="0.7109375" style="544" customWidth="1"/>
    <col min="3359" max="3359" width="2.7109375" style="544" customWidth="1"/>
    <col min="3360" max="3360" width="0.5703125" style="544" customWidth="1"/>
    <col min="3361" max="3361" width="2.7109375" style="544" customWidth="1"/>
    <col min="3362" max="3362" width="0.42578125" style="544" customWidth="1"/>
    <col min="3363" max="3363" width="3" style="544" bestFit="1" customWidth="1"/>
    <col min="3364" max="3364" width="0.5703125" style="544" customWidth="1"/>
    <col min="3365" max="3365" width="3" style="544" bestFit="1" customWidth="1"/>
    <col min="3366" max="3366" width="0.7109375" style="544" customWidth="1"/>
    <col min="3367" max="3367" width="2.7109375" style="544" customWidth="1"/>
    <col min="3368" max="3368" width="0.5703125" style="544" customWidth="1"/>
    <col min="3369" max="3369" width="2.7109375" style="544" customWidth="1"/>
    <col min="3370" max="3370" width="0.5703125" style="544" customWidth="1"/>
    <col min="3371" max="3371" width="2.7109375" style="544" customWidth="1"/>
    <col min="3372" max="3372" width="0.5703125" style="544" customWidth="1"/>
    <col min="3373" max="3373" width="2.7109375" style="544" customWidth="1"/>
    <col min="3374" max="3374" width="0.5703125" style="544" customWidth="1"/>
    <col min="3375" max="3375" width="2.7109375" style="544" customWidth="1"/>
    <col min="3376" max="3376" width="0.7109375" style="544" customWidth="1"/>
    <col min="3377" max="3377" width="2" style="544" customWidth="1"/>
    <col min="3378" max="3378" width="3.7109375" style="544" customWidth="1"/>
    <col min="3379" max="3379" width="2.42578125" style="544" customWidth="1"/>
    <col min="3380" max="3404" width="2.7109375" style="544" customWidth="1"/>
    <col min="3405" max="3584" width="9.140625" style="544"/>
    <col min="3585" max="3585" width="2.42578125" style="544" customWidth="1"/>
    <col min="3586" max="3586" width="3" style="544" bestFit="1" customWidth="1"/>
    <col min="3587" max="3587" width="2.7109375" style="544" customWidth="1"/>
    <col min="3588" max="3588" width="3" style="544" bestFit="1" customWidth="1"/>
    <col min="3589" max="3589" width="3.42578125" style="544" customWidth="1"/>
    <col min="3590" max="3590" width="0.5703125" style="544" customWidth="1"/>
    <col min="3591" max="3591" width="3.42578125" style="544" customWidth="1"/>
    <col min="3592" max="3592" width="0.5703125" style="544" customWidth="1"/>
    <col min="3593" max="3593" width="3.42578125" style="544" customWidth="1"/>
    <col min="3594" max="3594" width="0.5703125" style="544" customWidth="1"/>
    <col min="3595" max="3595" width="3.42578125" style="544" customWidth="1"/>
    <col min="3596" max="3596" width="2.28515625" style="544" customWidth="1"/>
    <col min="3597" max="3598" width="2.7109375" style="544" customWidth="1"/>
    <col min="3599" max="3599" width="4" style="544" customWidth="1"/>
    <col min="3600" max="3600" width="2.85546875" style="544" customWidth="1"/>
    <col min="3601" max="3601" width="0.7109375" style="544" customWidth="1"/>
    <col min="3602" max="3602" width="3" style="544" bestFit="1" customWidth="1"/>
    <col min="3603" max="3603" width="2.7109375" style="544" customWidth="1"/>
    <col min="3604" max="3604" width="0.7109375" style="544" customWidth="1"/>
    <col min="3605" max="3605" width="2.7109375" style="544" customWidth="1"/>
    <col min="3606" max="3606" width="0.7109375" style="544" customWidth="1"/>
    <col min="3607" max="3607" width="2.7109375" style="544" customWidth="1"/>
    <col min="3608" max="3608" width="1" style="544" customWidth="1"/>
    <col min="3609" max="3609" width="3" style="544" bestFit="1" customWidth="1"/>
    <col min="3610" max="3610" width="0.7109375" style="544" customWidth="1"/>
    <col min="3611" max="3611" width="2.7109375" style="544" customWidth="1"/>
    <col min="3612" max="3612" width="0.5703125" style="544" customWidth="1"/>
    <col min="3613" max="3613" width="2.7109375" style="544" customWidth="1"/>
    <col min="3614" max="3614" width="0.7109375" style="544" customWidth="1"/>
    <col min="3615" max="3615" width="2.7109375" style="544" customWidth="1"/>
    <col min="3616" max="3616" width="0.5703125" style="544" customWidth="1"/>
    <col min="3617" max="3617" width="2.7109375" style="544" customWidth="1"/>
    <col min="3618" max="3618" width="0.42578125" style="544" customWidth="1"/>
    <col min="3619" max="3619" width="3" style="544" bestFit="1" customWidth="1"/>
    <col min="3620" max="3620" width="0.5703125" style="544" customWidth="1"/>
    <col min="3621" max="3621" width="3" style="544" bestFit="1" customWidth="1"/>
    <col min="3622" max="3622" width="0.7109375" style="544" customWidth="1"/>
    <col min="3623" max="3623" width="2.7109375" style="544" customWidth="1"/>
    <col min="3624" max="3624" width="0.5703125" style="544" customWidth="1"/>
    <col min="3625" max="3625" width="2.7109375" style="544" customWidth="1"/>
    <col min="3626" max="3626" width="0.5703125" style="544" customWidth="1"/>
    <col min="3627" max="3627" width="2.7109375" style="544" customWidth="1"/>
    <col min="3628" max="3628" width="0.5703125" style="544" customWidth="1"/>
    <col min="3629" max="3629" width="2.7109375" style="544" customWidth="1"/>
    <col min="3630" max="3630" width="0.5703125" style="544" customWidth="1"/>
    <col min="3631" max="3631" width="2.7109375" style="544" customWidth="1"/>
    <col min="3632" max="3632" width="0.7109375" style="544" customWidth="1"/>
    <col min="3633" max="3633" width="2" style="544" customWidth="1"/>
    <col min="3634" max="3634" width="3.7109375" style="544" customWidth="1"/>
    <col min="3635" max="3635" width="2.42578125" style="544" customWidth="1"/>
    <col min="3636" max="3660" width="2.7109375" style="544" customWidth="1"/>
    <col min="3661" max="3840" width="9.140625" style="544"/>
    <col min="3841" max="3841" width="2.42578125" style="544" customWidth="1"/>
    <col min="3842" max="3842" width="3" style="544" bestFit="1" customWidth="1"/>
    <col min="3843" max="3843" width="2.7109375" style="544" customWidth="1"/>
    <col min="3844" max="3844" width="3" style="544" bestFit="1" customWidth="1"/>
    <col min="3845" max="3845" width="3.42578125" style="544" customWidth="1"/>
    <col min="3846" max="3846" width="0.5703125" style="544" customWidth="1"/>
    <col min="3847" max="3847" width="3.42578125" style="544" customWidth="1"/>
    <col min="3848" max="3848" width="0.5703125" style="544" customWidth="1"/>
    <col min="3849" max="3849" width="3.42578125" style="544" customWidth="1"/>
    <col min="3850" max="3850" width="0.5703125" style="544" customWidth="1"/>
    <col min="3851" max="3851" width="3.42578125" style="544" customWidth="1"/>
    <col min="3852" max="3852" width="2.28515625" style="544" customWidth="1"/>
    <col min="3853" max="3854" width="2.7109375" style="544" customWidth="1"/>
    <col min="3855" max="3855" width="4" style="544" customWidth="1"/>
    <col min="3856" max="3856" width="2.85546875" style="544" customWidth="1"/>
    <col min="3857" max="3857" width="0.7109375" style="544" customWidth="1"/>
    <col min="3858" max="3858" width="3" style="544" bestFit="1" customWidth="1"/>
    <col min="3859" max="3859" width="2.7109375" style="544" customWidth="1"/>
    <col min="3860" max="3860" width="0.7109375" style="544" customWidth="1"/>
    <col min="3861" max="3861" width="2.7109375" style="544" customWidth="1"/>
    <col min="3862" max="3862" width="0.7109375" style="544" customWidth="1"/>
    <col min="3863" max="3863" width="2.7109375" style="544" customWidth="1"/>
    <col min="3864" max="3864" width="1" style="544" customWidth="1"/>
    <col min="3865" max="3865" width="3" style="544" bestFit="1" customWidth="1"/>
    <col min="3866" max="3866" width="0.7109375" style="544" customWidth="1"/>
    <col min="3867" max="3867" width="2.7109375" style="544" customWidth="1"/>
    <col min="3868" max="3868" width="0.5703125" style="544" customWidth="1"/>
    <col min="3869" max="3869" width="2.7109375" style="544" customWidth="1"/>
    <col min="3870" max="3870" width="0.7109375" style="544" customWidth="1"/>
    <col min="3871" max="3871" width="2.7109375" style="544" customWidth="1"/>
    <col min="3872" max="3872" width="0.5703125" style="544" customWidth="1"/>
    <col min="3873" max="3873" width="2.7109375" style="544" customWidth="1"/>
    <col min="3874" max="3874" width="0.42578125" style="544" customWidth="1"/>
    <col min="3875" max="3875" width="3" style="544" bestFit="1" customWidth="1"/>
    <col min="3876" max="3876" width="0.5703125" style="544" customWidth="1"/>
    <col min="3877" max="3877" width="3" style="544" bestFit="1" customWidth="1"/>
    <col min="3878" max="3878" width="0.7109375" style="544" customWidth="1"/>
    <col min="3879" max="3879" width="2.7109375" style="544" customWidth="1"/>
    <col min="3880" max="3880" width="0.5703125" style="544" customWidth="1"/>
    <col min="3881" max="3881" width="2.7109375" style="544" customWidth="1"/>
    <col min="3882" max="3882" width="0.5703125" style="544" customWidth="1"/>
    <col min="3883" max="3883" width="2.7109375" style="544" customWidth="1"/>
    <col min="3884" max="3884" width="0.5703125" style="544" customWidth="1"/>
    <col min="3885" max="3885" width="2.7109375" style="544" customWidth="1"/>
    <col min="3886" max="3886" width="0.5703125" style="544" customWidth="1"/>
    <col min="3887" max="3887" width="2.7109375" style="544" customWidth="1"/>
    <col min="3888" max="3888" width="0.7109375" style="544" customWidth="1"/>
    <col min="3889" max="3889" width="2" style="544" customWidth="1"/>
    <col min="3890" max="3890" width="3.7109375" style="544" customWidth="1"/>
    <col min="3891" max="3891" width="2.42578125" style="544" customWidth="1"/>
    <col min="3892" max="3916" width="2.7109375" style="544" customWidth="1"/>
    <col min="3917" max="4096" width="9.140625" style="544"/>
    <col min="4097" max="4097" width="2.42578125" style="544" customWidth="1"/>
    <col min="4098" max="4098" width="3" style="544" bestFit="1" customWidth="1"/>
    <col min="4099" max="4099" width="2.7109375" style="544" customWidth="1"/>
    <col min="4100" max="4100" width="3" style="544" bestFit="1" customWidth="1"/>
    <col min="4101" max="4101" width="3.42578125" style="544" customWidth="1"/>
    <col min="4102" max="4102" width="0.5703125" style="544" customWidth="1"/>
    <col min="4103" max="4103" width="3.42578125" style="544" customWidth="1"/>
    <col min="4104" max="4104" width="0.5703125" style="544" customWidth="1"/>
    <col min="4105" max="4105" width="3.42578125" style="544" customWidth="1"/>
    <col min="4106" max="4106" width="0.5703125" style="544" customWidth="1"/>
    <col min="4107" max="4107" width="3.42578125" style="544" customWidth="1"/>
    <col min="4108" max="4108" width="2.28515625" style="544" customWidth="1"/>
    <col min="4109" max="4110" width="2.7109375" style="544" customWidth="1"/>
    <col min="4111" max="4111" width="4" style="544" customWidth="1"/>
    <col min="4112" max="4112" width="2.85546875" style="544" customWidth="1"/>
    <col min="4113" max="4113" width="0.7109375" style="544" customWidth="1"/>
    <col min="4114" max="4114" width="3" style="544" bestFit="1" customWidth="1"/>
    <col min="4115" max="4115" width="2.7109375" style="544" customWidth="1"/>
    <col min="4116" max="4116" width="0.7109375" style="544" customWidth="1"/>
    <col min="4117" max="4117" width="2.7109375" style="544" customWidth="1"/>
    <col min="4118" max="4118" width="0.7109375" style="544" customWidth="1"/>
    <col min="4119" max="4119" width="2.7109375" style="544" customWidth="1"/>
    <col min="4120" max="4120" width="1" style="544" customWidth="1"/>
    <col min="4121" max="4121" width="3" style="544" bestFit="1" customWidth="1"/>
    <col min="4122" max="4122" width="0.7109375" style="544" customWidth="1"/>
    <col min="4123" max="4123" width="2.7109375" style="544" customWidth="1"/>
    <col min="4124" max="4124" width="0.5703125" style="544" customWidth="1"/>
    <col min="4125" max="4125" width="2.7109375" style="544" customWidth="1"/>
    <col min="4126" max="4126" width="0.7109375" style="544" customWidth="1"/>
    <col min="4127" max="4127" width="2.7109375" style="544" customWidth="1"/>
    <col min="4128" max="4128" width="0.5703125" style="544" customWidth="1"/>
    <col min="4129" max="4129" width="2.7109375" style="544" customWidth="1"/>
    <col min="4130" max="4130" width="0.42578125" style="544" customWidth="1"/>
    <col min="4131" max="4131" width="3" style="544" bestFit="1" customWidth="1"/>
    <col min="4132" max="4132" width="0.5703125" style="544" customWidth="1"/>
    <col min="4133" max="4133" width="3" style="544" bestFit="1" customWidth="1"/>
    <col min="4134" max="4134" width="0.7109375" style="544" customWidth="1"/>
    <col min="4135" max="4135" width="2.7109375" style="544" customWidth="1"/>
    <col min="4136" max="4136" width="0.5703125" style="544" customWidth="1"/>
    <col min="4137" max="4137" width="2.7109375" style="544" customWidth="1"/>
    <col min="4138" max="4138" width="0.5703125" style="544" customWidth="1"/>
    <col min="4139" max="4139" width="2.7109375" style="544" customWidth="1"/>
    <col min="4140" max="4140" width="0.5703125" style="544" customWidth="1"/>
    <col min="4141" max="4141" width="2.7109375" style="544" customWidth="1"/>
    <col min="4142" max="4142" width="0.5703125" style="544" customWidth="1"/>
    <col min="4143" max="4143" width="2.7109375" style="544" customWidth="1"/>
    <col min="4144" max="4144" width="0.7109375" style="544" customWidth="1"/>
    <col min="4145" max="4145" width="2" style="544" customWidth="1"/>
    <col min="4146" max="4146" width="3.7109375" style="544" customWidth="1"/>
    <col min="4147" max="4147" width="2.42578125" style="544" customWidth="1"/>
    <col min="4148" max="4172" width="2.7109375" style="544" customWidth="1"/>
    <col min="4173" max="4352" width="9.140625" style="544"/>
    <col min="4353" max="4353" width="2.42578125" style="544" customWidth="1"/>
    <col min="4354" max="4354" width="3" style="544" bestFit="1" customWidth="1"/>
    <col min="4355" max="4355" width="2.7109375" style="544" customWidth="1"/>
    <col min="4356" max="4356" width="3" style="544" bestFit="1" customWidth="1"/>
    <col min="4357" max="4357" width="3.42578125" style="544" customWidth="1"/>
    <col min="4358" max="4358" width="0.5703125" style="544" customWidth="1"/>
    <col min="4359" max="4359" width="3.42578125" style="544" customWidth="1"/>
    <col min="4360" max="4360" width="0.5703125" style="544" customWidth="1"/>
    <col min="4361" max="4361" width="3.42578125" style="544" customWidth="1"/>
    <col min="4362" max="4362" width="0.5703125" style="544" customWidth="1"/>
    <col min="4363" max="4363" width="3.42578125" style="544" customWidth="1"/>
    <col min="4364" max="4364" width="2.28515625" style="544" customWidth="1"/>
    <col min="4365" max="4366" width="2.7109375" style="544" customWidth="1"/>
    <col min="4367" max="4367" width="4" style="544" customWidth="1"/>
    <col min="4368" max="4368" width="2.85546875" style="544" customWidth="1"/>
    <col min="4369" max="4369" width="0.7109375" style="544" customWidth="1"/>
    <col min="4370" max="4370" width="3" style="544" bestFit="1" customWidth="1"/>
    <col min="4371" max="4371" width="2.7109375" style="544" customWidth="1"/>
    <col min="4372" max="4372" width="0.7109375" style="544" customWidth="1"/>
    <col min="4373" max="4373" width="2.7109375" style="544" customWidth="1"/>
    <col min="4374" max="4374" width="0.7109375" style="544" customWidth="1"/>
    <col min="4375" max="4375" width="2.7109375" style="544" customWidth="1"/>
    <col min="4376" max="4376" width="1" style="544" customWidth="1"/>
    <col min="4377" max="4377" width="3" style="544" bestFit="1" customWidth="1"/>
    <col min="4378" max="4378" width="0.7109375" style="544" customWidth="1"/>
    <col min="4379" max="4379" width="2.7109375" style="544" customWidth="1"/>
    <col min="4380" max="4380" width="0.5703125" style="544" customWidth="1"/>
    <col min="4381" max="4381" width="2.7109375" style="544" customWidth="1"/>
    <col min="4382" max="4382" width="0.7109375" style="544" customWidth="1"/>
    <col min="4383" max="4383" width="2.7109375" style="544" customWidth="1"/>
    <col min="4384" max="4384" width="0.5703125" style="544" customWidth="1"/>
    <col min="4385" max="4385" width="2.7109375" style="544" customWidth="1"/>
    <col min="4386" max="4386" width="0.42578125" style="544" customWidth="1"/>
    <col min="4387" max="4387" width="3" style="544" bestFit="1" customWidth="1"/>
    <col min="4388" max="4388" width="0.5703125" style="544" customWidth="1"/>
    <col min="4389" max="4389" width="3" style="544" bestFit="1" customWidth="1"/>
    <col min="4390" max="4390" width="0.7109375" style="544" customWidth="1"/>
    <col min="4391" max="4391" width="2.7109375" style="544" customWidth="1"/>
    <col min="4392" max="4392" width="0.5703125" style="544" customWidth="1"/>
    <col min="4393" max="4393" width="2.7109375" style="544" customWidth="1"/>
    <col min="4394" max="4394" width="0.5703125" style="544" customWidth="1"/>
    <col min="4395" max="4395" width="2.7109375" style="544" customWidth="1"/>
    <col min="4396" max="4396" width="0.5703125" style="544" customWidth="1"/>
    <col min="4397" max="4397" width="2.7109375" style="544" customWidth="1"/>
    <col min="4398" max="4398" width="0.5703125" style="544" customWidth="1"/>
    <col min="4399" max="4399" width="2.7109375" style="544" customWidth="1"/>
    <col min="4400" max="4400" width="0.7109375" style="544" customWidth="1"/>
    <col min="4401" max="4401" width="2" style="544" customWidth="1"/>
    <col min="4402" max="4402" width="3.7109375" style="544" customWidth="1"/>
    <col min="4403" max="4403" width="2.42578125" style="544" customWidth="1"/>
    <col min="4404" max="4428" width="2.7109375" style="544" customWidth="1"/>
    <col min="4429" max="4608" width="9.140625" style="544"/>
    <col min="4609" max="4609" width="2.42578125" style="544" customWidth="1"/>
    <col min="4610" max="4610" width="3" style="544" bestFit="1" customWidth="1"/>
    <col min="4611" max="4611" width="2.7109375" style="544" customWidth="1"/>
    <col min="4612" max="4612" width="3" style="544" bestFit="1" customWidth="1"/>
    <col min="4613" max="4613" width="3.42578125" style="544" customWidth="1"/>
    <col min="4614" max="4614" width="0.5703125" style="544" customWidth="1"/>
    <col min="4615" max="4615" width="3.42578125" style="544" customWidth="1"/>
    <col min="4616" max="4616" width="0.5703125" style="544" customWidth="1"/>
    <col min="4617" max="4617" width="3.42578125" style="544" customWidth="1"/>
    <col min="4618" max="4618" width="0.5703125" style="544" customWidth="1"/>
    <col min="4619" max="4619" width="3.42578125" style="544" customWidth="1"/>
    <col min="4620" max="4620" width="2.28515625" style="544" customWidth="1"/>
    <col min="4621" max="4622" width="2.7109375" style="544" customWidth="1"/>
    <col min="4623" max="4623" width="4" style="544" customWidth="1"/>
    <col min="4624" max="4624" width="2.85546875" style="544" customWidth="1"/>
    <col min="4625" max="4625" width="0.7109375" style="544" customWidth="1"/>
    <col min="4626" max="4626" width="3" style="544" bestFit="1" customWidth="1"/>
    <col min="4627" max="4627" width="2.7109375" style="544" customWidth="1"/>
    <col min="4628" max="4628" width="0.7109375" style="544" customWidth="1"/>
    <col min="4629" max="4629" width="2.7109375" style="544" customWidth="1"/>
    <col min="4630" max="4630" width="0.7109375" style="544" customWidth="1"/>
    <col min="4631" max="4631" width="2.7109375" style="544" customWidth="1"/>
    <col min="4632" max="4632" width="1" style="544" customWidth="1"/>
    <col min="4633" max="4633" width="3" style="544" bestFit="1" customWidth="1"/>
    <col min="4634" max="4634" width="0.7109375" style="544" customWidth="1"/>
    <col min="4635" max="4635" width="2.7109375" style="544" customWidth="1"/>
    <col min="4636" max="4636" width="0.5703125" style="544" customWidth="1"/>
    <col min="4637" max="4637" width="2.7109375" style="544" customWidth="1"/>
    <col min="4638" max="4638" width="0.7109375" style="544" customWidth="1"/>
    <col min="4639" max="4639" width="2.7109375" style="544" customWidth="1"/>
    <col min="4640" max="4640" width="0.5703125" style="544" customWidth="1"/>
    <col min="4641" max="4641" width="2.7109375" style="544" customWidth="1"/>
    <col min="4642" max="4642" width="0.42578125" style="544" customWidth="1"/>
    <col min="4643" max="4643" width="3" style="544" bestFit="1" customWidth="1"/>
    <col min="4644" max="4644" width="0.5703125" style="544" customWidth="1"/>
    <col min="4645" max="4645" width="3" style="544" bestFit="1" customWidth="1"/>
    <col min="4646" max="4646" width="0.7109375" style="544" customWidth="1"/>
    <col min="4647" max="4647" width="2.7109375" style="544" customWidth="1"/>
    <col min="4648" max="4648" width="0.5703125" style="544" customWidth="1"/>
    <col min="4649" max="4649" width="2.7109375" style="544" customWidth="1"/>
    <col min="4650" max="4650" width="0.5703125" style="544" customWidth="1"/>
    <col min="4651" max="4651" width="2.7109375" style="544" customWidth="1"/>
    <col min="4652" max="4652" width="0.5703125" style="544" customWidth="1"/>
    <col min="4653" max="4653" width="2.7109375" style="544" customWidth="1"/>
    <col min="4654" max="4654" width="0.5703125" style="544" customWidth="1"/>
    <col min="4655" max="4655" width="2.7109375" style="544" customWidth="1"/>
    <col min="4656" max="4656" width="0.7109375" style="544" customWidth="1"/>
    <col min="4657" max="4657" width="2" style="544" customWidth="1"/>
    <col min="4658" max="4658" width="3.7109375" style="544" customWidth="1"/>
    <col min="4659" max="4659" width="2.42578125" style="544" customWidth="1"/>
    <col min="4660" max="4684" width="2.7109375" style="544" customWidth="1"/>
    <col min="4685" max="4864" width="9.140625" style="544"/>
    <col min="4865" max="4865" width="2.42578125" style="544" customWidth="1"/>
    <col min="4866" max="4866" width="3" style="544" bestFit="1" customWidth="1"/>
    <col min="4867" max="4867" width="2.7109375" style="544" customWidth="1"/>
    <col min="4868" max="4868" width="3" style="544" bestFit="1" customWidth="1"/>
    <col min="4869" max="4869" width="3.42578125" style="544" customWidth="1"/>
    <col min="4870" max="4870" width="0.5703125" style="544" customWidth="1"/>
    <col min="4871" max="4871" width="3.42578125" style="544" customWidth="1"/>
    <col min="4872" max="4872" width="0.5703125" style="544" customWidth="1"/>
    <col min="4873" max="4873" width="3.42578125" style="544" customWidth="1"/>
    <col min="4874" max="4874" width="0.5703125" style="544" customWidth="1"/>
    <col min="4875" max="4875" width="3.42578125" style="544" customWidth="1"/>
    <col min="4876" max="4876" width="2.28515625" style="544" customWidth="1"/>
    <col min="4877" max="4878" width="2.7109375" style="544" customWidth="1"/>
    <col min="4879" max="4879" width="4" style="544" customWidth="1"/>
    <col min="4880" max="4880" width="2.85546875" style="544" customWidth="1"/>
    <col min="4881" max="4881" width="0.7109375" style="544" customWidth="1"/>
    <col min="4882" max="4882" width="3" style="544" bestFit="1" customWidth="1"/>
    <col min="4883" max="4883" width="2.7109375" style="544" customWidth="1"/>
    <col min="4884" max="4884" width="0.7109375" style="544" customWidth="1"/>
    <col min="4885" max="4885" width="2.7109375" style="544" customWidth="1"/>
    <col min="4886" max="4886" width="0.7109375" style="544" customWidth="1"/>
    <col min="4887" max="4887" width="2.7109375" style="544" customWidth="1"/>
    <col min="4888" max="4888" width="1" style="544" customWidth="1"/>
    <col min="4889" max="4889" width="3" style="544" bestFit="1" customWidth="1"/>
    <col min="4890" max="4890" width="0.7109375" style="544" customWidth="1"/>
    <col min="4891" max="4891" width="2.7109375" style="544" customWidth="1"/>
    <col min="4892" max="4892" width="0.5703125" style="544" customWidth="1"/>
    <col min="4893" max="4893" width="2.7109375" style="544" customWidth="1"/>
    <col min="4894" max="4894" width="0.7109375" style="544" customWidth="1"/>
    <col min="4895" max="4895" width="2.7109375" style="544" customWidth="1"/>
    <col min="4896" max="4896" width="0.5703125" style="544" customWidth="1"/>
    <col min="4897" max="4897" width="2.7109375" style="544" customWidth="1"/>
    <col min="4898" max="4898" width="0.42578125" style="544" customWidth="1"/>
    <col min="4899" max="4899" width="3" style="544" bestFit="1" customWidth="1"/>
    <col min="4900" max="4900" width="0.5703125" style="544" customWidth="1"/>
    <col min="4901" max="4901" width="3" style="544" bestFit="1" customWidth="1"/>
    <col min="4902" max="4902" width="0.7109375" style="544" customWidth="1"/>
    <col min="4903" max="4903" width="2.7109375" style="544" customWidth="1"/>
    <col min="4904" max="4904" width="0.5703125" style="544" customWidth="1"/>
    <col min="4905" max="4905" width="2.7109375" style="544" customWidth="1"/>
    <col min="4906" max="4906" width="0.5703125" style="544" customWidth="1"/>
    <col min="4907" max="4907" width="2.7109375" style="544" customWidth="1"/>
    <col min="4908" max="4908" width="0.5703125" style="544" customWidth="1"/>
    <col min="4909" max="4909" width="2.7109375" style="544" customWidth="1"/>
    <col min="4910" max="4910" width="0.5703125" style="544" customWidth="1"/>
    <col min="4911" max="4911" width="2.7109375" style="544" customWidth="1"/>
    <col min="4912" max="4912" width="0.7109375" style="544" customWidth="1"/>
    <col min="4913" max="4913" width="2" style="544" customWidth="1"/>
    <col min="4914" max="4914" width="3.7109375" style="544" customWidth="1"/>
    <col min="4915" max="4915" width="2.42578125" style="544" customWidth="1"/>
    <col min="4916" max="4940" width="2.7109375" style="544" customWidth="1"/>
    <col min="4941" max="5120" width="9.140625" style="544"/>
    <col min="5121" max="5121" width="2.42578125" style="544" customWidth="1"/>
    <col min="5122" max="5122" width="3" style="544" bestFit="1" customWidth="1"/>
    <col min="5123" max="5123" width="2.7109375" style="544" customWidth="1"/>
    <col min="5124" max="5124" width="3" style="544" bestFit="1" customWidth="1"/>
    <col min="5125" max="5125" width="3.42578125" style="544" customWidth="1"/>
    <col min="5126" max="5126" width="0.5703125" style="544" customWidth="1"/>
    <col min="5127" max="5127" width="3.42578125" style="544" customWidth="1"/>
    <col min="5128" max="5128" width="0.5703125" style="544" customWidth="1"/>
    <col min="5129" max="5129" width="3.42578125" style="544" customWidth="1"/>
    <col min="5130" max="5130" width="0.5703125" style="544" customWidth="1"/>
    <col min="5131" max="5131" width="3.42578125" style="544" customWidth="1"/>
    <col min="5132" max="5132" width="2.28515625" style="544" customWidth="1"/>
    <col min="5133" max="5134" width="2.7109375" style="544" customWidth="1"/>
    <col min="5135" max="5135" width="4" style="544" customWidth="1"/>
    <col min="5136" max="5136" width="2.85546875" style="544" customWidth="1"/>
    <col min="5137" max="5137" width="0.7109375" style="544" customWidth="1"/>
    <col min="5138" max="5138" width="3" style="544" bestFit="1" customWidth="1"/>
    <col min="5139" max="5139" width="2.7109375" style="544" customWidth="1"/>
    <col min="5140" max="5140" width="0.7109375" style="544" customWidth="1"/>
    <col min="5141" max="5141" width="2.7109375" style="544" customWidth="1"/>
    <col min="5142" max="5142" width="0.7109375" style="544" customWidth="1"/>
    <col min="5143" max="5143" width="2.7109375" style="544" customWidth="1"/>
    <col min="5144" max="5144" width="1" style="544" customWidth="1"/>
    <col min="5145" max="5145" width="3" style="544" bestFit="1" customWidth="1"/>
    <col min="5146" max="5146" width="0.7109375" style="544" customWidth="1"/>
    <col min="5147" max="5147" width="2.7109375" style="544" customWidth="1"/>
    <col min="5148" max="5148" width="0.5703125" style="544" customWidth="1"/>
    <col min="5149" max="5149" width="2.7109375" style="544" customWidth="1"/>
    <col min="5150" max="5150" width="0.7109375" style="544" customWidth="1"/>
    <col min="5151" max="5151" width="2.7109375" style="544" customWidth="1"/>
    <col min="5152" max="5152" width="0.5703125" style="544" customWidth="1"/>
    <col min="5153" max="5153" width="2.7109375" style="544" customWidth="1"/>
    <col min="5154" max="5154" width="0.42578125" style="544" customWidth="1"/>
    <col min="5155" max="5155" width="3" style="544" bestFit="1" customWidth="1"/>
    <col min="5156" max="5156" width="0.5703125" style="544" customWidth="1"/>
    <col min="5157" max="5157" width="3" style="544" bestFit="1" customWidth="1"/>
    <col min="5158" max="5158" width="0.7109375" style="544" customWidth="1"/>
    <col min="5159" max="5159" width="2.7109375" style="544" customWidth="1"/>
    <col min="5160" max="5160" width="0.5703125" style="544" customWidth="1"/>
    <col min="5161" max="5161" width="2.7109375" style="544" customWidth="1"/>
    <col min="5162" max="5162" width="0.5703125" style="544" customWidth="1"/>
    <col min="5163" max="5163" width="2.7109375" style="544" customWidth="1"/>
    <col min="5164" max="5164" width="0.5703125" style="544" customWidth="1"/>
    <col min="5165" max="5165" width="2.7109375" style="544" customWidth="1"/>
    <col min="5166" max="5166" width="0.5703125" style="544" customWidth="1"/>
    <col min="5167" max="5167" width="2.7109375" style="544" customWidth="1"/>
    <col min="5168" max="5168" width="0.7109375" style="544" customWidth="1"/>
    <col min="5169" max="5169" width="2" style="544" customWidth="1"/>
    <col min="5170" max="5170" width="3.7109375" style="544" customWidth="1"/>
    <col min="5171" max="5171" width="2.42578125" style="544" customWidth="1"/>
    <col min="5172" max="5196" width="2.7109375" style="544" customWidth="1"/>
    <col min="5197" max="5376" width="9.140625" style="544"/>
    <col min="5377" max="5377" width="2.42578125" style="544" customWidth="1"/>
    <col min="5378" max="5378" width="3" style="544" bestFit="1" customWidth="1"/>
    <col min="5379" max="5379" width="2.7109375" style="544" customWidth="1"/>
    <col min="5380" max="5380" width="3" style="544" bestFit="1" customWidth="1"/>
    <col min="5381" max="5381" width="3.42578125" style="544" customWidth="1"/>
    <col min="5382" max="5382" width="0.5703125" style="544" customWidth="1"/>
    <col min="5383" max="5383" width="3.42578125" style="544" customWidth="1"/>
    <col min="5384" max="5384" width="0.5703125" style="544" customWidth="1"/>
    <col min="5385" max="5385" width="3.42578125" style="544" customWidth="1"/>
    <col min="5386" max="5386" width="0.5703125" style="544" customWidth="1"/>
    <col min="5387" max="5387" width="3.42578125" style="544" customWidth="1"/>
    <col min="5388" max="5388" width="2.28515625" style="544" customWidth="1"/>
    <col min="5389" max="5390" width="2.7109375" style="544" customWidth="1"/>
    <col min="5391" max="5391" width="4" style="544" customWidth="1"/>
    <col min="5392" max="5392" width="2.85546875" style="544" customWidth="1"/>
    <col min="5393" max="5393" width="0.7109375" style="544" customWidth="1"/>
    <col min="5394" max="5394" width="3" style="544" bestFit="1" customWidth="1"/>
    <col min="5395" max="5395" width="2.7109375" style="544" customWidth="1"/>
    <col min="5396" max="5396" width="0.7109375" style="544" customWidth="1"/>
    <col min="5397" max="5397" width="2.7109375" style="544" customWidth="1"/>
    <col min="5398" max="5398" width="0.7109375" style="544" customWidth="1"/>
    <col min="5399" max="5399" width="2.7109375" style="544" customWidth="1"/>
    <col min="5400" max="5400" width="1" style="544" customWidth="1"/>
    <col min="5401" max="5401" width="3" style="544" bestFit="1" customWidth="1"/>
    <col min="5402" max="5402" width="0.7109375" style="544" customWidth="1"/>
    <col min="5403" max="5403" width="2.7109375" style="544" customWidth="1"/>
    <col min="5404" max="5404" width="0.5703125" style="544" customWidth="1"/>
    <col min="5405" max="5405" width="2.7109375" style="544" customWidth="1"/>
    <col min="5406" max="5406" width="0.7109375" style="544" customWidth="1"/>
    <col min="5407" max="5407" width="2.7109375" style="544" customWidth="1"/>
    <col min="5408" max="5408" width="0.5703125" style="544" customWidth="1"/>
    <col min="5409" max="5409" width="2.7109375" style="544" customWidth="1"/>
    <col min="5410" max="5410" width="0.42578125" style="544" customWidth="1"/>
    <col min="5411" max="5411" width="3" style="544" bestFit="1" customWidth="1"/>
    <col min="5412" max="5412" width="0.5703125" style="544" customWidth="1"/>
    <col min="5413" max="5413" width="3" style="544" bestFit="1" customWidth="1"/>
    <col min="5414" max="5414" width="0.7109375" style="544" customWidth="1"/>
    <col min="5415" max="5415" width="2.7109375" style="544" customWidth="1"/>
    <col min="5416" max="5416" width="0.5703125" style="544" customWidth="1"/>
    <col min="5417" max="5417" width="2.7109375" style="544" customWidth="1"/>
    <col min="5418" max="5418" width="0.5703125" style="544" customWidth="1"/>
    <col min="5419" max="5419" width="2.7109375" style="544" customWidth="1"/>
    <col min="5420" max="5420" width="0.5703125" style="544" customWidth="1"/>
    <col min="5421" max="5421" width="2.7109375" style="544" customWidth="1"/>
    <col min="5422" max="5422" width="0.5703125" style="544" customWidth="1"/>
    <col min="5423" max="5423" width="2.7109375" style="544" customWidth="1"/>
    <col min="5424" max="5424" width="0.7109375" style="544" customWidth="1"/>
    <col min="5425" max="5425" width="2" style="544" customWidth="1"/>
    <col min="5426" max="5426" width="3.7109375" style="544" customWidth="1"/>
    <col min="5427" max="5427" width="2.42578125" style="544" customWidth="1"/>
    <col min="5428" max="5452" width="2.7109375" style="544" customWidth="1"/>
    <col min="5453" max="5632" width="9.140625" style="544"/>
    <col min="5633" max="5633" width="2.42578125" style="544" customWidth="1"/>
    <col min="5634" max="5634" width="3" style="544" bestFit="1" customWidth="1"/>
    <col min="5635" max="5635" width="2.7109375" style="544" customWidth="1"/>
    <col min="5636" max="5636" width="3" style="544" bestFit="1" customWidth="1"/>
    <col min="5637" max="5637" width="3.42578125" style="544" customWidth="1"/>
    <col min="5638" max="5638" width="0.5703125" style="544" customWidth="1"/>
    <col min="5639" max="5639" width="3.42578125" style="544" customWidth="1"/>
    <col min="5640" max="5640" width="0.5703125" style="544" customWidth="1"/>
    <col min="5641" max="5641" width="3.42578125" style="544" customWidth="1"/>
    <col min="5642" max="5642" width="0.5703125" style="544" customWidth="1"/>
    <col min="5643" max="5643" width="3.42578125" style="544" customWidth="1"/>
    <col min="5644" max="5644" width="2.28515625" style="544" customWidth="1"/>
    <col min="5645" max="5646" width="2.7109375" style="544" customWidth="1"/>
    <col min="5647" max="5647" width="4" style="544" customWidth="1"/>
    <col min="5648" max="5648" width="2.85546875" style="544" customWidth="1"/>
    <col min="5649" max="5649" width="0.7109375" style="544" customWidth="1"/>
    <col min="5650" max="5650" width="3" style="544" bestFit="1" customWidth="1"/>
    <col min="5651" max="5651" width="2.7109375" style="544" customWidth="1"/>
    <col min="5652" max="5652" width="0.7109375" style="544" customWidth="1"/>
    <col min="5653" max="5653" width="2.7109375" style="544" customWidth="1"/>
    <col min="5654" max="5654" width="0.7109375" style="544" customWidth="1"/>
    <col min="5655" max="5655" width="2.7109375" style="544" customWidth="1"/>
    <col min="5656" max="5656" width="1" style="544" customWidth="1"/>
    <col min="5657" max="5657" width="3" style="544" bestFit="1" customWidth="1"/>
    <col min="5658" max="5658" width="0.7109375" style="544" customWidth="1"/>
    <col min="5659" max="5659" width="2.7109375" style="544" customWidth="1"/>
    <col min="5660" max="5660" width="0.5703125" style="544" customWidth="1"/>
    <col min="5661" max="5661" width="2.7109375" style="544" customWidth="1"/>
    <col min="5662" max="5662" width="0.7109375" style="544" customWidth="1"/>
    <col min="5663" max="5663" width="2.7109375" style="544" customWidth="1"/>
    <col min="5664" max="5664" width="0.5703125" style="544" customWidth="1"/>
    <col min="5665" max="5665" width="2.7109375" style="544" customWidth="1"/>
    <col min="5666" max="5666" width="0.42578125" style="544" customWidth="1"/>
    <col min="5667" max="5667" width="3" style="544" bestFit="1" customWidth="1"/>
    <col min="5668" max="5668" width="0.5703125" style="544" customWidth="1"/>
    <col min="5669" max="5669" width="3" style="544" bestFit="1" customWidth="1"/>
    <col min="5670" max="5670" width="0.7109375" style="544" customWidth="1"/>
    <col min="5671" max="5671" width="2.7109375" style="544" customWidth="1"/>
    <col min="5672" max="5672" width="0.5703125" style="544" customWidth="1"/>
    <col min="5673" max="5673" width="2.7109375" style="544" customWidth="1"/>
    <col min="5674" max="5674" width="0.5703125" style="544" customWidth="1"/>
    <col min="5675" max="5675" width="2.7109375" style="544" customWidth="1"/>
    <col min="5676" max="5676" width="0.5703125" style="544" customWidth="1"/>
    <col min="5677" max="5677" width="2.7109375" style="544" customWidth="1"/>
    <col min="5678" max="5678" width="0.5703125" style="544" customWidth="1"/>
    <col min="5679" max="5679" width="2.7109375" style="544" customWidth="1"/>
    <col min="5680" max="5680" width="0.7109375" style="544" customWidth="1"/>
    <col min="5681" max="5681" width="2" style="544" customWidth="1"/>
    <col min="5682" max="5682" width="3.7109375" style="544" customWidth="1"/>
    <col min="5683" max="5683" width="2.42578125" style="544" customWidth="1"/>
    <col min="5684" max="5708" width="2.7109375" style="544" customWidth="1"/>
    <col min="5709" max="5888" width="9.140625" style="544"/>
    <col min="5889" max="5889" width="2.42578125" style="544" customWidth="1"/>
    <col min="5890" max="5890" width="3" style="544" bestFit="1" customWidth="1"/>
    <col min="5891" max="5891" width="2.7109375" style="544" customWidth="1"/>
    <col min="5892" max="5892" width="3" style="544" bestFit="1" customWidth="1"/>
    <col min="5893" max="5893" width="3.42578125" style="544" customWidth="1"/>
    <col min="5894" max="5894" width="0.5703125" style="544" customWidth="1"/>
    <col min="5895" max="5895" width="3.42578125" style="544" customWidth="1"/>
    <col min="5896" max="5896" width="0.5703125" style="544" customWidth="1"/>
    <col min="5897" max="5897" width="3.42578125" style="544" customWidth="1"/>
    <col min="5898" max="5898" width="0.5703125" style="544" customWidth="1"/>
    <col min="5899" max="5899" width="3.42578125" style="544" customWidth="1"/>
    <col min="5900" max="5900" width="2.28515625" style="544" customWidth="1"/>
    <col min="5901" max="5902" width="2.7109375" style="544" customWidth="1"/>
    <col min="5903" max="5903" width="4" style="544" customWidth="1"/>
    <col min="5904" max="5904" width="2.85546875" style="544" customWidth="1"/>
    <col min="5905" max="5905" width="0.7109375" style="544" customWidth="1"/>
    <col min="5906" max="5906" width="3" style="544" bestFit="1" customWidth="1"/>
    <col min="5907" max="5907" width="2.7109375" style="544" customWidth="1"/>
    <col min="5908" max="5908" width="0.7109375" style="544" customWidth="1"/>
    <col min="5909" max="5909" width="2.7109375" style="544" customWidth="1"/>
    <col min="5910" max="5910" width="0.7109375" style="544" customWidth="1"/>
    <col min="5911" max="5911" width="2.7109375" style="544" customWidth="1"/>
    <col min="5912" max="5912" width="1" style="544" customWidth="1"/>
    <col min="5913" max="5913" width="3" style="544" bestFit="1" customWidth="1"/>
    <col min="5914" max="5914" width="0.7109375" style="544" customWidth="1"/>
    <col min="5915" max="5915" width="2.7109375" style="544" customWidth="1"/>
    <col min="5916" max="5916" width="0.5703125" style="544" customWidth="1"/>
    <col min="5917" max="5917" width="2.7109375" style="544" customWidth="1"/>
    <col min="5918" max="5918" width="0.7109375" style="544" customWidth="1"/>
    <col min="5919" max="5919" width="2.7109375" style="544" customWidth="1"/>
    <col min="5920" max="5920" width="0.5703125" style="544" customWidth="1"/>
    <col min="5921" max="5921" width="2.7109375" style="544" customWidth="1"/>
    <col min="5922" max="5922" width="0.42578125" style="544" customWidth="1"/>
    <col min="5923" max="5923" width="3" style="544" bestFit="1" customWidth="1"/>
    <col min="5924" max="5924" width="0.5703125" style="544" customWidth="1"/>
    <col min="5925" max="5925" width="3" style="544" bestFit="1" customWidth="1"/>
    <col min="5926" max="5926" width="0.7109375" style="544" customWidth="1"/>
    <col min="5927" max="5927" width="2.7109375" style="544" customWidth="1"/>
    <col min="5928" max="5928" width="0.5703125" style="544" customWidth="1"/>
    <col min="5929" max="5929" width="2.7109375" style="544" customWidth="1"/>
    <col min="5930" max="5930" width="0.5703125" style="544" customWidth="1"/>
    <col min="5931" max="5931" width="2.7109375" style="544" customWidth="1"/>
    <col min="5932" max="5932" width="0.5703125" style="544" customWidth="1"/>
    <col min="5933" max="5933" width="2.7109375" style="544" customWidth="1"/>
    <col min="5934" max="5934" width="0.5703125" style="544" customWidth="1"/>
    <col min="5935" max="5935" width="2.7109375" style="544" customWidth="1"/>
    <col min="5936" max="5936" width="0.7109375" style="544" customWidth="1"/>
    <col min="5937" max="5937" width="2" style="544" customWidth="1"/>
    <col min="5938" max="5938" width="3.7109375" style="544" customWidth="1"/>
    <col min="5939" max="5939" width="2.42578125" style="544" customWidth="1"/>
    <col min="5940" max="5964" width="2.7109375" style="544" customWidth="1"/>
    <col min="5965" max="6144" width="9.140625" style="544"/>
    <col min="6145" max="6145" width="2.42578125" style="544" customWidth="1"/>
    <col min="6146" max="6146" width="3" style="544" bestFit="1" customWidth="1"/>
    <col min="6147" max="6147" width="2.7109375" style="544" customWidth="1"/>
    <col min="6148" max="6148" width="3" style="544" bestFit="1" customWidth="1"/>
    <col min="6149" max="6149" width="3.42578125" style="544" customWidth="1"/>
    <col min="6150" max="6150" width="0.5703125" style="544" customWidth="1"/>
    <col min="6151" max="6151" width="3.42578125" style="544" customWidth="1"/>
    <col min="6152" max="6152" width="0.5703125" style="544" customWidth="1"/>
    <col min="6153" max="6153" width="3.42578125" style="544" customWidth="1"/>
    <col min="6154" max="6154" width="0.5703125" style="544" customWidth="1"/>
    <col min="6155" max="6155" width="3.42578125" style="544" customWidth="1"/>
    <col min="6156" max="6156" width="2.28515625" style="544" customWidth="1"/>
    <col min="6157" max="6158" width="2.7109375" style="544" customWidth="1"/>
    <col min="6159" max="6159" width="4" style="544" customWidth="1"/>
    <col min="6160" max="6160" width="2.85546875" style="544" customWidth="1"/>
    <col min="6161" max="6161" width="0.7109375" style="544" customWidth="1"/>
    <col min="6162" max="6162" width="3" style="544" bestFit="1" customWidth="1"/>
    <col min="6163" max="6163" width="2.7109375" style="544" customWidth="1"/>
    <col min="6164" max="6164" width="0.7109375" style="544" customWidth="1"/>
    <col min="6165" max="6165" width="2.7109375" style="544" customWidth="1"/>
    <col min="6166" max="6166" width="0.7109375" style="544" customWidth="1"/>
    <col min="6167" max="6167" width="2.7109375" style="544" customWidth="1"/>
    <col min="6168" max="6168" width="1" style="544" customWidth="1"/>
    <col min="6169" max="6169" width="3" style="544" bestFit="1" customWidth="1"/>
    <col min="6170" max="6170" width="0.7109375" style="544" customWidth="1"/>
    <col min="6171" max="6171" width="2.7109375" style="544" customWidth="1"/>
    <col min="6172" max="6172" width="0.5703125" style="544" customWidth="1"/>
    <col min="6173" max="6173" width="2.7109375" style="544" customWidth="1"/>
    <col min="6174" max="6174" width="0.7109375" style="544" customWidth="1"/>
    <col min="6175" max="6175" width="2.7109375" style="544" customWidth="1"/>
    <col min="6176" max="6176" width="0.5703125" style="544" customWidth="1"/>
    <col min="6177" max="6177" width="2.7109375" style="544" customWidth="1"/>
    <col min="6178" max="6178" width="0.42578125" style="544" customWidth="1"/>
    <col min="6179" max="6179" width="3" style="544" bestFit="1" customWidth="1"/>
    <col min="6180" max="6180" width="0.5703125" style="544" customWidth="1"/>
    <col min="6181" max="6181" width="3" style="544" bestFit="1" customWidth="1"/>
    <col min="6182" max="6182" width="0.7109375" style="544" customWidth="1"/>
    <col min="6183" max="6183" width="2.7109375" style="544" customWidth="1"/>
    <col min="6184" max="6184" width="0.5703125" style="544" customWidth="1"/>
    <col min="6185" max="6185" width="2.7109375" style="544" customWidth="1"/>
    <col min="6186" max="6186" width="0.5703125" style="544" customWidth="1"/>
    <col min="6187" max="6187" width="2.7109375" style="544" customWidth="1"/>
    <col min="6188" max="6188" width="0.5703125" style="544" customWidth="1"/>
    <col min="6189" max="6189" width="2.7109375" style="544" customWidth="1"/>
    <col min="6190" max="6190" width="0.5703125" style="544" customWidth="1"/>
    <col min="6191" max="6191" width="2.7109375" style="544" customWidth="1"/>
    <col min="6192" max="6192" width="0.7109375" style="544" customWidth="1"/>
    <col min="6193" max="6193" width="2" style="544" customWidth="1"/>
    <col min="6194" max="6194" width="3.7109375" style="544" customWidth="1"/>
    <col min="6195" max="6195" width="2.42578125" style="544" customWidth="1"/>
    <col min="6196" max="6220" width="2.7109375" style="544" customWidth="1"/>
    <col min="6221" max="6400" width="9.140625" style="544"/>
    <col min="6401" max="6401" width="2.42578125" style="544" customWidth="1"/>
    <col min="6402" max="6402" width="3" style="544" bestFit="1" customWidth="1"/>
    <col min="6403" max="6403" width="2.7109375" style="544" customWidth="1"/>
    <col min="6404" max="6404" width="3" style="544" bestFit="1" customWidth="1"/>
    <col min="6405" max="6405" width="3.42578125" style="544" customWidth="1"/>
    <col min="6406" max="6406" width="0.5703125" style="544" customWidth="1"/>
    <col min="6407" max="6407" width="3.42578125" style="544" customWidth="1"/>
    <col min="6408" max="6408" width="0.5703125" style="544" customWidth="1"/>
    <col min="6409" max="6409" width="3.42578125" style="544" customWidth="1"/>
    <col min="6410" max="6410" width="0.5703125" style="544" customWidth="1"/>
    <col min="6411" max="6411" width="3.42578125" style="544" customWidth="1"/>
    <col min="6412" max="6412" width="2.28515625" style="544" customWidth="1"/>
    <col min="6413" max="6414" width="2.7109375" style="544" customWidth="1"/>
    <col min="6415" max="6415" width="4" style="544" customWidth="1"/>
    <col min="6416" max="6416" width="2.85546875" style="544" customWidth="1"/>
    <col min="6417" max="6417" width="0.7109375" style="544" customWidth="1"/>
    <col min="6418" max="6418" width="3" style="544" bestFit="1" customWidth="1"/>
    <col min="6419" max="6419" width="2.7109375" style="544" customWidth="1"/>
    <col min="6420" max="6420" width="0.7109375" style="544" customWidth="1"/>
    <col min="6421" max="6421" width="2.7109375" style="544" customWidth="1"/>
    <col min="6422" max="6422" width="0.7109375" style="544" customWidth="1"/>
    <col min="6423" max="6423" width="2.7109375" style="544" customWidth="1"/>
    <col min="6424" max="6424" width="1" style="544" customWidth="1"/>
    <col min="6425" max="6425" width="3" style="544" bestFit="1" customWidth="1"/>
    <col min="6426" max="6426" width="0.7109375" style="544" customWidth="1"/>
    <col min="6427" max="6427" width="2.7109375" style="544" customWidth="1"/>
    <col min="6428" max="6428" width="0.5703125" style="544" customWidth="1"/>
    <col min="6429" max="6429" width="2.7109375" style="544" customWidth="1"/>
    <col min="6430" max="6430" width="0.7109375" style="544" customWidth="1"/>
    <col min="6431" max="6431" width="2.7109375" style="544" customWidth="1"/>
    <col min="6432" max="6432" width="0.5703125" style="544" customWidth="1"/>
    <col min="6433" max="6433" width="2.7109375" style="544" customWidth="1"/>
    <col min="6434" max="6434" width="0.42578125" style="544" customWidth="1"/>
    <col min="6435" max="6435" width="3" style="544" bestFit="1" customWidth="1"/>
    <col min="6436" max="6436" width="0.5703125" style="544" customWidth="1"/>
    <col min="6437" max="6437" width="3" style="544" bestFit="1" customWidth="1"/>
    <col min="6438" max="6438" width="0.7109375" style="544" customWidth="1"/>
    <col min="6439" max="6439" width="2.7109375" style="544" customWidth="1"/>
    <col min="6440" max="6440" width="0.5703125" style="544" customWidth="1"/>
    <col min="6441" max="6441" width="2.7109375" style="544" customWidth="1"/>
    <col min="6442" max="6442" width="0.5703125" style="544" customWidth="1"/>
    <col min="6443" max="6443" width="2.7109375" style="544" customWidth="1"/>
    <col min="6444" max="6444" width="0.5703125" style="544" customWidth="1"/>
    <col min="6445" max="6445" width="2.7109375" style="544" customWidth="1"/>
    <col min="6446" max="6446" width="0.5703125" style="544" customWidth="1"/>
    <col min="6447" max="6447" width="2.7109375" style="544" customWidth="1"/>
    <col min="6448" max="6448" width="0.7109375" style="544" customWidth="1"/>
    <col min="6449" max="6449" width="2" style="544" customWidth="1"/>
    <col min="6450" max="6450" width="3.7109375" style="544" customWidth="1"/>
    <col min="6451" max="6451" width="2.42578125" style="544" customWidth="1"/>
    <col min="6452" max="6476" width="2.7109375" style="544" customWidth="1"/>
    <col min="6477" max="6656" width="9.140625" style="544"/>
    <col min="6657" max="6657" width="2.42578125" style="544" customWidth="1"/>
    <col min="6658" max="6658" width="3" style="544" bestFit="1" customWidth="1"/>
    <col min="6659" max="6659" width="2.7109375" style="544" customWidth="1"/>
    <col min="6660" max="6660" width="3" style="544" bestFit="1" customWidth="1"/>
    <col min="6661" max="6661" width="3.42578125" style="544" customWidth="1"/>
    <col min="6662" max="6662" width="0.5703125" style="544" customWidth="1"/>
    <col min="6663" max="6663" width="3.42578125" style="544" customWidth="1"/>
    <col min="6664" max="6664" width="0.5703125" style="544" customWidth="1"/>
    <col min="6665" max="6665" width="3.42578125" style="544" customWidth="1"/>
    <col min="6666" max="6666" width="0.5703125" style="544" customWidth="1"/>
    <col min="6667" max="6667" width="3.42578125" style="544" customWidth="1"/>
    <col min="6668" max="6668" width="2.28515625" style="544" customWidth="1"/>
    <col min="6669" max="6670" width="2.7109375" style="544" customWidth="1"/>
    <col min="6671" max="6671" width="4" style="544" customWidth="1"/>
    <col min="6672" max="6672" width="2.85546875" style="544" customWidth="1"/>
    <col min="6673" max="6673" width="0.7109375" style="544" customWidth="1"/>
    <col min="6674" max="6674" width="3" style="544" bestFit="1" customWidth="1"/>
    <col min="6675" max="6675" width="2.7109375" style="544" customWidth="1"/>
    <col min="6676" max="6676" width="0.7109375" style="544" customWidth="1"/>
    <col min="6677" max="6677" width="2.7109375" style="544" customWidth="1"/>
    <col min="6678" max="6678" width="0.7109375" style="544" customWidth="1"/>
    <col min="6679" max="6679" width="2.7109375" style="544" customWidth="1"/>
    <col min="6680" max="6680" width="1" style="544" customWidth="1"/>
    <col min="6681" max="6681" width="3" style="544" bestFit="1" customWidth="1"/>
    <col min="6682" max="6682" width="0.7109375" style="544" customWidth="1"/>
    <col min="6683" max="6683" width="2.7109375" style="544" customWidth="1"/>
    <col min="6684" max="6684" width="0.5703125" style="544" customWidth="1"/>
    <col min="6685" max="6685" width="2.7109375" style="544" customWidth="1"/>
    <col min="6686" max="6686" width="0.7109375" style="544" customWidth="1"/>
    <col min="6687" max="6687" width="2.7109375" style="544" customWidth="1"/>
    <col min="6688" max="6688" width="0.5703125" style="544" customWidth="1"/>
    <col min="6689" max="6689" width="2.7109375" style="544" customWidth="1"/>
    <col min="6690" max="6690" width="0.42578125" style="544" customWidth="1"/>
    <col min="6691" max="6691" width="3" style="544" bestFit="1" customWidth="1"/>
    <col min="6692" max="6692" width="0.5703125" style="544" customWidth="1"/>
    <col min="6693" max="6693" width="3" style="544" bestFit="1" customWidth="1"/>
    <col min="6694" max="6694" width="0.7109375" style="544" customWidth="1"/>
    <col min="6695" max="6695" width="2.7109375" style="544" customWidth="1"/>
    <col min="6696" max="6696" width="0.5703125" style="544" customWidth="1"/>
    <col min="6697" max="6697" width="2.7109375" style="544" customWidth="1"/>
    <col min="6698" max="6698" width="0.5703125" style="544" customWidth="1"/>
    <col min="6699" max="6699" width="2.7109375" style="544" customWidth="1"/>
    <col min="6700" max="6700" width="0.5703125" style="544" customWidth="1"/>
    <col min="6701" max="6701" width="2.7109375" style="544" customWidth="1"/>
    <col min="6702" max="6702" width="0.5703125" style="544" customWidth="1"/>
    <col min="6703" max="6703" width="2.7109375" style="544" customWidth="1"/>
    <col min="6704" max="6704" width="0.7109375" style="544" customWidth="1"/>
    <col min="6705" max="6705" width="2" style="544" customWidth="1"/>
    <col min="6706" max="6706" width="3.7109375" style="544" customWidth="1"/>
    <col min="6707" max="6707" width="2.42578125" style="544" customWidth="1"/>
    <col min="6708" max="6732" width="2.7109375" style="544" customWidth="1"/>
    <col min="6733" max="6912" width="9.140625" style="544"/>
    <col min="6913" max="6913" width="2.42578125" style="544" customWidth="1"/>
    <col min="6914" max="6914" width="3" style="544" bestFit="1" customWidth="1"/>
    <col min="6915" max="6915" width="2.7109375" style="544" customWidth="1"/>
    <col min="6916" max="6916" width="3" style="544" bestFit="1" customWidth="1"/>
    <col min="6917" max="6917" width="3.42578125" style="544" customWidth="1"/>
    <col min="6918" max="6918" width="0.5703125" style="544" customWidth="1"/>
    <col min="6919" max="6919" width="3.42578125" style="544" customWidth="1"/>
    <col min="6920" max="6920" width="0.5703125" style="544" customWidth="1"/>
    <col min="6921" max="6921" width="3.42578125" style="544" customWidth="1"/>
    <col min="6922" max="6922" width="0.5703125" style="544" customWidth="1"/>
    <col min="6923" max="6923" width="3.42578125" style="544" customWidth="1"/>
    <col min="6924" max="6924" width="2.28515625" style="544" customWidth="1"/>
    <col min="6925" max="6926" width="2.7109375" style="544" customWidth="1"/>
    <col min="6927" max="6927" width="4" style="544" customWidth="1"/>
    <col min="6928" max="6928" width="2.85546875" style="544" customWidth="1"/>
    <col min="6929" max="6929" width="0.7109375" style="544" customWidth="1"/>
    <col min="6930" max="6930" width="3" style="544" bestFit="1" customWidth="1"/>
    <col min="6931" max="6931" width="2.7109375" style="544" customWidth="1"/>
    <col min="6932" max="6932" width="0.7109375" style="544" customWidth="1"/>
    <col min="6933" max="6933" width="2.7109375" style="544" customWidth="1"/>
    <col min="6934" max="6934" width="0.7109375" style="544" customWidth="1"/>
    <col min="6935" max="6935" width="2.7109375" style="544" customWidth="1"/>
    <col min="6936" max="6936" width="1" style="544" customWidth="1"/>
    <col min="6937" max="6937" width="3" style="544" bestFit="1" customWidth="1"/>
    <col min="6938" max="6938" width="0.7109375" style="544" customWidth="1"/>
    <col min="6939" max="6939" width="2.7109375" style="544" customWidth="1"/>
    <col min="6940" max="6940" width="0.5703125" style="544" customWidth="1"/>
    <col min="6941" max="6941" width="2.7109375" style="544" customWidth="1"/>
    <col min="6942" max="6942" width="0.7109375" style="544" customWidth="1"/>
    <col min="6943" max="6943" width="2.7109375" style="544" customWidth="1"/>
    <col min="6944" max="6944" width="0.5703125" style="544" customWidth="1"/>
    <col min="6945" max="6945" width="2.7109375" style="544" customWidth="1"/>
    <col min="6946" max="6946" width="0.42578125" style="544" customWidth="1"/>
    <col min="6947" max="6947" width="3" style="544" bestFit="1" customWidth="1"/>
    <col min="6948" max="6948" width="0.5703125" style="544" customWidth="1"/>
    <col min="6949" max="6949" width="3" style="544" bestFit="1" customWidth="1"/>
    <col min="6950" max="6950" width="0.7109375" style="544" customWidth="1"/>
    <col min="6951" max="6951" width="2.7109375" style="544" customWidth="1"/>
    <col min="6952" max="6952" width="0.5703125" style="544" customWidth="1"/>
    <col min="6953" max="6953" width="2.7109375" style="544" customWidth="1"/>
    <col min="6954" max="6954" width="0.5703125" style="544" customWidth="1"/>
    <col min="6955" max="6955" width="2.7109375" style="544" customWidth="1"/>
    <col min="6956" max="6956" width="0.5703125" style="544" customWidth="1"/>
    <col min="6957" max="6957" width="2.7109375" style="544" customWidth="1"/>
    <col min="6958" max="6958" width="0.5703125" style="544" customWidth="1"/>
    <col min="6959" max="6959" width="2.7109375" style="544" customWidth="1"/>
    <col min="6960" max="6960" width="0.7109375" style="544" customWidth="1"/>
    <col min="6961" max="6961" width="2" style="544" customWidth="1"/>
    <col min="6962" max="6962" width="3.7109375" style="544" customWidth="1"/>
    <col min="6963" max="6963" width="2.42578125" style="544" customWidth="1"/>
    <col min="6964" max="6988" width="2.7109375" style="544" customWidth="1"/>
    <col min="6989" max="7168" width="9.140625" style="544"/>
    <col min="7169" max="7169" width="2.42578125" style="544" customWidth="1"/>
    <col min="7170" max="7170" width="3" style="544" bestFit="1" customWidth="1"/>
    <col min="7171" max="7171" width="2.7109375" style="544" customWidth="1"/>
    <col min="7172" max="7172" width="3" style="544" bestFit="1" customWidth="1"/>
    <col min="7173" max="7173" width="3.42578125" style="544" customWidth="1"/>
    <col min="7174" max="7174" width="0.5703125" style="544" customWidth="1"/>
    <col min="7175" max="7175" width="3.42578125" style="544" customWidth="1"/>
    <col min="7176" max="7176" width="0.5703125" style="544" customWidth="1"/>
    <col min="7177" max="7177" width="3.42578125" style="544" customWidth="1"/>
    <col min="7178" max="7178" width="0.5703125" style="544" customWidth="1"/>
    <col min="7179" max="7179" width="3.42578125" style="544" customWidth="1"/>
    <col min="7180" max="7180" width="2.28515625" style="544" customWidth="1"/>
    <col min="7181" max="7182" width="2.7109375" style="544" customWidth="1"/>
    <col min="7183" max="7183" width="4" style="544" customWidth="1"/>
    <col min="7184" max="7184" width="2.85546875" style="544" customWidth="1"/>
    <col min="7185" max="7185" width="0.7109375" style="544" customWidth="1"/>
    <col min="7186" max="7186" width="3" style="544" bestFit="1" customWidth="1"/>
    <col min="7187" max="7187" width="2.7109375" style="544" customWidth="1"/>
    <col min="7188" max="7188" width="0.7109375" style="544" customWidth="1"/>
    <col min="7189" max="7189" width="2.7109375" style="544" customWidth="1"/>
    <col min="7190" max="7190" width="0.7109375" style="544" customWidth="1"/>
    <col min="7191" max="7191" width="2.7109375" style="544" customWidth="1"/>
    <col min="7192" max="7192" width="1" style="544" customWidth="1"/>
    <col min="7193" max="7193" width="3" style="544" bestFit="1" customWidth="1"/>
    <col min="7194" max="7194" width="0.7109375" style="544" customWidth="1"/>
    <col min="7195" max="7195" width="2.7109375" style="544" customWidth="1"/>
    <col min="7196" max="7196" width="0.5703125" style="544" customWidth="1"/>
    <col min="7197" max="7197" width="2.7109375" style="544" customWidth="1"/>
    <col min="7198" max="7198" width="0.7109375" style="544" customWidth="1"/>
    <col min="7199" max="7199" width="2.7109375" style="544" customWidth="1"/>
    <col min="7200" max="7200" width="0.5703125" style="544" customWidth="1"/>
    <col min="7201" max="7201" width="2.7109375" style="544" customWidth="1"/>
    <col min="7202" max="7202" width="0.42578125" style="544" customWidth="1"/>
    <col min="7203" max="7203" width="3" style="544" bestFit="1" customWidth="1"/>
    <col min="7204" max="7204" width="0.5703125" style="544" customWidth="1"/>
    <col min="7205" max="7205" width="3" style="544" bestFit="1" customWidth="1"/>
    <col min="7206" max="7206" width="0.7109375" style="544" customWidth="1"/>
    <col min="7207" max="7207" width="2.7109375" style="544" customWidth="1"/>
    <col min="7208" max="7208" width="0.5703125" style="544" customWidth="1"/>
    <col min="7209" max="7209" width="2.7109375" style="544" customWidth="1"/>
    <col min="7210" max="7210" width="0.5703125" style="544" customWidth="1"/>
    <col min="7211" max="7211" width="2.7109375" style="544" customWidth="1"/>
    <col min="7212" max="7212" width="0.5703125" style="544" customWidth="1"/>
    <col min="7213" max="7213" width="2.7109375" style="544" customWidth="1"/>
    <col min="7214" max="7214" width="0.5703125" style="544" customWidth="1"/>
    <col min="7215" max="7215" width="2.7109375" style="544" customWidth="1"/>
    <col min="7216" max="7216" width="0.7109375" style="544" customWidth="1"/>
    <col min="7217" max="7217" width="2" style="544" customWidth="1"/>
    <col min="7218" max="7218" width="3.7109375" style="544" customWidth="1"/>
    <col min="7219" max="7219" width="2.42578125" style="544" customWidth="1"/>
    <col min="7220" max="7244" width="2.7109375" style="544" customWidth="1"/>
    <col min="7245" max="7424" width="9.140625" style="544"/>
    <col min="7425" max="7425" width="2.42578125" style="544" customWidth="1"/>
    <col min="7426" max="7426" width="3" style="544" bestFit="1" customWidth="1"/>
    <col min="7427" max="7427" width="2.7109375" style="544" customWidth="1"/>
    <col min="7428" max="7428" width="3" style="544" bestFit="1" customWidth="1"/>
    <col min="7429" max="7429" width="3.42578125" style="544" customWidth="1"/>
    <col min="7430" max="7430" width="0.5703125" style="544" customWidth="1"/>
    <col min="7431" max="7431" width="3.42578125" style="544" customWidth="1"/>
    <col min="7432" max="7432" width="0.5703125" style="544" customWidth="1"/>
    <col min="7433" max="7433" width="3.42578125" style="544" customWidth="1"/>
    <col min="7434" max="7434" width="0.5703125" style="544" customWidth="1"/>
    <col min="7435" max="7435" width="3.42578125" style="544" customWidth="1"/>
    <col min="7436" max="7436" width="2.28515625" style="544" customWidth="1"/>
    <col min="7437" max="7438" width="2.7109375" style="544" customWidth="1"/>
    <col min="7439" max="7439" width="4" style="544" customWidth="1"/>
    <col min="7440" max="7440" width="2.85546875" style="544" customWidth="1"/>
    <col min="7441" max="7441" width="0.7109375" style="544" customWidth="1"/>
    <col min="7442" max="7442" width="3" style="544" bestFit="1" customWidth="1"/>
    <col min="7443" max="7443" width="2.7109375" style="544" customWidth="1"/>
    <col min="7444" max="7444" width="0.7109375" style="544" customWidth="1"/>
    <col min="7445" max="7445" width="2.7109375" style="544" customWidth="1"/>
    <col min="7446" max="7446" width="0.7109375" style="544" customWidth="1"/>
    <col min="7447" max="7447" width="2.7109375" style="544" customWidth="1"/>
    <col min="7448" max="7448" width="1" style="544" customWidth="1"/>
    <col min="7449" max="7449" width="3" style="544" bestFit="1" customWidth="1"/>
    <col min="7450" max="7450" width="0.7109375" style="544" customWidth="1"/>
    <col min="7451" max="7451" width="2.7109375" style="544" customWidth="1"/>
    <col min="7452" max="7452" width="0.5703125" style="544" customWidth="1"/>
    <col min="7453" max="7453" width="2.7109375" style="544" customWidth="1"/>
    <col min="7454" max="7454" width="0.7109375" style="544" customWidth="1"/>
    <col min="7455" max="7455" width="2.7109375" style="544" customWidth="1"/>
    <col min="7456" max="7456" width="0.5703125" style="544" customWidth="1"/>
    <col min="7457" max="7457" width="2.7109375" style="544" customWidth="1"/>
    <col min="7458" max="7458" width="0.42578125" style="544" customWidth="1"/>
    <col min="7459" max="7459" width="3" style="544" bestFit="1" customWidth="1"/>
    <col min="7460" max="7460" width="0.5703125" style="544" customWidth="1"/>
    <col min="7461" max="7461" width="3" style="544" bestFit="1" customWidth="1"/>
    <col min="7462" max="7462" width="0.7109375" style="544" customWidth="1"/>
    <col min="7463" max="7463" width="2.7109375" style="544" customWidth="1"/>
    <col min="7464" max="7464" width="0.5703125" style="544" customWidth="1"/>
    <col min="7465" max="7465" width="2.7109375" style="544" customWidth="1"/>
    <col min="7466" max="7466" width="0.5703125" style="544" customWidth="1"/>
    <col min="7467" max="7467" width="2.7109375" style="544" customWidth="1"/>
    <col min="7468" max="7468" width="0.5703125" style="544" customWidth="1"/>
    <col min="7469" max="7469" width="2.7109375" style="544" customWidth="1"/>
    <col min="7470" max="7470" width="0.5703125" style="544" customWidth="1"/>
    <col min="7471" max="7471" width="2.7109375" style="544" customWidth="1"/>
    <col min="7472" max="7472" width="0.7109375" style="544" customWidth="1"/>
    <col min="7473" max="7473" width="2" style="544" customWidth="1"/>
    <col min="7474" max="7474" width="3.7109375" style="544" customWidth="1"/>
    <col min="7475" max="7475" width="2.42578125" style="544" customWidth="1"/>
    <col min="7476" max="7500" width="2.7109375" style="544" customWidth="1"/>
    <col min="7501" max="7680" width="9.140625" style="544"/>
    <col min="7681" max="7681" width="2.42578125" style="544" customWidth="1"/>
    <col min="7682" max="7682" width="3" style="544" bestFit="1" customWidth="1"/>
    <col min="7683" max="7683" width="2.7109375" style="544" customWidth="1"/>
    <col min="7684" max="7684" width="3" style="544" bestFit="1" customWidth="1"/>
    <col min="7685" max="7685" width="3.42578125" style="544" customWidth="1"/>
    <col min="7686" max="7686" width="0.5703125" style="544" customWidth="1"/>
    <col min="7687" max="7687" width="3.42578125" style="544" customWidth="1"/>
    <col min="7688" max="7688" width="0.5703125" style="544" customWidth="1"/>
    <col min="7689" max="7689" width="3.42578125" style="544" customWidth="1"/>
    <col min="7690" max="7690" width="0.5703125" style="544" customWidth="1"/>
    <col min="7691" max="7691" width="3.42578125" style="544" customWidth="1"/>
    <col min="7692" max="7692" width="2.28515625" style="544" customWidth="1"/>
    <col min="7693" max="7694" width="2.7109375" style="544" customWidth="1"/>
    <col min="7695" max="7695" width="4" style="544" customWidth="1"/>
    <col min="7696" max="7696" width="2.85546875" style="544" customWidth="1"/>
    <col min="7697" max="7697" width="0.7109375" style="544" customWidth="1"/>
    <col min="7698" max="7698" width="3" style="544" bestFit="1" customWidth="1"/>
    <col min="7699" max="7699" width="2.7109375" style="544" customWidth="1"/>
    <col min="7700" max="7700" width="0.7109375" style="544" customWidth="1"/>
    <col min="7701" max="7701" width="2.7109375" style="544" customWidth="1"/>
    <col min="7702" max="7702" width="0.7109375" style="544" customWidth="1"/>
    <col min="7703" max="7703" width="2.7109375" style="544" customWidth="1"/>
    <col min="7704" max="7704" width="1" style="544" customWidth="1"/>
    <col min="7705" max="7705" width="3" style="544" bestFit="1" customWidth="1"/>
    <col min="7706" max="7706" width="0.7109375" style="544" customWidth="1"/>
    <col min="7707" max="7707" width="2.7109375" style="544" customWidth="1"/>
    <col min="7708" max="7708" width="0.5703125" style="544" customWidth="1"/>
    <col min="7709" max="7709" width="2.7109375" style="544" customWidth="1"/>
    <col min="7710" max="7710" width="0.7109375" style="544" customWidth="1"/>
    <col min="7711" max="7711" width="2.7109375" style="544" customWidth="1"/>
    <col min="7712" max="7712" width="0.5703125" style="544" customWidth="1"/>
    <col min="7713" max="7713" width="2.7109375" style="544" customWidth="1"/>
    <col min="7714" max="7714" width="0.42578125" style="544" customWidth="1"/>
    <col min="7715" max="7715" width="3" style="544" bestFit="1" customWidth="1"/>
    <col min="7716" max="7716" width="0.5703125" style="544" customWidth="1"/>
    <col min="7717" max="7717" width="3" style="544" bestFit="1" customWidth="1"/>
    <col min="7718" max="7718" width="0.7109375" style="544" customWidth="1"/>
    <col min="7719" max="7719" width="2.7109375" style="544" customWidth="1"/>
    <col min="7720" max="7720" width="0.5703125" style="544" customWidth="1"/>
    <col min="7721" max="7721" width="2.7109375" style="544" customWidth="1"/>
    <col min="7722" max="7722" width="0.5703125" style="544" customWidth="1"/>
    <col min="7723" max="7723" width="2.7109375" style="544" customWidth="1"/>
    <col min="7724" max="7724" width="0.5703125" style="544" customWidth="1"/>
    <col min="7725" max="7725" width="2.7109375" style="544" customWidth="1"/>
    <col min="7726" max="7726" width="0.5703125" style="544" customWidth="1"/>
    <col min="7727" max="7727" width="2.7109375" style="544" customWidth="1"/>
    <col min="7728" max="7728" width="0.7109375" style="544" customWidth="1"/>
    <col min="7729" max="7729" width="2" style="544" customWidth="1"/>
    <col min="7730" max="7730" width="3.7109375" style="544" customWidth="1"/>
    <col min="7731" max="7731" width="2.42578125" style="544" customWidth="1"/>
    <col min="7732" max="7756" width="2.7109375" style="544" customWidth="1"/>
    <col min="7757" max="7936" width="9.140625" style="544"/>
    <col min="7937" max="7937" width="2.42578125" style="544" customWidth="1"/>
    <col min="7938" max="7938" width="3" style="544" bestFit="1" customWidth="1"/>
    <col min="7939" max="7939" width="2.7109375" style="544" customWidth="1"/>
    <col min="7940" max="7940" width="3" style="544" bestFit="1" customWidth="1"/>
    <col min="7941" max="7941" width="3.42578125" style="544" customWidth="1"/>
    <col min="7942" max="7942" width="0.5703125" style="544" customWidth="1"/>
    <col min="7943" max="7943" width="3.42578125" style="544" customWidth="1"/>
    <col min="7944" max="7944" width="0.5703125" style="544" customWidth="1"/>
    <col min="7945" max="7945" width="3.42578125" style="544" customWidth="1"/>
    <col min="7946" max="7946" width="0.5703125" style="544" customWidth="1"/>
    <col min="7947" max="7947" width="3.42578125" style="544" customWidth="1"/>
    <col min="7948" max="7948" width="2.28515625" style="544" customWidth="1"/>
    <col min="7949" max="7950" width="2.7109375" style="544" customWidth="1"/>
    <col min="7951" max="7951" width="4" style="544" customWidth="1"/>
    <col min="7952" max="7952" width="2.85546875" style="544" customWidth="1"/>
    <col min="7953" max="7953" width="0.7109375" style="544" customWidth="1"/>
    <col min="7954" max="7954" width="3" style="544" bestFit="1" customWidth="1"/>
    <col min="7955" max="7955" width="2.7109375" style="544" customWidth="1"/>
    <col min="7956" max="7956" width="0.7109375" style="544" customWidth="1"/>
    <col min="7957" max="7957" width="2.7109375" style="544" customWidth="1"/>
    <col min="7958" max="7958" width="0.7109375" style="544" customWidth="1"/>
    <col min="7959" max="7959" width="2.7109375" style="544" customWidth="1"/>
    <col min="7960" max="7960" width="1" style="544" customWidth="1"/>
    <col min="7961" max="7961" width="3" style="544" bestFit="1" customWidth="1"/>
    <col min="7962" max="7962" width="0.7109375" style="544" customWidth="1"/>
    <col min="7963" max="7963" width="2.7109375" style="544" customWidth="1"/>
    <col min="7964" max="7964" width="0.5703125" style="544" customWidth="1"/>
    <col min="7965" max="7965" width="2.7109375" style="544" customWidth="1"/>
    <col min="7966" max="7966" width="0.7109375" style="544" customWidth="1"/>
    <col min="7967" max="7967" width="2.7109375" style="544" customWidth="1"/>
    <col min="7968" max="7968" width="0.5703125" style="544" customWidth="1"/>
    <col min="7969" max="7969" width="2.7109375" style="544" customWidth="1"/>
    <col min="7970" max="7970" width="0.42578125" style="544" customWidth="1"/>
    <col min="7971" max="7971" width="3" style="544" bestFit="1" customWidth="1"/>
    <col min="7972" max="7972" width="0.5703125" style="544" customWidth="1"/>
    <col min="7973" max="7973" width="3" style="544" bestFit="1" customWidth="1"/>
    <col min="7974" max="7974" width="0.7109375" style="544" customWidth="1"/>
    <col min="7975" max="7975" width="2.7109375" style="544" customWidth="1"/>
    <col min="7976" max="7976" width="0.5703125" style="544" customWidth="1"/>
    <col min="7977" max="7977" width="2.7109375" style="544" customWidth="1"/>
    <col min="7978" max="7978" width="0.5703125" style="544" customWidth="1"/>
    <col min="7979" max="7979" width="2.7109375" style="544" customWidth="1"/>
    <col min="7980" max="7980" width="0.5703125" style="544" customWidth="1"/>
    <col min="7981" max="7981" width="2.7109375" style="544" customWidth="1"/>
    <col min="7982" max="7982" width="0.5703125" style="544" customWidth="1"/>
    <col min="7983" max="7983" width="2.7109375" style="544" customWidth="1"/>
    <col min="7984" max="7984" width="0.7109375" style="544" customWidth="1"/>
    <col min="7985" max="7985" width="2" style="544" customWidth="1"/>
    <col min="7986" max="7986" width="3.7109375" style="544" customWidth="1"/>
    <col min="7987" max="7987" width="2.42578125" style="544" customWidth="1"/>
    <col min="7988" max="8012" width="2.7109375" style="544" customWidth="1"/>
    <col min="8013" max="8192" width="9.140625" style="544"/>
    <col min="8193" max="8193" width="2.42578125" style="544" customWidth="1"/>
    <col min="8194" max="8194" width="3" style="544" bestFit="1" customWidth="1"/>
    <col min="8195" max="8195" width="2.7109375" style="544" customWidth="1"/>
    <col min="8196" max="8196" width="3" style="544" bestFit="1" customWidth="1"/>
    <col min="8197" max="8197" width="3.42578125" style="544" customWidth="1"/>
    <col min="8198" max="8198" width="0.5703125" style="544" customWidth="1"/>
    <col min="8199" max="8199" width="3.42578125" style="544" customWidth="1"/>
    <col min="8200" max="8200" width="0.5703125" style="544" customWidth="1"/>
    <col min="8201" max="8201" width="3.42578125" style="544" customWidth="1"/>
    <col min="8202" max="8202" width="0.5703125" style="544" customWidth="1"/>
    <col min="8203" max="8203" width="3.42578125" style="544" customWidth="1"/>
    <col min="8204" max="8204" width="2.28515625" style="544" customWidth="1"/>
    <col min="8205" max="8206" width="2.7109375" style="544" customWidth="1"/>
    <col min="8207" max="8207" width="4" style="544" customWidth="1"/>
    <col min="8208" max="8208" width="2.85546875" style="544" customWidth="1"/>
    <col min="8209" max="8209" width="0.7109375" style="544" customWidth="1"/>
    <col min="8210" max="8210" width="3" style="544" bestFit="1" customWidth="1"/>
    <col min="8211" max="8211" width="2.7109375" style="544" customWidth="1"/>
    <col min="8212" max="8212" width="0.7109375" style="544" customWidth="1"/>
    <col min="8213" max="8213" width="2.7109375" style="544" customWidth="1"/>
    <col min="8214" max="8214" width="0.7109375" style="544" customWidth="1"/>
    <col min="8215" max="8215" width="2.7109375" style="544" customWidth="1"/>
    <col min="8216" max="8216" width="1" style="544" customWidth="1"/>
    <col min="8217" max="8217" width="3" style="544" bestFit="1" customWidth="1"/>
    <col min="8218" max="8218" width="0.7109375" style="544" customWidth="1"/>
    <col min="8219" max="8219" width="2.7109375" style="544" customWidth="1"/>
    <col min="8220" max="8220" width="0.5703125" style="544" customWidth="1"/>
    <col min="8221" max="8221" width="2.7109375" style="544" customWidth="1"/>
    <col min="8222" max="8222" width="0.7109375" style="544" customWidth="1"/>
    <col min="8223" max="8223" width="2.7109375" style="544" customWidth="1"/>
    <col min="8224" max="8224" width="0.5703125" style="544" customWidth="1"/>
    <col min="8225" max="8225" width="2.7109375" style="544" customWidth="1"/>
    <col min="8226" max="8226" width="0.42578125" style="544" customWidth="1"/>
    <col min="8227" max="8227" width="3" style="544" bestFit="1" customWidth="1"/>
    <col min="8228" max="8228" width="0.5703125" style="544" customWidth="1"/>
    <col min="8229" max="8229" width="3" style="544" bestFit="1" customWidth="1"/>
    <col min="8230" max="8230" width="0.7109375" style="544" customWidth="1"/>
    <col min="8231" max="8231" width="2.7109375" style="544" customWidth="1"/>
    <col min="8232" max="8232" width="0.5703125" style="544" customWidth="1"/>
    <col min="8233" max="8233" width="2.7109375" style="544" customWidth="1"/>
    <col min="8234" max="8234" width="0.5703125" style="544" customWidth="1"/>
    <col min="8235" max="8235" width="2.7109375" style="544" customWidth="1"/>
    <col min="8236" max="8236" width="0.5703125" style="544" customWidth="1"/>
    <col min="8237" max="8237" width="2.7109375" style="544" customWidth="1"/>
    <col min="8238" max="8238" width="0.5703125" style="544" customWidth="1"/>
    <col min="8239" max="8239" width="2.7109375" style="544" customWidth="1"/>
    <col min="8240" max="8240" width="0.7109375" style="544" customWidth="1"/>
    <col min="8241" max="8241" width="2" style="544" customWidth="1"/>
    <col min="8242" max="8242" width="3.7109375" style="544" customWidth="1"/>
    <col min="8243" max="8243" width="2.42578125" style="544" customWidth="1"/>
    <col min="8244" max="8268" width="2.7109375" style="544" customWidth="1"/>
    <col min="8269" max="8448" width="9.140625" style="544"/>
    <col min="8449" max="8449" width="2.42578125" style="544" customWidth="1"/>
    <col min="8450" max="8450" width="3" style="544" bestFit="1" customWidth="1"/>
    <col min="8451" max="8451" width="2.7109375" style="544" customWidth="1"/>
    <col min="8452" max="8452" width="3" style="544" bestFit="1" customWidth="1"/>
    <col min="8453" max="8453" width="3.42578125" style="544" customWidth="1"/>
    <col min="8454" max="8454" width="0.5703125" style="544" customWidth="1"/>
    <col min="8455" max="8455" width="3.42578125" style="544" customWidth="1"/>
    <col min="8456" max="8456" width="0.5703125" style="544" customWidth="1"/>
    <col min="8457" max="8457" width="3.42578125" style="544" customWidth="1"/>
    <col min="8458" max="8458" width="0.5703125" style="544" customWidth="1"/>
    <col min="8459" max="8459" width="3.42578125" style="544" customWidth="1"/>
    <col min="8460" max="8460" width="2.28515625" style="544" customWidth="1"/>
    <col min="8461" max="8462" width="2.7109375" style="544" customWidth="1"/>
    <col min="8463" max="8463" width="4" style="544" customWidth="1"/>
    <col min="8464" max="8464" width="2.85546875" style="544" customWidth="1"/>
    <col min="8465" max="8465" width="0.7109375" style="544" customWidth="1"/>
    <col min="8466" max="8466" width="3" style="544" bestFit="1" customWidth="1"/>
    <col min="8467" max="8467" width="2.7109375" style="544" customWidth="1"/>
    <col min="8468" max="8468" width="0.7109375" style="544" customWidth="1"/>
    <col min="8469" max="8469" width="2.7109375" style="544" customWidth="1"/>
    <col min="8470" max="8470" width="0.7109375" style="544" customWidth="1"/>
    <col min="8471" max="8471" width="2.7109375" style="544" customWidth="1"/>
    <col min="8472" max="8472" width="1" style="544" customWidth="1"/>
    <col min="8473" max="8473" width="3" style="544" bestFit="1" customWidth="1"/>
    <col min="8474" max="8474" width="0.7109375" style="544" customWidth="1"/>
    <col min="8475" max="8475" width="2.7109375" style="544" customWidth="1"/>
    <col min="8476" max="8476" width="0.5703125" style="544" customWidth="1"/>
    <col min="8477" max="8477" width="2.7109375" style="544" customWidth="1"/>
    <col min="8478" max="8478" width="0.7109375" style="544" customWidth="1"/>
    <col min="8479" max="8479" width="2.7109375" style="544" customWidth="1"/>
    <col min="8480" max="8480" width="0.5703125" style="544" customWidth="1"/>
    <col min="8481" max="8481" width="2.7109375" style="544" customWidth="1"/>
    <col min="8482" max="8482" width="0.42578125" style="544" customWidth="1"/>
    <col min="8483" max="8483" width="3" style="544" bestFit="1" customWidth="1"/>
    <col min="8484" max="8484" width="0.5703125" style="544" customWidth="1"/>
    <col min="8485" max="8485" width="3" style="544" bestFit="1" customWidth="1"/>
    <col min="8486" max="8486" width="0.7109375" style="544" customWidth="1"/>
    <col min="8487" max="8487" width="2.7109375" style="544" customWidth="1"/>
    <col min="8488" max="8488" width="0.5703125" style="544" customWidth="1"/>
    <col min="8489" max="8489" width="2.7109375" style="544" customWidth="1"/>
    <col min="8490" max="8490" width="0.5703125" style="544" customWidth="1"/>
    <col min="8491" max="8491" width="2.7109375" style="544" customWidth="1"/>
    <col min="8492" max="8492" width="0.5703125" style="544" customWidth="1"/>
    <col min="8493" max="8493" width="2.7109375" style="544" customWidth="1"/>
    <col min="8494" max="8494" width="0.5703125" style="544" customWidth="1"/>
    <col min="8495" max="8495" width="2.7109375" style="544" customWidth="1"/>
    <col min="8496" max="8496" width="0.7109375" style="544" customWidth="1"/>
    <col min="8497" max="8497" width="2" style="544" customWidth="1"/>
    <col min="8498" max="8498" width="3.7109375" style="544" customWidth="1"/>
    <col min="8499" max="8499" width="2.42578125" style="544" customWidth="1"/>
    <col min="8500" max="8524" width="2.7109375" style="544" customWidth="1"/>
    <col min="8525" max="8704" width="9.140625" style="544"/>
    <col min="8705" max="8705" width="2.42578125" style="544" customWidth="1"/>
    <col min="8706" max="8706" width="3" style="544" bestFit="1" customWidth="1"/>
    <col min="8707" max="8707" width="2.7109375" style="544" customWidth="1"/>
    <col min="8708" max="8708" width="3" style="544" bestFit="1" customWidth="1"/>
    <col min="8709" max="8709" width="3.42578125" style="544" customWidth="1"/>
    <col min="8710" max="8710" width="0.5703125" style="544" customWidth="1"/>
    <col min="8711" max="8711" width="3.42578125" style="544" customWidth="1"/>
    <col min="8712" max="8712" width="0.5703125" style="544" customWidth="1"/>
    <col min="8713" max="8713" width="3.42578125" style="544" customWidth="1"/>
    <col min="8714" max="8714" width="0.5703125" style="544" customWidth="1"/>
    <col min="8715" max="8715" width="3.42578125" style="544" customWidth="1"/>
    <col min="8716" max="8716" width="2.28515625" style="544" customWidth="1"/>
    <col min="8717" max="8718" width="2.7109375" style="544" customWidth="1"/>
    <col min="8719" max="8719" width="4" style="544" customWidth="1"/>
    <col min="8720" max="8720" width="2.85546875" style="544" customWidth="1"/>
    <col min="8721" max="8721" width="0.7109375" style="544" customWidth="1"/>
    <col min="8722" max="8722" width="3" style="544" bestFit="1" customWidth="1"/>
    <col min="8723" max="8723" width="2.7109375" style="544" customWidth="1"/>
    <col min="8724" max="8724" width="0.7109375" style="544" customWidth="1"/>
    <col min="8725" max="8725" width="2.7109375" style="544" customWidth="1"/>
    <col min="8726" max="8726" width="0.7109375" style="544" customWidth="1"/>
    <col min="8727" max="8727" width="2.7109375" style="544" customWidth="1"/>
    <col min="8728" max="8728" width="1" style="544" customWidth="1"/>
    <col min="8729" max="8729" width="3" style="544" bestFit="1" customWidth="1"/>
    <col min="8730" max="8730" width="0.7109375" style="544" customWidth="1"/>
    <col min="8731" max="8731" width="2.7109375" style="544" customWidth="1"/>
    <col min="8732" max="8732" width="0.5703125" style="544" customWidth="1"/>
    <col min="8733" max="8733" width="2.7109375" style="544" customWidth="1"/>
    <col min="8734" max="8734" width="0.7109375" style="544" customWidth="1"/>
    <col min="8735" max="8735" width="2.7109375" style="544" customWidth="1"/>
    <col min="8736" max="8736" width="0.5703125" style="544" customWidth="1"/>
    <col min="8737" max="8737" width="2.7109375" style="544" customWidth="1"/>
    <col min="8738" max="8738" width="0.42578125" style="544" customWidth="1"/>
    <col min="8739" max="8739" width="3" style="544" bestFit="1" customWidth="1"/>
    <col min="8740" max="8740" width="0.5703125" style="544" customWidth="1"/>
    <col min="8741" max="8741" width="3" style="544" bestFit="1" customWidth="1"/>
    <col min="8742" max="8742" width="0.7109375" style="544" customWidth="1"/>
    <col min="8743" max="8743" width="2.7109375" style="544" customWidth="1"/>
    <col min="8744" max="8744" width="0.5703125" style="544" customWidth="1"/>
    <col min="8745" max="8745" width="2.7109375" style="544" customWidth="1"/>
    <col min="8746" max="8746" width="0.5703125" style="544" customWidth="1"/>
    <col min="8747" max="8747" width="2.7109375" style="544" customWidth="1"/>
    <col min="8748" max="8748" width="0.5703125" style="544" customWidth="1"/>
    <col min="8749" max="8749" width="2.7109375" style="544" customWidth="1"/>
    <col min="8750" max="8750" width="0.5703125" style="544" customWidth="1"/>
    <col min="8751" max="8751" width="2.7109375" style="544" customWidth="1"/>
    <col min="8752" max="8752" width="0.7109375" style="544" customWidth="1"/>
    <col min="8753" max="8753" width="2" style="544" customWidth="1"/>
    <col min="8754" max="8754" width="3.7109375" style="544" customWidth="1"/>
    <col min="8755" max="8755" width="2.42578125" style="544" customWidth="1"/>
    <col min="8756" max="8780" width="2.7109375" style="544" customWidth="1"/>
    <col min="8781" max="8960" width="9.140625" style="544"/>
    <col min="8961" max="8961" width="2.42578125" style="544" customWidth="1"/>
    <col min="8962" max="8962" width="3" style="544" bestFit="1" customWidth="1"/>
    <col min="8963" max="8963" width="2.7109375" style="544" customWidth="1"/>
    <col min="8964" max="8964" width="3" style="544" bestFit="1" customWidth="1"/>
    <col min="8965" max="8965" width="3.42578125" style="544" customWidth="1"/>
    <col min="8966" max="8966" width="0.5703125" style="544" customWidth="1"/>
    <col min="8967" max="8967" width="3.42578125" style="544" customWidth="1"/>
    <col min="8968" max="8968" width="0.5703125" style="544" customWidth="1"/>
    <col min="8969" max="8969" width="3.42578125" style="544" customWidth="1"/>
    <col min="8970" max="8970" width="0.5703125" style="544" customWidth="1"/>
    <col min="8971" max="8971" width="3.42578125" style="544" customWidth="1"/>
    <col min="8972" max="8972" width="2.28515625" style="544" customWidth="1"/>
    <col min="8973" max="8974" width="2.7109375" style="544" customWidth="1"/>
    <col min="8975" max="8975" width="4" style="544" customWidth="1"/>
    <col min="8976" max="8976" width="2.85546875" style="544" customWidth="1"/>
    <col min="8977" max="8977" width="0.7109375" style="544" customWidth="1"/>
    <col min="8978" max="8978" width="3" style="544" bestFit="1" customWidth="1"/>
    <col min="8979" max="8979" width="2.7109375" style="544" customWidth="1"/>
    <col min="8980" max="8980" width="0.7109375" style="544" customWidth="1"/>
    <col min="8981" max="8981" width="2.7109375" style="544" customWidth="1"/>
    <col min="8982" max="8982" width="0.7109375" style="544" customWidth="1"/>
    <col min="8983" max="8983" width="2.7109375" style="544" customWidth="1"/>
    <col min="8984" max="8984" width="1" style="544" customWidth="1"/>
    <col min="8985" max="8985" width="3" style="544" bestFit="1" customWidth="1"/>
    <col min="8986" max="8986" width="0.7109375" style="544" customWidth="1"/>
    <col min="8987" max="8987" width="2.7109375" style="544" customWidth="1"/>
    <col min="8988" max="8988" width="0.5703125" style="544" customWidth="1"/>
    <col min="8989" max="8989" width="2.7109375" style="544" customWidth="1"/>
    <col min="8990" max="8990" width="0.7109375" style="544" customWidth="1"/>
    <col min="8991" max="8991" width="2.7109375" style="544" customWidth="1"/>
    <col min="8992" max="8992" width="0.5703125" style="544" customWidth="1"/>
    <col min="8993" max="8993" width="2.7109375" style="544" customWidth="1"/>
    <col min="8994" max="8994" width="0.42578125" style="544" customWidth="1"/>
    <col min="8995" max="8995" width="3" style="544" bestFit="1" customWidth="1"/>
    <col min="8996" max="8996" width="0.5703125" style="544" customWidth="1"/>
    <col min="8997" max="8997" width="3" style="544" bestFit="1" customWidth="1"/>
    <col min="8998" max="8998" width="0.7109375" style="544" customWidth="1"/>
    <col min="8999" max="8999" width="2.7109375" style="544" customWidth="1"/>
    <col min="9000" max="9000" width="0.5703125" style="544" customWidth="1"/>
    <col min="9001" max="9001" width="2.7109375" style="544" customWidth="1"/>
    <col min="9002" max="9002" width="0.5703125" style="544" customWidth="1"/>
    <col min="9003" max="9003" width="2.7109375" style="544" customWidth="1"/>
    <col min="9004" max="9004" width="0.5703125" style="544" customWidth="1"/>
    <col min="9005" max="9005" width="2.7109375" style="544" customWidth="1"/>
    <col min="9006" max="9006" width="0.5703125" style="544" customWidth="1"/>
    <col min="9007" max="9007" width="2.7109375" style="544" customWidth="1"/>
    <col min="9008" max="9008" width="0.7109375" style="544" customWidth="1"/>
    <col min="9009" max="9009" width="2" style="544" customWidth="1"/>
    <col min="9010" max="9010" width="3.7109375" style="544" customWidth="1"/>
    <col min="9011" max="9011" width="2.42578125" style="544" customWidth="1"/>
    <col min="9012" max="9036" width="2.7109375" style="544" customWidth="1"/>
    <col min="9037" max="9216" width="9.140625" style="544"/>
    <col min="9217" max="9217" width="2.42578125" style="544" customWidth="1"/>
    <col min="9218" max="9218" width="3" style="544" bestFit="1" customWidth="1"/>
    <col min="9219" max="9219" width="2.7109375" style="544" customWidth="1"/>
    <col min="9220" max="9220" width="3" style="544" bestFit="1" customWidth="1"/>
    <col min="9221" max="9221" width="3.42578125" style="544" customWidth="1"/>
    <col min="9222" max="9222" width="0.5703125" style="544" customWidth="1"/>
    <col min="9223" max="9223" width="3.42578125" style="544" customWidth="1"/>
    <col min="9224" max="9224" width="0.5703125" style="544" customWidth="1"/>
    <col min="9225" max="9225" width="3.42578125" style="544" customWidth="1"/>
    <col min="9226" max="9226" width="0.5703125" style="544" customWidth="1"/>
    <col min="9227" max="9227" width="3.42578125" style="544" customWidth="1"/>
    <col min="9228" max="9228" width="2.28515625" style="544" customWidth="1"/>
    <col min="9229" max="9230" width="2.7109375" style="544" customWidth="1"/>
    <col min="9231" max="9231" width="4" style="544" customWidth="1"/>
    <col min="9232" max="9232" width="2.85546875" style="544" customWidth="1"/>
    <col min="9233" max="9233" width="0.7109375" style="544" customWidth="1"/>
    <col min="9234" max="9234" width="3" style="544" bestFit="1" customWidth="1"/>
    <col min="9235" max="9235" width="2.7109375" style="544" customWidth="1"/>
    <col min="9236" max="9236" width="0.7109375" style="544" customWidth="1"/>
    <col min="9237" max="9237" width="2.7109375" style="544" customWidth="1"/>
    <col min="9238" max="9238" width="0.7109375" style="544" customWidth="1"/>
    <col min="9239" max="9239" width="2.7109375" style="544" customWidth="1"/>
    <col min="9240" max="9240" width="1" style="544" customWidth="1"/>
    <col min="9241" max="9241" width="3" style="544" bestFit="1" customWidth="1"/>
    <col min="9242" max="9242" width="0.7109375" style="544" customWidth="1"/>
    <col min="9243" max="9243" width="2.7109375" style="544" customWidth="1"/>
    <col min="9244" max="9244" width="0.5703125" style="544" customWidth="1"/>
    <col min="9245" max="9245" width="2.7109375" style="544" customWidth="1"/>
    <col min="9246" max="9246" width="0.7109375" style="544" customWidth="1"/>
    <col min="9247" max="9247" width="2.7109375" style="544" customWidth="1"/>
    <col min="9248" max="9248" width="0.5703125" style="544" customWidth="1"/>
    <col min="9249" max="9249" width="2.7109375" style="544" customWidth="1"/>
    <col min="9250" max="9250" width="0.42578125" style="544" customWidth="1"/>
    <col min="9251" max="9251" width="3" style="544" bestFit="1" customWidth="1"/>
    <col min="9252" max="9252" width="0.5703125" style="544" customWidth="1"/>
    <col min="9253" max="9253" width="3" style="544" bestFit="1" customWidth="1"/>
    <col min="9254" max="9254" width="0.7109375" style="544" customWidth="1"/>
    <col min="9255" max="9255" width="2.7109375" style="544" customWidth="1"/>
    <col min="9256" max="9256" width="0.5703125" style="544" customWidth="1"/>
    <col min="9257" max="9257" width="2.7109375" style="544" customWidth="1"/>
    <col min="9258" max="9258" width="0.5703125" style="544" customWidth="1"/>
    <col min="9259" max="9259" width="2.7109375" style="544" customWidth="1"/>
    <col min="9260" max="9260" width="0.5703125" style="544" customWidth="1"/>
    <col min="9261" max="9261" width="2.7109375" style="544" customWidth="1"/>
    <col min="9262" max="9262" width="0.5703125" style="544" customWidth="1"/>
    <col min="9263" max="9263" width="2.7109375" style="544" customWidth="1"/>
    <col min="9264" max="9264" width="0.7109375" style="544" customWidth="1"/>
    <col min="9265" max="9265" width="2" style="544" customWidth="1"/>
    <col min="9266" max="9266" width="3.7109375" style="544" customWidth="1"/>
    <col min="9267" max="9267" width="2.42578125" style="544" customWidth="1"/>
    <col min="9268" max="9292" width="2.7109375" style="544" customWidth="1"/>
    <col min="9293" max="9472" width="9.140625" style="544"/>
    <col min="9473" max="9473" width="2.42578125" style="544" customWidth="1"/>
    <col min="9474" max="9474" width="3" style="544" bestFit="1" customWidth="1"/>
    <col min="9475" max="9475" width="2.7109375" style="544" customWidth="1"/>
    <col min="9476" max="9476" width="3" style="544" bestFit="1" customWidth="1"/>
    <col min="9477" max="9477" width="3.42578125" style="544" customWidth="1"/>
    <col min="9478" max="9478" width="0.5703125" style="544" customWidth="1"/>
    <col min="9479" max="9479" width="3.42578125" style="544" customWidth="1"/>
    <col min="9480" max="9480" width="0.5703125" style="544" customWidth="1"/>
    <col min="9481" max="9481" width="3.42578125" style="544" customWidth="1"/>
    <col min="9482" max="9482" width="0.5703125" style="544" customWidth="1"/>
    <col min="9483" max="9483" width="3.42578125" style="544" customWidth="1"/>
    <col min="9484" max="9484" width="2.28515625" style="544" customWidth="1"/>
    <col min="9485" max="9486" width="2.7109375" style="544" customWidth="1"/>
    <col min="9487" max="9487" width="4" style="544" customWidth="1"/>
    <col min="9488" max="9488" width="2.85546875" style="544" customWidth="1"/>
    <col min="9489" max="9489" width="0.7109375" style="544" customWidth="1"/>
    <col min="9490" max="9490" width="3" style="544" bestFit="1" customWidth="1"/>
    <col min="9491" max="9491" width="2.7109375" style="544" customWidth="1"/>
    <col min="9492" max="9492" width="0.7109375" style="544" customWidth="1"/>
    <col min="9493" max="9493" width="2.7109375" style="544" customWidth="1"/>
    <col min="9494" max="9494" width="0.7109375" style="544" customWidth="1"/>
    <col min="9495" max="9495" width="2.7109375" style="544" customWidth="1"/>
    <col min="9496" max="9496" width="1" style="544" customWidth="1"/>
    <col min="9497" max="9497" width="3" style="544" bestFit="1" customWidth="1"/>
    <col min="9498" max="9498" width="0.7109375" style="544" customWidth="1"/>
    <col min="9499" max="9499" width="2.7109375" style="544" customWidth="1"/>
    <col min="9500" max="9500" width="0.5703125" style="544" customWidth="1"/>
    <col min="9501" max="9501" width="2.7109375" style="544" customWidth="1"/>
    <col min="9502" max="9502" width="0.7109375" style="544" customWidth="1"/>
    <col min="9503" max="9503" width="2.7109375" style="544" customWidth="1"/>
    <col min="9504" max="9504" width="0.5703125" style="544" customWidth="1"/>
    <col min="9505" max="9505" width="2.7109375" style="544" customWidth="1"/>
    <col min="9506" max="9506" width="0.42578125" style="544" customWidth="1"/>
    <col min="9507" max="9507" width="3" style="544" bestFit="1" customWidth="1"/>
    <col min="9508" max="9508" width="0.5703125" style="544" customWidth="1"/>
    <col min="9509" max="9509" width="3" style="544" bestFit="1" customWidth="1"/>
    <col min="9510" max="9510" width="0.7109375" style="544" customWidth="1"/>
    <col min="9511" max="9511" width="2.7109375" style="544" customWidth="1"/>
    <col min="9512" max="9512" width="0.5703125" style="544" customWidth="1"/>
    <col min="9513" max="9513" width="2.7109375" style="544" customWidth="1"/>
    <col min="9514" max="9514" width="0.5703125" style="544" customWidth="1"/>
    <col min="9515" max="9515" width="2.7109375" style="544" customWidth="1"/>
    <col min="9516" max="9516" width="0.5703125" style="544" customWidth="1"/>
    <col min="9517" max="9517" width="2.7109375" style="544" customWidth="1"/>
    <col min="9518" max="9518" width="0.5703125" style="544" customWidth="1"/>
    <col min="9519" max="9519" width="2.7109375" style="544" customWidth="1"/>
    <col min="9520" max="9520" width="0.7109375" style="544" customWidth="1"/>
    <col min="9521" max="9521" width="2" style="544" customWidth="1"/>
    <col min="9522" max="9522" width="3.7109375" style="544" customWidth="1"/>
    <col min="9523" max="9523" width="2.42578125" style="544" customWidth="1"/>
    <col min="9524" max="9548" width="2.7109375" style="544" customWidth="1"/>
    <col min="9549" max="9728" width="9.140625" style="544"/>
    <col min="9729" max="9729" width="2.42578125" style="544" customWidth="1"/>
    <col min="9730" max="9730" width="3" style="544" bestFit="1" customWidth="1"/>
    <col min="9731" max="9731" width="2.7109375" style="544" customWidth="1"/>
    <col min="9732" max="9732" width="3" style="544" bestFit="1" customWidth="1"/>
    <col min="9733" max="9733" width="3.42578125" style="544" customWidth="1"/>
    <col min="9734" max="9734" width="0.5703125" style="544" customWidth="1"/>
    <col min="9735" max="9735" width="3.42578125" style="544" customWidth="1"/>
    <col min="9736" max="9736" width="0.5703125" style="544" customWidth="1"/>
    <col min="9737" max="9737" width="3.42578125" style="544" customWidth="1"/>
    <col min="9738" max="9738" width="0.5703125" style="544" customWidth="1"/>
    <col min="9739" max="9739" width="3.42578125" style="544" customWidth="1"/>
    <col min="9740" max="9740" width="2.28515625" style="544" customWidth="1"/>
    <col min="9741" max="9742" width="2.7109375" style="544" customWidth="1"/>
    <col min="9743" max="9743" width="4" style="544" customWidth="1"/>
    <col min="9744" max="9744" width="2.85546875" style="544" customWidth="1"/>
    <col min="9745" max="9745" width="0.7109375" style="544" customWidth="1"/>
    <col min="9746" max="9746" width="3" style="544" bestFit="1" customWidth="1"/>
    <col min="9747" max="9747" width="2.7109375" style="544" customWidth="1"/>
    <col min="9748" max="9748" width="0.7109375" style="544" customWidth="1"/>
    <col min="9749" max="9749" width="2.7109375" style="544" customWidth="1"/>
    <col min="9750" max="9750" width="0.7109375" style="544" customWidth="1"/>
    <col min="9751" max="9751" width="2.7109375" style="544" customWidth="1"/>
    <col min="9752" max="9752" width="1" style="544" customWidth="1"/>
    <col min="9753" max="9753" width="3" style="544" bestFit="1" customWidth="1"/>
    <col min="9754" max="9754" width="0.7109375" style="544" customWidth="1"/>
    <col min="9755" max="9755" width="2.7109375" style="544" customWidth="1"/>
    <col min="9756" max="9756" width="0.5703125" style="544" customWidth="1"/>
    <col min="9757" max="9757" width="2.7109375" style="544" customWidth="1"/>
    <col min="9758" max="9758" width="0.7109375" style="544" customWidth="1"/>
    <col min="9759" max="9759" width="2.7109375" style="544" customWidth="1"/>
    <col min="9760" max="9760" width="0.5703125" style="544" customWidth="1"/>
    <col min="9761" max="9761" width="2.7109375" style="544" customWidth="1"/>
    <col min="9762" max="9762" width="0.42578125" style="544" customWidth="1"/>
    <col min="9763" max="9763" width="3" style="544" bestFit="1" customWidth="1"/>
    <col min="9764" max="9764" width="0.5703125" style="544" customWidth="1"/>
    <col min="9765" max="9765" width="3" style="544" bestFit="1" customWidth="1"/>
    <col min="9766" max="9766" width="0.7109375" style="544" customWidth="1"/>
    <col min="9767" max="9767" width="2.7109375" style="544" customWidth="1"/>
    <col min="9768" max="9768" width="0.5703125" style="544" customWidth="1"/>
    <col min="9769" max="9769" width="2.7109375" style="544" customWidth="1"/>
    <col min="9770" max="9770" width="0.5703125" style="544" customWidth="1"/>
    <col min="9771" max="9771" width="2.7109375" style="544" customWidth="1"/>
    <col min="9772" max="9772" width="0.5703125" style="544" customWidth="1"/>
    <col min="9773" max="9773" width="2.7109375" style="544" customWidth="1"/>
    <col min="9774" max="9774" width="0.5703125" style="544" customWidth="1"/>
    <col min="9775" max="9775" width="2.7109375" style="544" customWidth="1"/>
    <col min="9776" max="9776" width="0.7109375" style="544" customWidth="1"/>
    <col min="9777" max="9777" width="2" style="544" customWidth="1"/>
    <col min="9778" max="9778" width="3.7109375" style="544" customWidth="1"/>
    <col min="9779" max="9779" width="2.42578125" style="544" customWidth="1"/>
    <col min="9780" max="9804" width="2.7109375" style="544" customWidth="1"/>
    <col min="9805" max="9984" width="9.140625" style="544"/>
    <col min="9985" max="9985" width="2.42578125" style="544" customWidth="1"/>
    <col min="9986" max="9986" width="3" style="544" bestFit="1" customWidth="1"/>
    <col min="9987" max="9987" width="2.7109375" style="544" customWidth="1"/>
    <col min="9988" max="9988" width="3" style="544" bestFit="1" customWidth="1"/>
    <col min="9989" max="9989" width="3.42578125" style="544" customWidth="1"/>
    <col min="9990" max="9990" width="0.5703125" style="544" customWidth="1"/>
    <col min="9991" max="9991" width="3.42578125" style="544" customWidth="1"/>
    <col min="9992" max="9992" width="0.5703125" style="544" customWidth="1"/>
    <col min="9993" max="9993" width="3.42578125" style="544" customWidth="1"/>
    <col min="9994" max="9994" width="0.5703125" style="544" customWidth="1"/>
    <col min="9995" max="9995" width="3.42578125" style="544" customWidth="1"/>
    <col min="9996" max="9996" width="2.28515625" style="544" customWidth="1"/>
    <col min="9997" max="9998" width="2.7109375" style="544" customWidth="1"/>
    <col min="9999" max="9999" width="4" style="544" customWidth="1"/>
    <col min="10000" max="10000" width="2.85546875" style="544" customWidth="1"/>
    <col min="10001" max="10001" width="0.7109375" style="544" customWidth="1"/>
    <col min="10002" max="10002" width="3" style="544" bestFit="1" customWidth="1"/>
    <col min="10003" max="10003" width="2.7109375" style="544" customWidth="1"/>
    <col min="10004" max="10004" width="0.7109375" style="544" customWidth="1"/>
    <col min="10005" max="10005" width="2.7109375" style="544" customWidth="1"/>
    <col min="10006" max="10006" width="0.7109375" style="544" customWidth="1"/>
    <col min="10007" max="10007" width="2.7109375" style="544" customWidth="1"/>
    <col min="10008" max="10008" width="1" style="544" customWidth="1"/>
    <col min="10009" max="10009" width="3" style="544" bestFit="1" customWidth="1"/>
    <col min="10010" max="10010" width="0.7109375" style="544" customWidth="1"/>
    <col min="10011" max="10011" width="2.7109375" style="544" customWidth="1"/>
    <col min="10012" max="10012" width="0.5703125" style="544" customWidth="1"/>
    <col min="10013" max="10013" width="2.7109375" style="544" customWidth="1"/>
    <col min="10014" max="10014" width="0.7109375" style="544" customWidth="1"/>
    <col min="10015" max="10015" width="2.7109375" style="544" customWidth="1"/>
    <col min="10016" max="10016" width="0.5703125" style="544" customWidth="1"/>
    <col min="10017" max="10017" width="2.7109375" style="544" customWidth="1"/>
    <col min="10018" max="10018" width="0.42578125" style="544" customWidth="1"/>
    <col min="10019" max="10019" width="3" style="544" bestFit="1" customWidth="1"/>
    <col min="10020" max="10020" width="0.5703125" style="544" customWidth="1"/>
    <col min="10021" max="10021" width="3" style="544" bestFit="1" customWidth="1"/>
    <col min="10022" max="10022" width="0.7109375" style="544" customWidth="1"/>
    <col min="10023" max="10023" width="2.7109375" style="544" customWidth="1"/>
    <col min="10024" max="10024" width="0.5703125" style="544" customWidth="1"/>
    <col min="10025" max="10025" width="2.7109375" style="544" customWidth="1"/>
    <col min="10026" max="10026" width="0.5703125" style="544" customWidth="1"/>
    <col min="10027" max="10027" width="2.7109375" style="544" customWidth="1"/>
    <col min="10028" max="10028" width="0.5703125" style="544" customWidth="1"/>
    <col min="10029" max="10029" width="2.7109375" style="544" customWidth="1"/>
    <col min="10030" max="10030" width="0.5703125" style="544" customWidth="1"/>
    <col min="10031" max="10031" width="2.7109375" style="544" customWidth="1"/>
    <col min="10032" max="10032" width="0.7109375" style="544" customWidth="1"/>
    <col min="10033" max="10033" width="2" style="544" customWidth="1"/>
    <col min="10034" max="10034" width="3.7109375" style="544" customWidth="1"/>
    <col min="10035" max="10035" width="2.42578125" style="544" customWidth="1"/>
    <col min="10036" max="10060" width="2.7109375" style="544" customWidth="1"/>
    <col min="10061" max="10240" width="9.140625" style="544"/>
    <col min="10241" max="10241" width="2.42578125" style="544" customWidth="1"/>
    <col min="10242" max="10242" width="3" style="544" bestFit="1" customWidth="1"/>
    <col min="10243" max="10243" width="2.7109375" style="544" customWidth="1"/>
    <col min="10244" max="10244" width="3" style="544" bestFit="1" customWidth="1"/>
    <col min="10245" max="10245" width="3.42578125" style="544" customWidth="1"/>
    <col min="10246" max="10246" width="0.5703125" style="544" customWidth="1"/>
    <col min="10247" max="10247" width="3.42578125" style="544" customWidth="1"/>
    <col min="10248" max="10248" width="0.5703125" style="544" customWidth="1"/>
    <col min="10249" max="10249" width="3.42578125" style="544" customWidth="1"/>
    <col min="10250" max="10250" width="0.5703125" style="544" customWidth="1"/>
    <col min="10251" max="10251" width="3.42578125" style="544" customWidth="1"/>
    <col min="10252" max="10252" width="2.28515625" style="544" customWidth="1"/>
    <col min="10253" max="10254" width="2.7109375" style="544" customWidth="1"/>
    <col min="10255" max="10255" width="4" style="544" customWidth="1"/>
    <col min="10256" max="10256" width="2.85546875" style="544" customWidth="1"/>
    <col min="10257" max="10257" width="0.7109375" style="544" customWidth="1"/>
    <col min="10258" max="10258" width="3" style="544" bestFit="1" customWidth="1"/>
    <col min="10259" max="10259" width="2.7109375" style="544" customWidth="1"/>
    <col min="10260" max="10260" width="0.7109375" style="544" customWidth="1"/>
    <col min="10261" max="10261" width="2.7109375" style="544" customWidth="1"/>
    <col min="10262" max="10262" width="0.7109375" style="544" customWidth="1"/>
    <col min="10263" max="10263" width="2.7109375" style="544" customWidth="1"/>
    <col min="10264" max="10264" width="1" style="544" customWidth="1"/>
    <col min="10265" max="10265" width="3" style="544" bestFit="1" customWidth="1"/>
    <col min="10266" max="10266" width="0.7109375" style="544" customWidth="1"/>
    <col min="10267" max="10267" width="2.7109375" style="544" customWidth="1"/>
    <col min="10268" max="10268" width="0.5703125" style="544" customWidth="1"/>
    <col min="10269" max="10269" width="2.7109375" style="544" customWidth="1"/>
    <col min="10270" max="10270" width="0.7109375" style="544" customWidth="1"/>
    <col min="10271" max="10271" width="2.7109375" style="544" customWidth="1"/>
    <col min="10272" max="10272" width="0.5703125" style="544" customWidth="1"/>
    <col min="10273" max="10273" width="2.7109375" style="544" customWidth="1"/>
    <col min="10274" max="10274" width="0.42578125" style="544" customWidth="1"/>
    <col min="10275" max="10275" width="3" style="544" bestFit="1" customWidth="1"/>
    <col min="10276" max="10276" width="0.5703125" style="544" customWidth="1"/>
    <col min="10277" max="10277" width="3" style="544" bestFit="1" customWidth="1"/>
    <col min="10278" max="10278" width="0.7109375" style="544" customWidth="1"/>
    <col min="10279" max="10279" width="2.7109375" style="544" customWidth="1"/>
    <col min="10280" max="10280" width="0.5703125" style="544" customWidth="1"/>
    <col min="10281" max="10281" width="2.7109375" style="544" customWidth="1"/>
    <col min="10282" max="10282" width="0.5703125" style="544" customWidth="1"/>
    <col min="10283" max="10283" width="2.7109375" style="544" customWidth="1"/>
    <col min="10284" max="10284" width="0.5703125" style="544" customWidth="1"/>
    <col min="10285" max="10285" width="2.7109375" style="544" customWidth="1"/>
    <col min="10286" max="10286" width="0.5703125" style="544" customWidth="1"/>
    <col min="10287" max="10287" width="2.7109375" style="544" customWidth="1"/>
    <col min="10288" max="10288" width="0.7109375" style="544" customWidth="1"/>
    <col min="10289" max="10289" width="2" style="544" customWidth="1"/>
    <col min="10290" max="10290" width="3.7109375" style="544" customWidth="1"/>
    <col min="10291" max="10291" width="2.42578125" style="544" customWidth="1"/>
    <col min="10292" max="10316" width="2.7109375" style="544" customWidth="1"/>
    <col min="10317" max="10496" width="9.140625" style="544"/>
    <col min="10497" max="10497" width="2.42578125" style="544" customWidth="1"/>
    <col min="10498" max="10498" width="3" style="544" bestFit="1" customWidth="1"/>
    <col min="10499" max="10499" width="2.7109375" style="544" customWidth="1"/>
    <col min="10500" max="10500" width="3" style="544" bestFit="1" customWidth="1"/>
    <col min="10501" max="10501" width="3.42578125" style="544" customWidth="1"/>
    <col min="10502" max="10502" width="0.5703125" style="544" customWidth="1"/>
    <col min="10503" max="10503" width="3.42578125" style="544" customWidth="1"/>
    <col min="10504" max="10504" width="0.5703125" style="544" customWidth="1"/>
    <col min="10505" max="10505" width="3.42578125" style="544" customWidth="1"/>
    <col min="10506" max="10506" width="0.5703125" style="544" customWidth="1"/>
    <col min="10507" max="10507" width="3.42578125" style="544" customWidth="1"/>
    <col min="10508" max="10508" width="2.28515625" style="544" customWidth="1"/>
    <col min="10509" max="10510" width="2.7109375" style="544" customWidth="1"/>
    <col min="10511" max="10511" width="4" style="544" customWidth="1"/>
    <col min="10512" max="10512" width="2.85546875" style="544" customWidth="1"/>
    <col min="10513" max="10513" width="0.7109375" style="544" customWidth="1"/>
    <col min="10514" max="10514" width="3" style="544" bestFit="1" customWidth="1"/>
    <col min="10515" max="10515" width="2.7109375" style="544" customWidth="1"/>
    <col min="10516" max="10516" width="0.7109375" style="544" customWidth="1"/>
    <col min="10517" max="10517" width="2.7109375" style="544" customWidth="1"/>
    <col min="10518" max="10518" width="0.7109375" style="544" customWidth="1"/>
    <col min="10519" max="10519" width="2.7109375" style="544" customWidth="1"/>
    <col min="10520" max="10520" width="1" style="544" customWidth="1"/>
    <col min="10521" max="10521" width="3" style="544" bestFit="1" customWidth="1"/>
    <col min="10522" max="10522" width="0.7109375" style="544" customWidth="1"/>
    <col min="10523" max="10523" width="2.7109375" style="544" customWidth="1"/>
    <col min="10524" max="10524" width="0.5703125" style="544" customWidth="1"/>
    <col min="10525" max="10525" width="2.7109375" style="544" customWidth="1"/>
    <col min="10526" max="10526" width="0.7109375" style="544" customWidth="1"/>
    <col min="10527" max="10527" width="2.7109375" style="544" customWidth="1"/>
    <col min="10528" max="10528" width="0.5703125" style="544" customWidth="1"/>
    <col min="10529" max="10529" width="2.7109375" style="544" customWidth="1"/>
    <col min="10530" max="10530" width="0.42578125" style="544" customWidth="1"/>
    <col min="10531" max="10531" width="3" style="544" bestFit="1" customWidth="1"/>
    <col min="10532" max="10532" width="0.5703125" style="544" customWidth="1"/>
    <col min="10533" max="10533" width="3" style="544" bestFit="1" customWidth="1"/>
    <col min="10534" max="10534" width="0.7109375" style="544" customWidth="1"/>
    <col min="10535" max="10535" width="2.7109375" style="544" customWidth="1"/>
    <col min="10536" max="10536" width="0.5703125" style="544" customWidth="1"/>
    <col min="10537" max="10537" width="2.7109375" style="544" customWidth="1"/>
    <col min="10538" max="10538" width="0.5703125" style="544" customWidth="1"/>
    <col min="10539" max="10539" width="2.7109375" style="544" customWidth="1"/>
    <col min="10540" max="10540" width="0.5703125" style="544" customWidth="1"/>
    <col min="10541" max="10541" width="2.7109375" style="544" customWidth="1"/>
    <col min="10542" max="10542" width="0.5703125" style="544" customWidth="1"/>
    <col min="10543" max="10543" width="2.7109375" style="544" customWidth="1"/>
    <col min="10544" max="10544" width="0.7109375" style="544" customWidth="1"/>
    <col min="10545" max="10545" width="2" style="544" customWidth="1"/>
    <col min="10546" max="10546" width="3.7109375" style="544" customWidth="1"/>
    <col min="10547" max="10547" width="2.42578125" style="544" customWidth="1"/>
    <col min="10548" max="10572" width="2.7109375" style="544" customWidth="1"/>
    <col min="10573" max="10752" width="9.140625" style="544"/>
    <col min="10753" max="10753" width="2.42578125" style="544" customWidth="1"/>
    <col min="10754" max="10754" width="3" style="544" bestFit="1" customWidth="1"/>
    <col min="10755" max="10755" width="2.7109375" style="544" customWidth="1"/>
    <col min="10756" max="10756" width="3" style="544" bestFit="1" customWidth="1"/>
    <col min="10757" max="10757" width="3.42578125" style="544" customWidth="1"/>
    <col min="10758" max="10758" width="0.5703125" style="544" customWidth="1"/>
    <col min="10759" max="10759" width="3.42578125" style="544" customWidth="1"/>
    <col min="10760" max="10760" width="0.5703125" style="544" customWidth="1"/>
    <col min="10761" max="10761" width="3.42578125" style="544" customWidth="1"/>
    <col min="10762" max="10762" width="0.5703125" style="544" customWidth="1"/>
    <col min="10763" max="10763" width="3.42578125" style="544" customWidth="1"/>
    <col min="10764" max="10764" width="2.28515625" style="544" customWidth="1"/>
    <col min="10765" max="10766" width="2.7109375" style="544" customWidth="1"/>
    <col min="10767" max="10767" width="4" style="544" customWidth="1"/>
    <col min="10768" max="10768" width="2.85546875" style="544" customWidth="1"/>
    <col min="10769" max="10769" width="0.7109375" style="544" customWidth="1"/>
    <col min="10770" max="10770" width="3" style="544" bestFit="1" customWidth="1"/>
    <col min="10771" max="10771" width="2.7109375" style="544" customWidth="1"/>
    <col min="10772" max="10772" width="0.7109375" style="544" customWidth="1"/>
    <col min="10773" max="10773" width="2.7109375" style="544" customWidth="1"/>
    <col min="10774" max="10774" width="0.7109375" style="544" customWidth="1"/>
    <col min="10775" max="10775" width="2.7109375" style="544" customWidth="1"/>
    <col min="10776" max="10776" width="1" style="544" customWidth="1"/>
    <col min="10777" max="10777" width="3" style="544" bestFit="1" customWidth="1"/>
    <col min="10778" max="10778" width="0.7109375" style="544" customWidth="1"/>
    <col min="10779" max="10779" width="2.7109375" style="544" customWidth="1"/>
    <col min="10780" max="10780" width="0.5703125" style="544" customWidth="1"/>
    <col min="10781" max="10781" width="2.7109375" style="544" customWidth="1"/>
    <col min="10782" max="10782" width="0.7109375" style="544" customWidth="1"/>
    <col min="10783" max="10783" width="2.7109375" style="544" customWidth="1"/>
    <col min="10784" max="10784" width="0.5703125" style="544" customWidth="1"/>
    <col min="10785" max="10785" width="2.7109375" style="544" customWidth="1"/>
    <col min="10786" max="10786" width="0.42578125" style="544" customWidth="1"/>
    <col min="10787" max="10787" width="3" style="544" bestFit="1" customWidth="1"/>
    <col min="10788" max="10788" width="0.5703125" style="544" customWidth="1"/>
    <col min="10789" max="10789" width="3" style="544" bestFit="1" customWidth="1"/>
    <col min="10790" max="10790" width="0.7109375" style="544" customWidth="1"/>
    <col min="10791" max="10791" width="2.7109375" style="544" customWidth="1"/>
    <col min="10792" max="10792" width="0.5703125" style="544" customWidth="1"/>
    <col min="10793" max="10793" width="2.7109375" style="544" customWidth="1"/>
    <col min="10794" max="10794" width="0.5703125" style="544" customWidth="1"/>
    <col min="10795" max="10795" width="2.7109375" style="544" customWidth="1"/>
    <col min="10796" max="10796" width="0.5703125" style="544" customWidth="1"/>
    <col min="10797" max="10797" width="2.7109375" style="544" customWidth="1"/>
    <col min="10798" max="10798" width="0.5703125" style="544" customWidth="1"/>
    <col min="10799" max="10799" width="2.7109375" style="544" customWidth="1"/>
    <col min="10800" max="10800" width="0.7109375" style="544" customWidth="1"/>
    <col min="10801" max="10801" width="2" style="544" customWidth="1"/>
    <col min="10802" max="10802" width="3.7109375" style="544" customWidth="1"/>
    <col min="10803" max="10803" width="2.42578125" style="544" customWidth="1"/>
    <col min="10804" max="10828" width="2.7109375" style="544" customWidth="1"/>
    <col min="10829" max="11008" width="9.140625" style="544"/>
    <col min="11009" max="11009" width="2.42578125" style="544" customWidth="1"/>
    <col min="11010" max="11010" width="3" style="544" bestFit="1" customWidth="1"/>
    <col min="11011" max="11011" width="2.7109375" style="544" customWidth="1"/>
    <col min="11012" max="11012" width="3" style="544" bestFit="1" customWidth="1"/>
    <col min="11013" max="11013" width="3.42578125" style="544" customWidth="1"/>
    <col min="11014" max="11014" width="0.5703125" style="544" customWidth="1"/>
    <col min="11015" max="11015" width="3.42578125" style="544" customWidth="1"/>
    <col min="11016" max="11016" width="0.5703125" style="544" customWidth="1"/>
    <col min="11017" max="11017" width="3.42578125" style="544" customWidth="1"/>
    <col min="11018" max="11018" width="0.5703125" style="544" customWidth="1"/>
    <col min="11019" max="11019" width="3.42578125" style="544" customWidth="1"/>
    <col min="11020" max="11020" width="2.28515625" style="544" customWidth="1"/>
    <col min="11021" max="11022" width="2.7109375" style="544" customWidth="1"/>
    <col min="11023" max="11023" width="4" style="544" customWidth="1"/>
    <col min="11024" max="11024" width="2.85546875" style="544" customWidth="1"/>
    <col min="11025" max="11025" width="0.7109375" style="544" customWidth="1"/>
    <col min="11026" max="11026" width="3" style="544" bestFit="1" customWidth="1"/>
    <col min="11027" max="11027" width="2.7109375" style="544" customWidth="1"/>
    <col min="11028" max="11028" width="0.7109375" style="544" customWidth="1"/>
    <col min="11029" max="11029" width="2.7109375" style="544" customWidth="1"/>
    <col min="11030" max="11030" width="0.7109375" style="544" customWidth="1"/>
    <col min="11031" max="11031" width="2.7109375" style="544" customWidth="1"/>
    <col min="11032" max="11032" width="1" style="544" customWidth="1"/>
    <col min="11033" max="11033" width="3" style="544" bestFit="1" customWidth="1"/>
    <col min="11034" max="11034" width="0.7109375" style="544" customWidth="1"/>
    <col min="11035" max="11035" width="2.7109375" style="544" customWidth="1"/>
    <col min="11036" max="11036" width="0.5703125" style="544" customWidth="1"/>
    <col min="11037" max="11037" width="2.7109375" style="544" customWidth="1"/>
    <col min="11038" max="11038" width="0.7109375" style="544" customWidth="1"/>
    <col min="11039" max="11039" width="2.7109375" style="544" customWidth="1"/>
    <col min="11040" max="11040" width="0.5703125" style="544" customWidth="1"/>
    <col min="11041" max="11041" width="2.7109375" style="544" customWidth="1"/>
    <col min="11042" max="11042" width="0.42578125" style="544" customWidth="1"/>
    <col min="11043" max="11043" width="3" style="544" bestFit="1" customWidth="1"/>
    <col min="11044" max="11044" width="0.5703125" style="544" customWidth="1"/>
    <col min="11045" max="11045" width="3" style="544" bestFit="1" customWidth="1"/>
    <col min="11046" max="11046" width="0.7109375" style="544" customWidth="1"/>
    <col min="11047" max="11047" width="2.7109375" style="544" customWidth="1"/>
    <col min="11048" max="11048" width="0.5703125" style="544" customWidth="1"/>
    <col min="11049" max="11049" width="2.7109375" style="544" customWidth="1"/>
    <col min="11050" max="11050" width="0.5703125" style="544" customWidth="1"/>
    <col min="11051" max="11051" width="2.7109375" style="544" customWidth="1"/>
    <col min="11052" max="11052" width="0.5703125" style="544" customWidth="1"/>
    <col min="11053" max="11053" width="2.7109375" style="544" customWidth="1"/>
    <col min="11054" max="11054" width="0.5703125" style="544" customWidth="1"/>
    <col min="11055" max="11055" width="2.7109375" style="544" customWidth="1"/>
    <col min="11056" max="11056" width="0.7109375" style="544" customWidth="1"/>
    <col min="11057" max="11057" width="2" style="544" customWidth="1"/>
    <col min="11058" max="11058" width="3.7109375" style="544" customWidth="1"/>
    <col min="11059" max="11059" width="2.42578125" style="544" customWidth="1"/>
    <col min="11060" max="11084" width="2.7109375" style="544" customWidth="1"/>
    <col min="11085" max="11264" width="9.140625" style="544"/>
    <col min="11265" max="11265" width="2.42578125" style="544" customWidth="1"/>
    <col min="11266" max="11266" width="3" style="544" bestFit="1" customWidth="1"/>
    <col min="11267" max="11267" width="2.7109375" style="544" customWidth="1"/>
    <col min="11268" max="11268" width="3" style="544" bestFit="1" customWidth="1"/>
    <col min="11269" max="11269" width="3.42578125" style="544" customWidth="1"/>
    <col min="11270" max="11270" width="0.5703125" style="544" customWidth="1"/>
    <col min="11271" max="11271" width="3.42578125" style="544" customWidth="1"/>
    <col min="11272" max="11272" width="0.5703125" style="544" customWidth="1"/>
    <col min="11273" max="11273" width="3.42578125" style="544" customWidth="1"/>
    <col min="11274" max="11274" width="0.5703125" style="544" customWidth="1"/>
    <col min="11275" max="11275" width="3.42578125" style="544" customWidth="1"/>
    <col min="11276" max="11276" width="2.28515625" style="544" customWidth="1"/>
    <col min="11277" max="11278" width="2.7109375" style="544" customWidth="1"/>
    <col min="11279" max="11279" width="4" style="544" customWidth="1"/>
    <col min="11280" max="11280" width="2.85546875" style="544" customWidth="1"/>
    <col min="11281" max="11281" width="0.7109375" style="544" customWidth="1"/>
    <col min="11282" max="11282" width="3" style="544" bestFit="1" customWidth="1"/>
    <col min="11283" max="11283" width="2.7109375" style="544" customWidth="1"/>
    <col min="11284" max="11284" width="0.7109375" style="544" customWidth="1"/>
    <col min="11285" max="11285" width="2.7109375" style="544" customWidth="1"/>
    <col min="11286" max="11286" width="0.7109375" style="544" customWidth="1"/>
    <col min="11287" max="11287" width="2.7109375" style="544" customWidth="1"/>
    <col min="11288" max="11288" width="1" style="544" customWidth="1"/>
    <col min="11289" max="11289" width="3" style="544" bestFit="1" customWidth="1"/>
    <col min="11290" max="11290" width="0.7109375" style="544" customWidth="1"/>
    <col min="11291" max="11291" width="2.7109375" style="544" customWidth="1"/>
    <col min="11292" max="11292" width="0.5703125" style="544" customWidth="1"/>
    <col min="11293" max="11293" width="2.7109375" style="544" customWidth="1"/>
    <col min="11294" max="11294" width="0.7109375" style="544" customWidth="1"/>
    <col min="11295" max="11295" width="2.7109375" style="544" customWidth="1"/>
    <col min="11296" max="11296" width="0.5703125" style="544" customWidth="1"/>
    <col min="11297" max="11297" width="2.7109375" style="544" customWidth="1"/>
    <col min="11298" max="11298" width="0.42578125" style="544" customWidth="1"/>
    <col min="11299" max="11299" width="3" style="544" bestFit="1" customWidth="1"/>
    <col min="11300" max="11300" width="0.5703125" style="544" customWidth="1"/>
    <col min="11301" max="11301" width="3" style="544" bestFit="1" customWidth="1"/>
    <col min="11302" max="11302" width="0.7109375" style="544" customWidth="1"/>
    <col min="11303" max="11303" width="2.7109375" style="544" customWidth="1"/>
    <col min="11304" max="11304" width="0.5703125" style="544" customWidth="1"/>
    <col min="11305" max="11305" width="2.7109375" style="544" customWidth="1"/>
    <col min="11306" max="11306" width="0.5703125" style="544" customWidth="1"/>
    <col min="11307" max="11307" width="2.7109375" style="544" customWidth="1"/>
    <col min="11308" max="11308" width="0.5703125" style="544" customWidth="1"/>
    <col min="11309" max="11309" width="2.7109375" style="544" customWidth="1"/>
    <col min="11310" max="11310" width="0.5703125" style="544" customWidth="1"/>
    <col min="11311" max="11311" width="2.7109375" style="544" customWidth="1"/>
    <col min="11312" max="11312" width="0.7109375" style="544" customWidth="1"/>
    <col min="11313" max="11313" width="2" style="544" customWidth="1"/>
    <col min="11314" max="11314" width="3.7109375" style="544" customWidth="1"/>
    <col min="11315" max="11315" width="2.42578125" style="544" customWidth="1"/>
    <col min="11316" max="11340" width="2.7109375" style="544" customWidth="1"/>
    <col min="11341" max="11520" width="9.140625" style="544"/>
    <col min="11521" max="11521" width="2.42578125" style="544" customWidth="1"/>
    <col min="11522" max="11522" width="3" style="544" bestFit="1" customWidth="1"/>
    <col min="11523" max="11523" width="2.7109375" style="544" customWidth="1"/>
    <col min="11524" max="11524" width="3" style="544" bestFit="1" customWidth="1"/>
    <col min="11525" max="11525" width="3.42578125" style="544" customWidth="1"/>
    <col min="11526" max="11526" width="0.5703125" style="544" customWidth="1"/>
    <col min="11527" max="11527" width="3.42578125" style="544" customWidth="1"/>
    <col min="11528" max="11528" width="0.5703125" style="544" customWidth="1"/>
    <col min="11529" max="11529" width="3.42578125" style="544" customWidth="1"/>
    <col min="11530" max="11530" width="0.5703125" style="544" customWidth="1"/>
    <col min="11531" max="11531" width="3.42578125" style="544" customWidth="1"/>
    <col min="11532" max="11532" width="2.28515625" style="544" customWidth="1"/>
    <col min="11533" max="11534" width="2.7109375" style="544" customWidth="1"/>
    <col min="11535" max="11535" width="4" style="544" customWidth="1"/>
    <col min="11536" max="11536" width="2.85546875" style="544" customWidth="1"/>
    <col min="11537" max="11537" width="0.7109375" style="544" customWidth="1"/>
    <col min="11538" max="11538" width="3" style="544" bestFit="1" customWidth="1"/>
    <col min="11539" max="11539" width="2.7109375" style="544" customWidth="1"/>
    <col min="11540" max="11540" width="0.7109375" style="544" customWidth="1"/>
    <col min="11541" max="11541" width="2.7109375" style="544" customWidth="1"/>
    <col min="11542" max="11542" width="0.7109375" style="544" customWidth="1"/>
    <col min="11543" max="11543" width="2.7109375" style="544" customWidth="1"/>
    <col min="11544" max="11544" width="1" style="544" customWidth="1"/>
    <col min="11545" max="11545" width="3" style="544" bestFit="1" customWidth="1"/>
    <col min="11546" max="11546" width="0.7109375" style="544" customWidth="1"/>
    <col min="11547" max="11547" width="2.7109375" style="544" customWidth="1"/>
    <col min="11548" max="11548" width="0.5703125" style="544" customWidth="1"/>
    <col min="11549" max="11549" width="2.7109375" style="544" customWidth="1"/>
    <col min="11550" max="11550" width="0.7109375" style="544" customWidth="1"/>
    <col min="11551" max="11551" width="2.7109375" style="544" customWidth="1"/>
    <col min="11552" max="11552" width="0.5703125" style="544" customWidth="1"/>
    <col min="11553" max="11553" width="2.7109375" style="544" customWidth="1"/>
    <col min="11554" max="11554" width="0.42578125" style="544" customWidth="1"/>
    <col min="11555" max="11555" width="3" style="544" bestFit="1" customWidth="1"/>
    <col min="11556" max="11556" width="0.5703125" style="544" customWidth="1"/>
    <col min="11557" max="11557" width="3" style="544" bestFit="1" customWidth="1"/>
    <col min="11558" max="11558" width="0.7109375" style="544" customWidth="1"/>
    <col min="11559" max="11559" width="2.7109375" style="544" customWidth="1"/>
    <col min="11560" max="11560" width="0.5703125" style="544" customWidth="1"/>
    <col min="11561" max="11561" width="2.7109375" style="544" customWidth="1"/>
    <col min="11562" max="11562" width="0.5703125" style="544" customWidth="1"/>
    <col min="11563" max="11563" width="2.7109375" style="544" customWidth="1"/>
    <col min="11564" max="11564" width="0.5703125" style="544" customWidth="1"/>
    <col min="11565" max="11565" width="2.7109375" style="544" customWidth="1"/>
    <col min="11566" max="11566" width="0.5703125" style="544" customWidth="1"/>
    <col min="11567" max="11567" width="2.7109375" style="544" customWidth="1"/>
    <col min="11568" max="11568" width="0.7109375" style="544" customWidth="1"/>
    <col min="11569" max="11569" width="2" style="544" customWidth="1"/>
    <col min="11570" max="11570" width="3.7109375" style="544" customWidth="1"/>
    <col min="11571" max="11571" width="2.42578125" style="544" customWidth="1"/>
    <col min="11572" max="11596" width="2.7109375" style="544" customWidth="1"/>
    <col min="11597" max="11776" width="9.140625" style="544"/>
    <col min="11777" max="11777" width="2.42578125" style="544" customWidth="1"/>
    <col min="11778" max="11778" width="3" style="544" bestFit="1" customWidth="1"/>
    <col min="11779" max="11779" width="2.7109375" style="544" customWidth="1"/>
    <col min="11780" max="11780" width="3" style="544" bestFit="1" customWidth="1"/>
    <col min="11781" max="11781" width="3.42578125" style="544" customWidth="1"/>
    <col min="11782" max="11782" width="0.5703125" style="544" customWidth="1"/>
    <col min="11783" max="11783" width="3.42578125" style="544" customWidth="1"/>
    <col min="11784" max="11784" width="0.5703125" style="544" customWidth="1"/>
    <col min="11785" max="11785" width="3.42578125" style="544" customWidth="1"/>
    <col min="11786" max="11786" width="0.5703125" style="544" customWidth="1"/>
    <col min="11787" max="11787" width="3.42578125" style="544" customWidth="1"/>
    <col min="11788" max="11788" width="2.28515625" style="544" customWidth="1"/>
    <col min="11789" max="11790" width="2.7109375" style="544" customWidth="1"/>
    <col min="11791" max="11791" width="4" style="544" customWidth="1"/>
    <col min="11792" max="11792" width="2.85546875" style="544" customWidth="1"/>
    <col min="11793" max="11793" width="0.7109375" style="544" customWidth="1"/>
    <col min="11794" max="11794" width="3" style="544" bestFit="1" customWidth="1"/>
    <col min="11795" max="11795" width="2.7109375" style="544" customWidth="1"/>
    <col min="11796" max="11796" width="0.7109375" style="544" customWidth="1"/>
    <col min="11797" max="11797" width="2.7109375" style="544" customWidth="1"/>
    <col min="11798" max="11798" width="0.7109375" style="544" customWidth="1"/>
    <col min="11799" max="11799" width="2.7109375" style="544" customWidth="1"/>
    <col min="11800" max="11800" width="1" style="544" customWidth="1"/>
    <col min="11801" max="11801" width="3" style="544" bestFit="1" customWidth="1"/>
    <col min="11802" max="11802" width="0.7109375" style="544" customWidth="1"/>
    <col min="11803" max="11803" width="2.7109375" style="544" customWidth="1"/>
    <col min="11804" max="11804" width="0.5703125" style="544" customWidth="1"/>
    <col min="11805" max="11805" width="2.7109375" style="544" customWidth="1"/>
    <col min="11806" max="11806" width="0.7109375" style="544" customWidth="1"/>
    <col min="11807" max="11807" width="2.7109375" style="544" customWidth="1"/>
    <col min="11808" max="11808" width="0.5703125" style="544" customWidth="1"/>
    <col min="11809" max="11809" width="2.7109375" style="544" customWidth="1"/>
    <col min="11810" max="11810" width="0.42578125" style="544" customWidth="1"/>
    <col min="11811" max="11811" width="3" style="544" bestFit="1" customWidth="1"/>
    <col min="11812" max="11812" width="0.5703125" style="544" customWidth="1"/>
    <col min="11813" max="11813" width="3" style="544" bestFit="1" customWidth="1"/>
    <col min="11814" max="11814" width="0.7109375" style="544" customWidth="1"/>
    <col min="11815" max="11815" width="2.7109375" style="544" customWidth="1"/>
    <col min="11816" max="11816" width="0.5703125" style="544" customWidth="1"/>
    <col min="11817" max="11817" width="2.7109375" style="544" customWidth="1"/>
    <col min="11818" max="11818" width="0.5703125" style="544" customWidth="1"/>
    <col min="11819" max="11819" width="2.7109375" style="544" customWidth="1"/>
    <col min="11820" max="11820" width="0.5703125" style="544" customWidth="1"/>
    <col min="11821" max="11821" width="2.7109375" style="544" customWidth="1"/>
    <col min="11822" max="11822" width="0.5703125" style="544" customWidth="1"/>
    <col min="11823" max="11823" width="2.7109375" style="544" customWidth="1"/>
    <col min="11824" max="11824" width="0.7109375" style="544" customWidth="1"/>
    <col min="11825" max="11825" width="2" style="544" customWidth="1"/>
    <col min="11826" max="11826" width="3.7109375" style="544" customWidth="1"/>
    <col min="11827" max="11827" width="2.42578125" style="544" customWidth="1"/>
    <col min="11828" max="11852" width="2.7109375" style="544" customWidth="1"/>
    <col min="11853" max="12032" width="9.140625" style="544"/>
    <col min="12033" max="12033" width="2.42578125" style="544" customWidth="1"/>
    <col min="12034" max="12034" width="3" style="544" bestFit="1" customWidth="1"/>
    <col min="12035" max="12035" width="2.7109375" style="544" customWidth="1"/>
    <col min="12036" max="12036" width="3" style="544" bestFit="1" customWidth="1"/>
    <col min="12037" max="12037" width="3.42578125" style="544" customWidth="1"/>
    <col min="12038" max="12038" width="0.5703125" style="544" customWidth="1"/>
    <col min="12039" max="12039" width="3.42578125" style="544" customWidth="1"/>
    <col min="12040" max="12040" width="0.5703125" style="544" customWidth="1"/>
    <col min="12041" max="12041" width="3.42578125" style="544" customWidth="1"/>
    <col min="12042" max="12042" width="0.5703125" style="544" customWidth="1"/>
    <col min="12043" max="12043" width="3.42578125" style="544" customWidth="1"/>
    <col min="12044" max="12044" width="2.28515625" style="544" customWidth="1"/>
    <col min="12045" max="12046" width="2.7109375" style="544" customWidth="1"/>
    <col min="12047" max="12047" width="4" style="544" customWidth="1"/>
    <col min="12048" max="12048" width="2.85546875" style="544" customWidth="1"/>
    <col min="12049" max="12049" width="0.7109375" style="544" customWidth="1"/>
    <col min="12050" max="12050" width="3" style="544" bestFit="1" customWidth="1"/>
    <col min="12051" max="12051" width="2.7109375" style="544" customWidth="1"/>
    <col min="12052" max="12052" width="0.7109375" style="544" customWidth="1"/>
    <col min="12053" max="12053" width="2.7109375" style="544" customWidth="1"/>
    <col min="12054" max="12054" width="0.7109375" style="544" customWidth="1"/>
    <col min="12055" max="12055" width="2.7109375" style="544" customWidth="1"/>
    <col min="12056" max="12056" width="1" style="544" customWidth="1"/>
    <col min="12057" max="12057" width="3" style="544" bestFit="1" customWidth="1"/>
    <col min="12058" max="12058" width="0.7109375" style="544" customWidth="1"/>
    <col min="12059" max="12059" width="2.7109375" style="544" customWidth="1"/>
    <col min="12060" max="12060" width="0.5703125" style="544" customWidth="1"/>
    <col min="12061" max="12061" width="2.7109375" style="544" customWidth="1"/>
    <col min="12062" max="12062" width="0.7109375" style="544" customWidth="1"/>
    <col min="12063" max="12063" width="2.7109375" style="544" customWidth="1"/>
    <col min="12064" max="12064" width="0.5703125" style="544" customWidth="1"/>
    <col min="12065" max="12065" width="2.7109375" style="544" customWidth="1"/>
    <col min="12066" max="12066" width="0.42578125" style="544" customWidth="1"/>
    <col min="12067" max="12067" width="3" style="544" bestFit="1" customWidth="1"/>
    <col min="12068" max="12068" width="0.5703125" style="544" customWidth="1"/>
    <col min="12069" max="12069" width="3" style="544" bestFit="1" customWidth="1"/>
    <col min="12070" max="12070" width="0.7109375" style="544" customWidth="1"/>
    <col min="12071" max="12071" width="2.7109375" style="544" customWidth="1"/>
    <col min="12072" max="12072" width="0.5703125" style="544" customWidth="1"/>
    <col min="12073" max="12073" width="2.7109375" style="544" customWidth="1"/>
    <col min="12074" max="12074" width="0.5703125" style="544" customWidth="1"/>
    <col min="12075" max="12075" width="2.7109375" style="544" customWidth="1"/>
    <col min="12076" max="12076" width="0.5703125" style="544" customWidth="1"/>
    <col min="12077" max="12077" width="2.7109375" style="544" customWidth="1"/>
    <col min="12078" max="12078" width="0.5703125" style="544" customWidth="1"/>
    <col min="12079" max="12079" width="2.7109375" style="544" customWidth="1"/>
    <col min="12080" max="12080" width="0.7109375" style="544" customWidth="1"/>
    <col min="12081" max="12081" width="2" style="544" customWidth="1"/>
    <col min="12082" max="12082" width="3.7109375" style="544" customWidth="1"/>
    <col min="12083" max="12083" width="2.42578125" style="544" customWidth="1"/>
    <col min="12084" max="12108" width="2.7109375" style="544" customWidth="1"/>
    <col min="12109" max="12288" width="9.140625" style="544"/>
    <col min="12289" max="12289" width="2.42578125" style="544" customWidth="1"/>
    <col min="12290" max="12290" width="3" style="544" bestFit="1" customWidth="1"/>
    <col min="12291" max="12291" width="2.7109375" style="544" customWidth="1"/>
    <col min="12292" max="12292" width="3" style="544" bestFit="1" customWidth="1"/>
    <col min="12293" max="12293" width="3.42578125" style="544" customWidth="1"/>
    <col min="12294" max="12294" width="0.5703125" style="544" customWidth="1"/>
    <col min="12295" max="12295" width="3.42578125" style="544" customWidth="1"/>
    <col min="12296" max="12296" width="0.5703125" style="544" customWidth="1"/>
    <col min="12297" max="12297" width="3.42578125" style="544" customWidth="1"/>
    <col min="12298" max="12298" width="0.5703125" style="544" customWidth="1"/>
    <col min="12299" max="12299" width="3.42578125" style="544" customWidth="1"/>
    <col min="12300" max="12300" width="2.28515625" style="544" customWidth="1"/>
    <col min="12301" max="12302" width="2.7109375" style="544" customWidth="1"/>
    <col min="12303" max="12303" width="4" style="544" customWidth="1"/>
    <col min="12304" max="12304" width="2.85546875" style="544" customWidth="1"/>
    <col min="12305" max="12305" width="0.7109375" style="544" customWidth="1"/>
    <col min="12306" max="12306" width="3" style="544" bestFit="1" customWidth="1"/>
    <col min="12307" max="12307" width="2.7109375" style="544" customWidth="1"/>
    <col min="12308" max="12308" width="0.7109375" style="544" customWidth="1"/>
    <col min="12309" max="12309" width="2.7109375" style="544" customWidth="1"/>
    <col min="12310" max="12310" width="0.7109375" style="544" customWidth="1"/>
    <col min="12311" max="12311" width="2.7109375" style="544" customWidth="1"/>
    <col min="12312" max="12312" width="1" style="544" customWidth="1"/>
    <col min="12313" max="12313" width="3" style="544" bestFit="1" customWidth="1"/>
    <col min="12314" max="12314" width="0.7109375" style="544" customWidth="1"/>
    <col min="12315" max="12315" width="2.7109375" style="544" customWidth="1"/>
    <col min="12316" max="12316" width="0.5703125" style="544" customWidth="1"/>
    <col min="12317" max="12317" width="2.7109375" style="544" customWidth="1"/>
    <col min="12318" max="12318" width="0.7109375" style="544" customWidth="1"/>
    <col min="12319" max="12319" width="2.7109375" style="544" customWidth="1"/>
    <col min="12320" max="12320" width="0.5703125" style="544" customWidth="1"/>
    <col min="12321" max="12321" width="2.7109375" style="544" customWidth="1"/>
    <col min="12322" max="12322" width="0.42578125" style="544" customWidth="1"/>
    <col min="12323" max="12323" width="3" style="544" bestFit="1" customWidth="1"/>
    <col min="12324" max="12324" width="0.5703125" style="544" customWidth="1"/>
    <col min="12325" max="12325" width="3" style="544" bestFit="1" customWidth="1"/>
    <col min="12326" max="12326" width="0.7109375" style="544" customWidth="1"/>
    <col min="12327" max="12327" width="2.7109375" style="544" customWidth="1"/>
    <col min="12328" max="12328" width="0.5703125" style="544" customWidth="1"/>
    <col min="12329" max="12329" width="2.7109375" style="544" customWidth="1"/>
    <col min="12330" max="12330" width="0.5703125" style="544" customWidth="1"/>
    <col min="12331" max="12331" width="2.7109375" style="544" customWidth="1"/>
    <col min="12332" max="12332" width="0.5703125" style="544" customWidth="1"/>
    <col min="12333" max="12333" width="2.7109375" style="544" customWidth="1"/>
    <col min="12334" max="12334" width="0.5703125" style="544" customWidth="1"/>
    <col min="12335" max="12335" width="2.7109375" style="544" customWidth="1"/>
    <col min="12336" max="12336" width="0.7109375" style="544" customWidth="1"/>
    <col min="12337" max="12337" width="2" style="544" customWidth="1"/>
    <col min="12338" max="12338" width="3.7109375" style="544" customWidth="1"/>
    <col min="12339" max="12339" width="2.42578125" style="544" customWidth="1"/>
    <col min="12340" max="12364" width="2.7109375" style="544" customWidth="1"/>
    <col min="12365" max="12544" width="9.140625" style="544"/>
    <col min="12545" max="12545" width="2.42578125" style="544" customWidth="1"/>
    <col min="12546" max="12546" width="3" style="544" bestFit="1" customWidth="1"/>
    <col min="12547" max="12547" width="2.7109375" style="544" customWidth="1"/>
    <col min="12548" max="12548" width="3" style="544" bestFit="1" customWidth="1"/>
    <col min="12549" max="12549" width="3.42578125" style="544" customWidth="1"/>
    <col min="12550" max="12550" width="0.5703125" style="544" customWidth="1"/>
    <col min="12551" max="12551" width="3.42578125" style="544" customWidth="1"/>
    <col min="12552" max="12552" width="0.5703125" style="544" customWidth="1"/>
    <col min="12553" max="12553" width="3.42578125" style="544" customWidth="1"/>
    <col min="12554" max="12554" width="0.5703125" style="544" customWidth="1"/>
    <col min="12555" max="12555" width="3.42578125" style="544" customWidth="1"/>
    <col min="12556" max="12556" width="2.28515625" style="544" customWidth="1"/>
    <col min="12557" max="12558" width="2.7109375" style="544" customWidth="1"/>
    <col min="12559" max="12559" width="4" style="544" customWidth="1"/>
    <col min="12560" max="12560" width="2.85546875" style="544" customWidth="1"/>
    <col min="12561" max="12561" width="0.7109375" style="544" customWidth="1"/>
    <col min="12562" max="12562" width="3" style="544" bestFit="1" customWidth="1"/>
    <col min="12563" max="12563" width="2.7109375" style="544" customWidth="1"/>
    <col min="12564" max="12564" width="0.7109375" style="544" customWidth="1"/>
    <col min="12565" max="12565" width="2.7109375" style="544" customWidth="1"/>
    <col min="12566" max="12566" width="0.7109375" style="544" customWidth="1"/>
    <col min="12567" max="12567" width="2.7109375" style="544" customWidth="1"/>
    <col min="12568" max="12568" width="1" style="544" customWidth="1"/>
    <col min="12569" max="12569" width="3" style="544" bestFit="1" customWidth="1"/>
    <col min="12570" max="12570" width="0.7109375" style="544" customWidth="1"/>
    <col min="12571" max="12571" width="2.7109375" style="544" customWidth="1"/>
    <col min="12572" max="12572" width="0.5703125" style="544" customWidth="1"/>
    <col min="12573" max="12573" width="2.7109375" style="544" customWidth="1"/>
    <col min="12574" max="12574" width="0.7109375" style="544" customWidth="1"/>
    <col min="12575" max="12575" width="2.7109375" style="544" customWidth="1"/>
    <col min="12576" max="12576" width="0.5703125" style="544" customWidth="1"/>
    <col min="12577" max="12577" width="2.7109375" style="544" customWidth="1"/>
    <col min="12578" max="12578" width="0.42578125" style="544" customWidth="1"/>
    <col min="12579" max="12579" width="3" style="544" bestFit="1" customWidth="1"/>
    <col min="12580" max="12580" width="0.5703125" style="544" customWidth="1"/>
    <col min="12581" max="12581" width="3" style="544" bestFit="1" customWidth="1"/>
    <col min="12582" max="12582" width="0.7109375" style="544" customWidth="1"/>
    <col min="12583" max="12583" width="2.7109375" style="544" customWidth="1"/>
    <col min="12584" max="12584" width="0.5703125" style="544" customWidth="1"/>
    <col min="12585" max="12585" width="2.7109375" style="544" customWidth="1"/>
    <col min="12586" max="12586" width="0.5703125" style="544" customWidth="1"/>
    <col min="12587" max="12587" width="2.7109375" style="544" customWidth="1"/>
    <col min="12588" max="12588" width="0.5703125" style="544" customWidth="1"/>
    <col min="12589" max="12589" width="2.7109375" style="544" customWidth="1"/>
    <col min="12590" max="12590" width="0.5703125" style="544" customWidth="1"/>
    <col min="12591" max="12591" width="2.7109375" style="544" customWidth="1"/>
    <col min="12592" max="12592" width="0.7109375" style="544" customWidth="1"/>
    <col min="12593" max="12593" width="2" style="544" customWidth="1"/>
    <col min="12594" max="12594" width="3.7109375" style="544" customWidth="1"/>
    <col min="12595" max="12595" width="2.42578125" style="544" customWidth="1"/>
    <col min="12596" max="12620" width="2.7109375" style="544" customWidth="1"/>
    <col min="12621" max="12800" width="9.140625" style="544"/>
    <col min="12801" max="12801" width="2.42578125" style="544" customWidth="1"/>
    <col min="12802" max="12802" width="3" style="544" bestFit="1" customWidth="1"/>
    <col min="12803" max="12803" width="2.7109375" style="544" customWidth="1"/>
    <col min="12804" max="12804" width="3" style="544" bestFit="1" customWidth="1"/>
    <col min="12805" max="12805" width="3.42578125" style="544" customWidth="1"/>
    <col min="12806" max="12806" width="0.5703125" style="544" customWidth="1"/>
    <col min="12807" max="12807" width="3.42578125" style="544" customWidth="1"/>
    <col min="12808" max="12808" width="0.5703125" style="544" customWidth="1"/>
    <col min="12809" max="12809" width="3.42578125" style="544" customWidth="1"/>
    <col min="12810" max="12810" width="0.5703125" style="544" customWidth="1"/>
    <col min="12811" max="12811" width="3.42578125" style="544" customWidth="1"/>
    <col min="12812" max="12812" width="2.28515625" style="544" customWidth="1"/>
    <col min="12813" max="12814" width="2.7109375" style="544" customWidth="1"/>
    <col min="12815" max="12815" width="4" style="544" customWidth="1"/>
    <col min="12816" max="12816" width="2.85546875" style="544" customWidth="1"/>
    <col min="12817" max="12817" width="0.7109375" style="544" customWidth="1"/>
    <col min="12818" max="12818" width="3" style="544" bestFit="1" customWidth="1"/>
    <col min="12819" max="12819" width="2.7109375" style="544" customWidth="1"/>
    <col min="12820" max="12820" width="0.7109375" style="544" customWidth="1"/>
    <col min="12821" max="12821" width="2.7109375" style="544" customWidth="1"/>
    <col min="12822" max="12822" width="0.7109375" style="544" customWidth="1"/>
    <col min="12823" max="12823" width="2.7109375" style="544" customWidth="1"/>
    <col min="12824" max="12824" width="1" style="544" customWidth="1"/>
    <col min="12825" max="12825" width="3" style="544" bestFit="1" customWidth="1"/>
    <col min="12826" max="12826" width="0.7109375" style="544" customWidth="1"/>
    <col min="12827" max="12827" width="2.7109375" style="544" customWidth="1"/>
    <col min="12828" max="12828" width="0.5703125" style="544" customWidth="1"/>
    <col min="12829" max="12829" width="2.7109375" style="544" customWidth="1"/>
    <col min="12830" max="12830" width="0.7109375" style="544" customWidth="1"/>
    <col min="12831" max="12831" width="2.7109375" style="544" customWidth="1"/>
    <col min="12832" max="12832" width="0.5703125" style="544" customWidth="1"/>
    <col min="12833" max="12833" width="2.7109375" style="544" customWidth="1"/>
    <col min="12834" max="12834" width="0.42578125" style="544" customWidth="1"/>
    <col min="12835" max="12835" width="3" style="544" bestFit="1" customWidth="1"/>
    <col min="12836" max="12836" width="0.5703125" style="544" customWidth="1"/>
    <col min="12837" max="12837" width="3" style="544" bestFit="1" customWidth="1"/>
    <col min="12838" max="12838" width="0.7109375" style="544" customWidth="1"/>
    <col min="12839" max="12839" width="2.7109375" style="544" customWidth="1"/>
    <col min="12840" max="12840" width="0.5703125" style="544" customWidth="1"/>
    <col min="12841" max="12841" width="2.7109375" style="544" customWidth="1"/>
    <col min="12842" max="12842" width="0.5703125" style="544" customWidth="1"/>
    <col min="12843" max="12843" width="2.7109375" style="544" customWidth="1"/>
    <col min="12844" max="12844" width="0.5703125" style="544" customWidth="1"/>
    <col min="12845" max="12845" width="2.7109375" style="544" customWidth="1"/>
    <col min="12846" max="12846" width="0.5703125" style="544" customWidth="1"/>
    <col min="12847" max="12847" width="2.7109375" style="544" customWidth="1"/>
    <col min="12848" max="12848" width="0.7109375" style="544" customWidth="1"/>
    <col min="12849" max="12849" width="2" style="544" customWidth="1"/>
    <col min="12850" max="12850" width="3.7109375" style="544" customWidth="1"/>
    <col min="12851" max="12851" width="2.42578125" style="544" customWidth="1"/>
    <col min="12852" max="12876" width="2.7109375" style="544" customWidth="1"/>
    <col min="12877" max="13056" width="9.140625" style="544"/>
    <col min="13057" max="13057" width="2.42578125" style="544" customWidth="1"/>
    <col min="13058" max="13058" width="3" style="544" bestFit="1" customWidth="1"/>
    <col min="13059" max="13059" width="2.7109375" style="544" customWidth="1"/>
    <col min="13060" max="13060" width="3" style="544" bestFit="1" customWidth="1"/>
    <col min="13061" max="13061" width="3.42578125" style="544" customWidth="1"/>
    <col min="13062" max="13062" width="0.5703125" style="544" customWidth="1"/>
    <col min="13063" max="13063" width="3.42578125" style="544" customWidth="1"/>
    <col min="13064" max="13064" width="0.5703125" style="544" customWidth="1"/>
    <col min="13065" max="13065" width="3.42578125" style="544" customWidth="1"/>
    <col min="13066" max="13066" width="0.5703125" style="544" customWidth="1"/>
    <col min="13067" max="13067" width="3.42578125" style="544" customWidth="1"/>
    <col min="13068" max="13068" width="2.28515625" style="544" customWidth="1"/>
    <col min="13069" max="13070" width="2.7109375" style="544" customWidth="1"/>
    <col min="13071" max="13071" width="4" style="544" customWidth="1"/>
    <col min="13072" max="13072" width="2.85546875" style="544" customWidth="1"/>
    <col min="13073" max="13073" width="0.7109375" style="544" customWidth="1"/>
    <col min="13074" max="13074" width="3" style="544" bestFit="1" customWidth="1"/>
    <col min="13075" max="13075" width="2.7109375" style="544" customWidth="1"/>
    <col min="13076" max="13076" width="0.7109375" style="544" customWidth="1"/>
    <col min="13077" max="13077" width="2.7109375" style="544" customWidth="1"/>
    <col min="13078" max="13078" width="0.7109375" style="544" customWidth="1"/>
    <col min="13079" max="13079" width="2.7109375" style="544" customWidth="1"/>
    <col min="13080" max="13080" width="1" style="544" customWidth="1"/>
    <col min="13081" max="13081" width="3" style="544" bestFit="1" customWidth="1"/>
    <col min="13082" max="13082" width="0.7109375" style="544" customWidth="1"/>
    <col min="13083" max="13083" width="2.7109375" style="544" customWidth="1"/>
    <col min="13084" max="13084" width="0.5703125" style="544" customWidth="1"/>
    <col min="13085" max="13085" width="2.7109375" style="544" customWidth="1"/>
    <col min="13086" max="13086" width="0.7109375" style="544" customWidth="1"/>
    <col min="13087" max="13087" width="2.7109375" style="544" customWidth="1"/>
    <col min="13088" max="13088" width="0.5703125" style="544" customWidth="1"/>
    <col min="13089" max="13089" width="2.7109375" style="544" customWidth="1"/>
    <col min="13090" max="13090" width="0.42578125" style="544" customWidth="1"/>
    <col min="13091" max="13091" width="3" style="544" bestFit="1" customWidth="1"/>
    <col min="13092" max="13092" width="0.5703125" style="544" customWidth="1"/>
    <col min="13093" max="13093" width="3" style="544" bestFit="1" customWidth="1"/>
    <col min="13094" max="13094" width="0.7109375" style="544" customWidth="1"/>
    <col min="13095" max="13095" width="2.7109375" style="544" customWidth="1"/>
    <col min="13096" max="13096" width="0.5703125" style="544" customWidth="1"/>
    <col min="13097" max="13097" width="2.7109375" style="544" customWidth="1"/>
    <col min="13098" max="13098" width="0.5703125" style="544" customWidth="1"/>
    <col min="13099" max="13099" width="2.7109375" style="544" customWidth="1"/>
    <col min="13100" max="13100" width="0.5703125" style="544" customWidth="1"/>
    <col min="13101" max="13101" width="2.7109375" style="544" customWidth="1"/>
    <col min="13102" max="13102" width="0.5703125" style="544" customWidth="1"/>
    <col min="13103" max="13103" width="2.7109375" style="544" customWidth="1"/>
    <col min="13104" max="13104" width="0.7109375" style="544" customWidth="1"/>
    <col min="13105" max="13105" width="2" style="544" customWidth="1"/>
    <col min="13106" max="13106" width="3.7109375" style="544" customWidth="1"/>
    <col min="13107" max="13107" width="2.42578125" style="544" customWidth="1"/>
    <col min="13108" max="13132" width="2.7109375" style="544" customWidth="1"/>
    <col min="13133" max="13312" width="9.140625" style="544"/>
    <col min="13313" max="13313" width="2.42578125" style="544" customWidth="1"/>
    <col min="13314" max="13314" width="3" style="544" bestFit="1" customWidth="1"/>
    <col min="13315" max="13315" width="2.7109375" style="544" customWidth="1"/>
    <col min="13316" max="13316" width="3" style="544" bestFit="1" customWidth="1"/>
    <col min="13317" max="13317" width="3.42578125" style="544" customWidth="1"/>
    <col min="13318" max="13318" width="0.5703125" style="544" customWidth="1"/>
    <col min="13319" max="13319" width="3.42578125" style="544" customWidth="1"/>
    <col min="13320" max="13320" width="0.5703125" style="544" customWidth="1"/>
    <col min="13321" max="13321" width="3.42578125" style="544" customWidth="1"/>
    <col min="13322" max="13322" width="0.5703125" style="544" customWidth="1"/>
    <col min="13323" max="13323" width="3.42578125" style="544" customWidth="1"/>
    <col min="13324" max="13324" width="2.28515625" style="544" customWidth="1"/>
    <col min="13325" max="13326" width="2.7109375" style="544" customWidth="1"/>
    <col min="13327" max="13327" width="4" style="544" customWidth="1"/>
    <col min="13328" max="13328" width="2.85546875" style="544" customWidth="1"/>
    <col min="13329" max="13329" width="0.7109375" style="544" customWidth="1"/>
    <col min="13330" max="13330" width="3" style="544" bestFit="1" customWidth="1"/>
    <col min="13331" max="13331" width="2.7109375" style="544" customWidth="1"/>
    <col min="13332" max="13332" width="0.7109375" style="544" customWidth="1"/>
    <col min="13333" max="13333" width="2.7109375" style="544" customWidth="1"/>
    <col min="13334" max="13334" width="0.7109375" style="544" customWidth="1"/>
    <col min="13335" max="13335" width="2.7109375" style="544" customWidth="1"/>
    <col min="13336" max="13336" width="1" style="544" customWidth="1"/>
    <col min="13337" max="13337" width="3" style="544" bestFit="1" customWidth="1"/>
    <col min="13338" max="13338" width="0.7109375" style="544" customWidth="1"/>
    <col min="13339" max="13339" width="2.7109375" style="544" customWidth="1"/>
    <col min="13340" max="13340" width="0.5703125" style="544" customWidth="1"/>
    <col min="13341" max="13341" width="2.7109375" style="544" customWidth="1"/>
    <col min="13342" max="13342" width="0.7109375" style="544" customWidth="1"/>
    <col min="13343" max="13343" width="2.7109375" style="544" customWidth="1"/>
    <col min="13344" max="13344" width="0.5703125" style="544" customWidth="1"/>
    <col min="13345" max="13345" width="2.7109375" style="544" customWidth="1"/>
    <col min="13346" max="13346" width="0.42578125" style="544" customWidth="1"/>
    <col min="13347" max="13347" width="3" style="544" bestFit="1" customWidth="1"/>
    <col min="13348" max="13348" width="0.5703125" style="544" customWidth="1"/>
    <col min="13349" max="13349" width="3" style="544" bestFit="1" customWidth="1"/>
    <col min="13350" max="13350" width="0.7109375" style="544" customWidth="1"/>
    <col min="13351" max="13351" width="2.7109375" style="544" customWidth="1"/>
    <col min="13352" max="13352" width="0.5703125" style="544" customWidth="1"/>
    <col min="13353" max="13353" width="2.7109375" style="544" customWidth="1"/>
    <col min="13354" max="13354" width="0.5703125" style="544" customWidth="1"/>
    <col min="13355" max="13355" width="2.7109375" style="544" customWidth="1"/>
    <col min="13356" max="13356" width="0.5703125" style="544" customWidth="1"/>
    <col min="13357" max="13357" width="2.7109375" style="544" customWidth="1"/>
    <col min="13358" max="13358" width="0.5703125" style="544" customWidth="1"/>
    <col min="13359" max="13359" width="2.7109375" style="544" customWidth="1"/>
    <col min="13360" max="13360" width="0.7109375" style="544" customWidth="1"/>
    <col min="13361" max="13361" width="2" style="544" customWidth="1"/>
    <col min="13362" max="13362" width="3.7109375" style="544" customWidth="1"/>
    <col min="13363" max="13363" width="2.42578125" style="544" customWidth="1"/>
    <col min="13364" max="13388" width="2.7109375" style="544" customWidth="1"/>
    <col min="13389" max="13568" width="9.140625" style="544"/>
    <col min="13569" max="13569" width="2.42578125" style="544" customWidth="1"/>
    <col min="13570" max="13570" width="3" style="544" bestFit="1" customWidth="1"/>
    <col min="13571" max="13571" width="2.7109375" style="544" customWidth="1"/>
    <col min="13572" max="13572" width="3" style="544" bestFit="1" customWidth="1"/>
    <col min="13573" max="13573" width="3.42578125" style="544" customWidth="1"/>
    <col min="13574" max="13574" width="0.5703125" style="544" customWidth="1"/>
    <col min="13575" max="13575" width="3.42578125" style="544" customWidth="1"/>
    <col min="13576" max="13576" width="0.5703125" style="544" customWidth="1"/>
    <col min="13577" max="13577" width="3.42578125" style="544" customWidth="1"/>
    <col min="13578" max="13578" width="0.5703125" style="544" customWidth="1"/>
    <col min="13579" max="13579" width="3.42578125" style="544" customWidth="1"/>
    <col min="13580" max="13580" width="2.28515625" style="544" customWidth="1"/>
    <col min="13581" max="13582" width="2.7109375" style="544" customWidth="1"/>
    <col min="13583" max="13583" width="4" style="544" customWidth="1"/>
    <col min="13584" max="13584" width="2.85546875" style="544" customWidth="1"/>
    <col min="13585" max="13585" width="0.7109375" style="544" customWidth="1"/>
    <col min="13586" max="13586" width="3" style="544" bestFit="1" customWidth="1"/>
    <col min="13587" max="13587" width="2.7109375" style="544" customWidth="1"/>
    <col min="13588" max="13588" width="0.7109375" style="544" customWidth="1"/>
    <col min="13589" max="13589" width="2.7109375" style="544" customWidth="1"/>
    <col min="13590" max="13590" width="0.7109375" style="544" customWidth="1"/>
    <col min="13591" max="13591" width="2.7109375" style="544" customWidth="1"/>
    <col min="13592" max="13592" width="1" style="544" customWidth="1"/>
    <col min="13593" max="13593" width="3" style="544" bestFit="1" customWidth="1"/>
    <col min="13594" max="13594" width="0.7109375" style="544" customWidth="1"/>
    <col min="13595" max="13595" width="2.7109375" style="544" customWidth="1"/>
    <col min="13596" max="13596" width="0.5703125" style="544" customWidth="1"/>
    <col min="13597" max="13597" width="2.7109375" style="544" customWidth="1"/>
    <col min="13598" max="13598" width="0.7109375" style="544" customWidth="1"/>
    <col min="13599" max="13599" width="2.7109375" style="544" customWidth="1"/>
    <col min="13600" max="13600" width="0.5703125" style="544" customWidth="1"/>
    <col min="13601" max="13601" width="2.7109375" style="544" customWidth="1"/>
    <col min="13602" max="13602" width="0.42578125" style="544" customWidth="1"/>
    <col min="13603" max="13603" width="3" style="544" bestFit="1" customWidth="1"/>
    <col min="13604" max="13604" width="0.5703125" style="544" customWidth="1"/>
    <col min="13605" max="13605" width="3" style="544" bestFit="1" customWidth="1"/>
    <col min="13606" max="13606" width="0.7109375" style="544" customWidth="1"/>
    <col min="13607" max="13607" width="2.7109375" style="544" customWidth="1"/>
    <col min="13608" max="13608" width="0.5703125" style="544" customWidth="1"/>
    <col min="13609" max="13609" width="2.7109375" style="544" customWidth="1"/>
    <col min="13610" max="13610" width="0.5703125" style="544" customWidth="1"/>
    <col min="13611" max="13611" width="2.7109375" style="544" customWidth="1"/>
    <col min="13612" max="13612" width="0.5703125" style="544" customWidth="1"/>
    <col min="13613" max="13613" width="2.7109375" style="544" customWidth="1"/>
    <col min="13614" max="13614" width="0.5703125" style="544" customWidth="1"/>
    <col min="13615" max="13615" width="2.7109375" style="544" customWidth="1"/>
    <col min="13616" max="13616" width="0.7109375" style="544" customWidth="1"/>
    <col min="13617" max="13617" width="2" style="544" customWidth="1"/>
    <col min="13618" max="13618" width="3.7109375" style="544" customWidth="1"/>
    <col min="13619" max="13619" width="2.42578125" style="544" customWidth="1"/>
    <col min="13620" max="13644" width="2.7109375" style="544" customWidth="1"/>
    <col min="13645" max="13824" width="9.140625" style="544"/>
    <col min="13825" max="13825" width="2.42578125" style="544" customWidth="1"/>
    <col min="13826" max="13826" width="3" style="544" bestFit="1" customWidth="1"/>
    <col min="13827" max="13827" width="2.7109375" style="544" customWidth="1"/>
    <col min="13828" max="13828" width="3" style="544" bestFit="1" customWidth="1"/>
    <col min="13829" max="13829" width="3.42578125" style="544" customWidth="1"/>
    <col min="13830" max="13830" width="0.5703125" style="544" customWidth="1"/>
    <col min="13831" max="13831" width="3.42578125" style="544" customWidth="1"/>
    <col min="13832" max="13832" width="0.5703125" style="544" customWidth="1"/>
    <col min="13833" max="13833" width="3.42578125" style="544" customWidth="1"/>
    <col min="13834" max="13834" width="0.5703125" style="544" customWidth="1"/>
    <col min="13835" max="13835" width="3.42578125" style="544" customWidth="1"/>
    <col min="13836" max="13836" width="2.28515625" style="544" customWidth="1"/>
    <col min="13837" max="13838" width="2.7109375" style="544" customWidth="1"/>
    <col min="13839" max="13839" width="4" style="544" customWidth="1"/>
    <col min="13840" max="13840" width="2.85546875" style="544" customWidth="1"/>
    <col min="13841" max="13841" width="0.7109375" style="544" customWidth="1"/>
    <col min="13842" max="13842" width="3" style="544" bestFit="1" customWidth="1"/>
    <col min="13843" max="13843" width="2.7109375" style="544" customWidth="1"/>
    <col min="13844" max="13844" width="0.7109375" style="544" customWidth="1"/>
    <col min="13845" max="13845" width="2.7109375" style="544" customWidth="1"/>
    <col min="13846" max="13846" width="0.7109375" style="544" customWidth="1"/>
    <col min="13847" max="13847" width="2.7109375" style="544" customWidth="1"/>
    <col min="13848" max="13848" width="1" style="544" customWidth="1"/>
    <col min="13849" max="13849" width="3" style="544" bestFit="1" customWidth="1"/>
    <col min="13850" max="13850" width="0.7109375" style="544" customWidth="1"/>
    <col min="13851" max="13851" width="2.7109375" style="544" customWidth="1"/>
    <col min="13852" max="13852" width="0.5703125" style="544" customWidth="1"/>
    <col min="13853" max="13853" width="2.7109375" style="544" customWidth="1"/>
    <col min="13854" max="13854" width="0.7109375" style="544" customWidth="1"/>
    <col min="13855" max="13855" width="2.7109375" style="544" customWidth="1"/>
    <col min="13856" max="13856" width="0.5703125" style="544" customWidth="1"/>
    <col min="13857" max="13857" width="2.7109375" style="544" customWidth="1"/>
    <col min="13858" max="13858" width="0.42578125" style="544" customWidth="1"/>
    <col min="13859" max="13859" width="3" style="544" bestFit="1" customWidth="1"/>
    <col min="13860" max="13860" width="0.5703125" style="544" customWidth="1"/>
    <col min="13861" max="13861" width="3" style="544" bestFit="1" customWidth="1"/>
    <col min="13862" max="13862" width="0.7109375" style="544" customWidth="1"/>
    <col min="13863" max="13863" width="2.7109375" style="544" customWidth="1"/>
    <col min="13864" max="13864" width="0.5703125" style="544" customWidth="1"/>
    <col min="13865" max="13865" width="2.7109375" style="544" customWidth="1"/>
    <col min="13866" max="13866" width="0.5703125" style="544" customWidth="1"/>
    <col min="13867" max="13867" width="2.7109375" style="544" customWidth="1"/>
    <col min="13868" max="13868" width="0.5703125" style="544" customWidth="1"/>
    <col min="13869" max="13869" width="2.7109375" style="544" customWidth="1"/>
    <col min="13870" max="13870" width="0.5703125" style="544" customWidth="1"/>
    <col min="13871" max="13871" width="2.7109375" style="544" customWidth="1"/>
    <col min="13872" max="13872" width="0.7109375" style="544" customWidth="1"/>
    <col min="13873" max="13873" width="2" style="544" customWidth="1"/>
    <col min="13874" max="13874" width="3.7109375" style="544" customWidth="1"/>
    <col min="13875" max="13875" width="2.42578125" style="544" customWidth="1"/>
    <col min="13876" max="13900" width="2.7109375" style="544" customWidth="1"/>
    <col min="13901" max="14080" width="9.140625" style="544"/>
    <col min="14081" max="14081" width="2.42578125" style="544" customWidth="1"/>
    <col min="14082" max="14082" width="3" style="544" bestFit="1" customWidth="1"/>
    <col min="14083" max="14083" width="2.7109375" style="544" customWidth="1"/>
    <col min="14084" max="14084" width="3" style="544" bestFit="1" customWidth="1"/>
    <col min="14085" max="14085" width="3.42578125" style="544" customWidth="1"/>
    <col min="14086" max="14086" width="0.5703125" style="544" customWidth="1"/>
    <col min="14087" max="14087" width="3.42578125" style="544" customWidth="1"/>
    <col min="14088" max="14088" width="0.5703125" style="544" customWidth="1"/>
    <col min="14089" max="14089" width="3.42578125" style="544" customWidth="1"/>
    <col min="14090" max="14090" width="0.5703125" style="544" customWidth="1"/>
    <col min="14091" max="14091" width="3.42578125" style="544" customWidth="1"/>
    <col min="14092" max="14092" width="2.28515625" style="544" customWidth="1"/>
    <col min="14093" max="14094" width="2.7109375" style="544" customWidth="1"/>
    <col min="14095" max="14095" width="4" style="544" customWidth="1"/>
    <col min="14096" max="14096" width="2.85546875" style="544" customWidth="1"/>
    <col min="14097" max="14097" width="0.7109375" style="544" customWidth="1"/>
    <col min="14098" max="14098" width="3" style="544" bestFit="1" customWidth="1"/>
    <col min="14099" max="14099" width="2.7109375" style="544" customWidth="1"/>
    <col min="14100" max="14100" width="0.7109375" style="544" customWidth="1"/>
    <col min="14101" max="14101" width="2.7109375" style="544" customWidth="1"/>
    <col min="14102" max="14102" width="0.7109375" style="544" customWidth="1"/>
    <col min="14103" max="14103" width="2.7109375" style="544" customWidth="1"/>
    <col min="14104" max="14104" width="1" style="544" customWidth="1"/>
    <col min="14105" max="14105" width="3" style="544" bestFit="1" customWidth="1"/>
    <col min="14106" max="14106" width="0.7109375" style="544" customWidth="1"/>
    <col min="14107" max="14107" width="2.7109375" style="544" customWidth="1"/>
    <col min="14108" max="14108" width="0.5703125" style="544" customWidth="1"/>
    <col min="14109" max="14109" width="2.7109375" style="544" customWidth="1"/>
    <col min="14110" max="14110" width="0.7109375" style="544" customWidth="1"/>
    <col min="14111" max="14111" width="2.7109375" style="544" customWidth="1"/>
    <col min="14112" max="14112" width="0.5703125" style="544" customWidth="1"/>
    <col min="14113" max="14113" width="2.7109375" style="544" customWidth="1"/>
    <col min="14114" max="14114" width="0.42578125" style="544" customWidth="1"/>
    <col min="14115" max="14115" width="3" style="544" bestFit="1" customWidth="1"/>
    <col min="14116" max="14116" width="0.5703125" style="544" customWidth="1"/>
    <col min="14117" max="14117" width="3" style="544" bestFit="1" customWidth="1"/>
    <col min="14118" max="14118" width="0.7109375" style="544" customWidth="1"/>
    <col min="14119" max="14119" width="2.7109375" style="544" customWidth="1"/>
    <col min="14120" max="14120" width="0.5703125" style="544" customWidth="1"/>
    <col min="14121" max="14121" width="2.7109375" style="544" customWidth="1"/>
    <col min="14122" max="14122" width="0.5703125" style="544" customWidth="1"/>
    <col min="14123" max="14123" width="2.7109375" style="544" customWidth="1"/>
    <col min="14124" max="14124" width="0.5703125" style="544" customWidth="1"/>
    <col min="14125" max="14125" width="2.7109375" style="544" customWidth="1"/>
    <col min="14126" max="14126" width="0.5703125" style="544" customWidth="1"/>
    <col min="14127" max="14127" width="2.7109375" style="544" customWidth="1"/>
    <col min="14128" max="14128" width="0.7109375" style="544" customWidth="1"/>
    <col min="14129" max="14129" width="2" style="544" customWidth="1"/>
    <col min="14130" max="14130" width="3.7109375" style="544" customWidth="1"/>
    <col min="14131" max="14131" width="2.42578125" style="544" customWidth="1"/>
    <col min="14132" max="14156" width="2.7109375" style="544" customWidth="1"/>
    <col min="14157" max="14336" width="9.140625" style="544"/>
    <col min="14337" max="14337" width="2.42578125" style="544" customWidth="1"/>
    <col min="14338" max="14338" width="3" style="544" bestFit="1" customWidth="1"/>
    <col min="14339" max="14339" width="2.7109375" style="544" customWidth="1"/>
    <col min="14340" max="14340" width="3" style="544" bestFit="1" customWidth="1"/>
    <col min="14341" max="14341" width="3.42578125" style="544" customWidth="1"/>
    <col min="14342" max="14342" width="0.5703125" style="544" customWidth="1"/>
    <col min="14343" max="14343" width="3.42578125" style="544" customWidth="1"/>
    <col min="14344" max="14344" width="0.5703125" style="544" customWidth="1"/>
    <col min="14345" max="14345" width="3.42578125" style="544" customWidth="1"/>
    <col min="14346" max="14346" width="0.5703125" style="544" customWidth="1"/>
    <col min="14347" max="14347" width="3.42578125" style="544" customWidth="1"/>
    <col min="14348" max="14348" width="2.28515625" style="544" customWidth="1"/>
    <col min="14349" max="14350" width="2.7109375" style="544" customWidth="1"/>
    <col min="14351" max="14351" width="4" style="544" customWidth="1"/>
    <col min="14352" max="14352" width="2.85546875" style="544" customWidth="1"/>
    <col min="14353" max="14353" width="0.7109375" style="544" customWidth="1"/>
    <col min="14354" max="14354" width="3" style="544" bestFit="1" customWidth="1"/>
    <col min="14355" max="14355" width="2.7109375" style="544" customWidth="1"/>
    <col min="14356" max="14356" width="0.7109375" style="544" customWidth="1"/>
    <col min="14357" max="14357" width="2.7109375" style="544" customWidth="1"/>
    <col min="14358" max="14358" width="0.7109375" style="544" customWidth="1"/>
    <col min="14359" max="14359" width="2.7109375" style="544" customWidth="1"/>
    <col min="14360" max="14360" width="1" style="544" customWidth="1"/>
    <col min="14361" max="14361" width="3" style="544" bestFit="1" customWidth="1"/>
    <col min="14362" max="14362" width="0.7109375" style="544" customWidth="1"/>
    <col min="14363" max="14363" width="2.7109375" style="544" customWidth="1"/>
    <col min="14364" max="14364" width="0.5703125" style="544" customWidth="1"/>
    <col min="14365" max="14365" width="2.7109375" style="544" customWidth="1"/>
    <col min="14366" max="14366" width="0.7109375" style="544" customWidth="1"/>
    <col min="14367" max="14367" width="2.7109375" style="544" customWidth="1"/>
    <col min="14368" max="14368" width="0.5703125" style="544" customWidth="1"/>
    <col min="14369" max="14369" width="2.7109375" style="544" customWidth="1"/>
    <col min="14370" max="14370" width="0.42578125" style="544" customWidth="1"/>
    <col min="14371" max="14371" width="3" style="544" bestFit="1" customWidth="1"/>
    <col min="14372" max="14372" width="0.5703125" style="544" customWidth="1"/>
    <col min="14373" max="14373" width="3" style="544" bestFit="1" customWidth="1"/>
    <col min="14374" max="14374" width="0.7109375" style="544" customWidth="1"/>
    <col min="14375" max="14375" width="2.7109375" style="544" customWidth="1"/>
    <col min="14376" max="14376" width="0.5703125" style="544" customWidth="1"/>
    <col min="14377" max="14377" width="2.7109375" style="544" customWidth="1"/>
    <col min="14378" max="14378" width="0.5703125" style="544" customWidth="1"/>
    <col min="14379" max="14379" width="2.7109375" style="544" customWidth="1"/>
    <col min="14380" max="14380" width="0.5703125" style="544" customWidth="1"/>
    <col min="14381" max="14381" width="2.7109375" style="544" customWidth="1"/>
    <col min="14382" max="14382" width="0.5703125" style="544" customWidth="1"/>
    <col min="14383" max="14383" width="2.7109375" style="544" customWidth="1"/>
    <col min="14384" max="14384" width="0.7109375" style="544" customWidth="1"/>
    <col min="14385" max="14385" width="2" style="544" customWidth="1"/>
    <col min="14386" max="14386" width="3.7109375" style="544" customWidth="1"/>
    <col min="14387" max="14387" width="2.42578125" style="544" customWidth="1"/>
    <col min="14388" max="14412" width="2.7109375" style="544" customWidth="1"/>
    <col min="14413" max="14592" width="9.140625" style="544"/>
    <col min="14593" max="14593" width="2.42578125" style="544" customWidth="1"/>
    <col min="14594" max="14594" width="3" style="544" bestFit="1" customWidth="1"/>
    <col min="14595" max="14595" width="2.7109375" style="544" customWidth="1"/>
    <col min="14596" max="14596" width="3" style="544" bestFit="1" customWidth="1"/>
    <col min="14597" max="14597" width="3.42578125" style="544" customWidth="1"/>
    <col min="14598" max="14598" width="0.5703125" style="544" customWidth="1"/>
    <col min="14599" max="14599" width="3.42578125" style="544" customWidth="1"/>
    <col min="14600" max="14600" width="0.5703125" style="544" customWidth="1"/>
    <col min="14601" max="14601" width="3.42578125" style="544" customWidth="1"/>
    <col min="14602" max="14602" width="0.5703125" style="544" customWidth="1"/>
    <col min="14603" max="14603" width="3.42578125" style="544" customWidth="1"/>
    <col min="14604" max="14604" width="2.28515625" style="544" customWidth="1"/>
    <col min="14605" max="14606" width="2.7109375" style="544" customWidth="1"/>
    <col min="14607" max="14607" width="4" style="544" customWidth="1"/>
    <col min="14608" max="14608" width="2.85546875" style="544" customWidth="1"/>
    <col min="14609" max="14609" width="0.7109375" style="544" customWidth="1"/>
    <col min="14610" max="14610" width="3" style="544" bestFit="1" customWidth="1"/>
    <col min="14611" max="14611" width="2.7109375" style="544" customWidth="1"/>
    <col min="14612" max="14612" width="0.7109375" style="544" customWidth="1"/>
    <col min="14613" max="14613" width="2.7109375" style="544" customWidth="1"/>
    <col min="14614" max="14614" width="0.7109375" style="544" customWidth="1"/>
    <col min="14615" max="14615" width="2.7109375" style="544" customWidth="1"/>
    <col min="14616" max="14616" width="1" style="544" customWidth="1"/>
    <col min="14617" max="14617" width="3" style="544" bestFit="1" customWidth="1"/>
    <col min="14618" max="14618" width="0.7109375" style="544" customWidth="1"/>
    <col min="14619" max="14619" width="2.7109375" style="544" customWidth="1"/>
    <col min="14620" max="14620" width="0.5703125" style="544" customWidth="1"/>
    <col min="14621" max="14621" width="2.7109375" style="544" customWidth="1"/>
    <col min="14622" max="14622" width="0.7109375" style="544" customWidth="1"/>
    <col min="14623" max="14623" width="2.7109375" style="544" customWidth="1"/>
    <col min="14624" max="14624" width="0.5703125" style="544" customWidth="1"/>
    <col min="14625" max="14625" width="2.7109375" style="544" customWidth="1"/>
    <col min="14626" max="14626" width="0.42578125" style="544" customWidth="1"/>
    <col min="14627" max="14627" width="3" style="544" bestFit="1" customWidth="1"/>
    <col min="14628" max="14628" width="0.5703125" style="544" customWidth="1"/>
    <col min="14629" max="14629" width="3" style="544" bestFit="1" customWidth="1"/>
    <col min="14630" max="14630" width="0.7109375" style="544" customWidth="1"/>
    <col min="14631" max="14631" width="2.7109375" style="544" customWidth="1"/>
    <col min="14632" max="14632" width="0.5703125" style="544" customWidth="1"/>
    <col min="14633" max="14633" width="2.7109375" style="544" customWidth="1"/>
    <col min="14634" max="14634" width="0.5703125" style="544" customWidth="1"/>
    <col min="14635" max="14635" width="2.7109375" style="544" customWidth="1"/>
    <col min="14636" max="14636" width="0.5703125" style="544" customWidth="1"/>
    <col min="14637" max="14637" width="2.7109375" style="544" customWidth="1"/>
    <col min="14638" max="14638" width="0.5703125" style="544" customWidth="1"/>
    <col min="14639" max="14639" width="2.7109375" style="544" customWidth="1"/>
    <col min="14640" max="14640" width="0.7109375" style="544" customWidth="1"/>
    <col min="14641" max="14641" width="2" style="544" customWidth="1"/>
    <col min="14642" max="14642" width="3.7109375" style="544" customWidth="1"/>
    <col min="14643" max="14643" width="2.42578125" style="544" customWidth="1"/>
    <col min="14644" max="14668" width="2.7109375" style="544" customWidth="1"/>
    <col min="14669" max="14848" width="9.140625" style="544"/>
    <col min="14849" max="14849" width="2.42578125" style="544" customWidth="1"/>
    <col min="14850" max="14850" width="3" style="544" bestFit="1" customWidth="1"/>
    <col min="14851" max="14851" width="2.7109375" style="544" customWidth="1"/>
    <col min="14852" max="14852" width="3" style="544" bestFit="1" customWidth="1"/>
    <col min="14853" max="14853" width="3.42578125" style="544" customWidth="1"/>
    <col min="14854" max="14854" width="0.5703125" style="544" customWidth="1"/>
    <col min="14855" max="14855" width="3.42578125" style="544" customWidth="1"/>
    <col min="14856" max="14856" width="0.5703125" style="544" customWidth="1"/>
    <col min="14857" max="14857" width="3.42578125" style="544" customWidth="1"/>
    <col min="14858" max="14858" width="0.5703125" style="544" customWidth="1"/>
    <col min="14859" max="14859" width="3.42578125" style="544" customWidth="1"/>
    <col min="14860" max="14860" width="2.28515625" style="544" customWidth="1"/>
    <col min="14861" max="14862" width="2.7109375" style="544" customWidth="1"/>
    <col min="14863" max="14863" width="4" style="544" customWidth="1"/>
    <col min="14864" max="14864" width="2.85546875" style="544" customWidth="1"/>
    <col min="14865" max="14865" width="0.7109375" style="544" customWidth="1"/>
    <col min="14866" max="14866" width="3" style="544" bestFit="1" customWidth="1"/>
    <col min="14867" max="14867" width="2.7109375" style="544" customWidth="1"/>
    <col min="14868" max="14868" width="0.7109375" style="544" customWidth="1"/>
    <col min="14869" max="14869" width="2.7109375" style="544" customWidth="1"/>
    <col min="14870" max="14870" width="0.7109375" style="544" customWidth="1"/>
    <col min="14871" max="14871" width="2.7109375" style="544" customWidth="1"/>
    <col min="14872" max="14872" width="1" style="544" customWidth="1"/>
    <col min="14873" max="14873" width="3" style="544" bestFit="1" customWidth="1"/>
    <col min="14874" max="14874" width="0.7109375" style="544" customWidth="1"/>
    <col min="14875" max="14875" width="2.7109375" style="544" customWidth="1"/>
    <col min="14876" max="14876" width="0.5703125" style="544" customWidth="1"/>
    <col min="14877" max="14877" width="2.7109375" style="544" customWidth="1"/>
    <col min="14878" max="14878" width="0.7109375" style="544" customWidth="1"/>
    <col min="14879" max="14879" width="2.7109375" style="544" customWidth="1"/>
    <col min="14880" max="14880" width="0.5703125" style="544" customWidth="1"/>
    <col min="14881" max="14881" width="2.7109375" style="544" customWidth="1"/>
    <col min="14882" max="14882" width="0.42578125" style="544" customWidth="1"/>
    <col min="14883" max="14883" width="3" style="544" bestFit="1" customWidth="1"/>
    <col min="14884" max="14884" width="0.5703125" style="544" customWidth="1"/>
    <col min="14885" max="14885" width="3" style="544" bestFit="1" customWidth="1"/>
    <col min="14886" max="14886" width="0.7109375" style="544" customWidth="1"/>
    <col min="14887" max="14887" width="2.7109375" style="544" customWidth="1"/>
    <col min="14888" max="14888" width="0.5703125" style="544" customWidth="1"/>
    <col min="14889" max="14889" width="2.7109375" style="544" customWidth="1"/>
    <col min="14890" max="14890" width="0.5703125" style="544" customWidth="1"/>
    <col min="14891" max="14891" width="2.7109375" style="544" customWidth="1"/>
    <col min="14892" max="14892" width="0.5703125" style="544" customWidth="1"/>
    <col min="14893" max="14893" width="2.7109375" style="544" customWidth="1"/>
    <col min="14894" max="14894" width="0.5703125" style="544" customWidth="1"/>
    <col min="14895" max="14895" width="2.7109375" style="544" customWidth="1"/>
    <col min="14896" max="14896" width="0.7109375" style="544" customWidth="1"/>
    <col min="14897" max="14897" width="2" style="544" customWidth="1"/>
    <col min="14898" max="14898" width="3.7109375" style="544" customWidth="1"/>
    <col min="14899" max="14899" width="2.42578125" style="544" customWidth="1"/>
    <col min="14900" max="14924" width="2.7109375" style="544" customWidth="1"/>
    <col min="14925" max="15104" width="9.140625" style="544"/>
    <col min="15105" max="15105" width="2.42578125" style="544" customWidth="1"/>
    <col min="15106" max="15106" width="3" style="544" bestFit="1" customWidth="1"/>
    <col min="15107" max="15107" width="2.7109375" style="544" customWidth="1"/>
    <col min="15108" max="15108" width="3" style="544" bestFit="1" customWidth="1"/>
    <col min="15109" max="15109" width="3.42578125" style="544" customWidth="1"/>
    <col min="15110" max="15110" width="0.5703125" style="544" customWidth="1"/>
    <col min="15111" max="15111" width="3.42578125" style="544" customWidth="1"/>
    <col min="15112" max="15112" width="0.5703125" style="544" customWidth="1"/>
    <col min="15113" max="15113" width="3.42578125" style="544" customWidth="1"/>
    <col min="15114" max="15114" width="0.5703125" style="544" customWidth="1"/>
    <col min="15115" max="15115" width="3.42578125" style="544" customWidth="1"/>
    <col min="15116" max="15116" width="2.28515625" style="544" customWidth="1"/>
    <col min="15117" max="15118" width="2.7109375" style="544" customWidth="1"/>
    <col min="15119" max="15119" width="4" style="544" customWidth="1"/>
    <col min="15120" max="15120" width="2.85546875" style="544" customWidth="1"/>
    <col min="15121" max="15121" width="0.7109375" style="544" customWidth="1"/>
    <col min="15122" max="15122" width="3" style="544" bestFit="1" customWidth="1"/>
    <col min="15123" max="15123" width="2.7109375" style="544" customWidth="1"/>
    <col min="15124" max="15124" width="0.7109375" style="544" customWidth="1"/>
    <col min="15125" max="15125" width="2.7109375" style="544" customWidth="1"/>
    <col min="15126" max="15126" width="0.7109375" style="544" customWidth="1"/>
    <col min="15127" max="15127" width="2.7109375" style="544" customWidth="1"/>
    <col min="15128" max="15128" width="1" style="544" customWidth="1"/>
    <col min="15129" max="15129" width="3" style="544" bestFit="1" customWidth="1"/>
    <col min="15130" max="15130" width="0.7109375" style="544" customWidth="1"/>
    <col min="15131" max="15131" width="2.7109375" style="544" customWidth="1"/>
    <col min="15132" max="15132" width="0.5703125" style="544" customWidth="1"/>
    <col min="15133" max="15133" width="2.7109375" style="544" customWidth="1"/>
    <col min="15134" max="15134" width="0.7109375" style="544" customWidth="1"/>
    <col min="15135" max="15135" width="2.7109375" style="544" customWidth="1"/>
    <col min="15136" max="15136" width="0.5703125" style="544" customWidth="1"/>
    <col min="15137" max="15137" width="2.7109375" style="544" customWidth="1"/>
    <col min="15138" max="15138" width="0.42578125" style="544" customWidth="1"/>
    <col min="15139" max="15139" width="3" style="544" bestFit="1" customWidth="1"/>
    <col min="15140" max="15140" width="0.5703125" style="544" customWidth="1"/>
    <col min="15141" max="15141" width="3" style="544" bestFit="1" customWidth="1"/>
    <col min="15142" max="15142" width="0.7109375" style="544" customWidth="1"/>
    <col min="15143" max="15143" width="2.7109375" style="544" customWidth="1"/>
    <col min="15144" max="15144" width="0.5703125" style="544" customWidth="1"/>
    <col min="15145" max="15145" width="2.7109375" style="544" customWidth="1"/>
    <col min="15146" max="15146" width="0.5703125" style="544" customWidth="1"/>
    <col min="15147" max="15147" width="2.7109375" style="544" customWidth="1"/>
    <col min="15148" max="15148" width="0.5703125" style="544" customWidth="1"/>
    <col min="15149" max="15149" width="2.7109375" style="544" customWidth="1"/>
    <col min="15150" max="15150" width="0.5703125" style="544" customWidth="1"/>
    <col min="15151" max="15151" width="2.7109375" style="544" customWidth="1"/>
    <col min="15152" max="15152" width="0.7109375" style="544" customWidth="1"/>
    <col min="15153" max="15153" width="2" style="544" customWidth="1"/>
    <col min="15154" max="15154" width="3.7109375" style="544" customWidth="1"/>
    <col min="15155" max="15155" width="2.42578125" style="544" customWidth="1"/>
    <col min="15156" max="15180" width="2.7109375" style="544" customWidth="1"/>
    <col min="15181" max="15360" width="9.140625" style="544"/>
    <col min="15361" max="15361" width="2.42578125" style="544" customWidth="1"/>
    <col min="15362" max="15362" width="3" style="544" bestFit="1" customWidth="1"/>
    <col min="15363" max="15363" width="2.7109375" style="544" customWidth="1"/>
    <col min="15364" max="15364" width="3" style="544" bestFit="1" customWidth="1"/>
    <col min="15365" max="15365" width="3.42578125" style="544" customWidth="1"/>
    <col min="15366" max="15366" width="0.5703125" style="544" customWidth="1"/>
    <col min="15367" max="15367" width="3.42578125" style="544" customWidth="1"/>
    <col min="15368" max="15368" width="0.5703125" style="544" customWidth="1"/>
    <col min="15369" max="15369" width="3.42578125" style="544" customWidth="1"/>
    <col min="15370" max="15370" width="0.5703125" style="544" customWidth="1"/>
    <col min="15371" max="15371" width="3.42578125" style="544" customWidth="1"/>
    <col min="15372" max="15372" width="2.28515625" style="544" customWidth="1"/>
    <col min="15373" max="15374" width="2.7109375" style="544" customWidth="1"/>
    <col min="15375" max="15375" width="4" style="544" customWidth="1"/>
    <col min="15376" max="15376" width="2.85546875" style="544" customWidth="1"/>
    <col min="15377" max="15377" width="0.7109375" style="544" customWidth="1"/>
    <col min="15378" max="15378" width="3" style="544" bestFit="1" customWidth="1"/>
    <col min="15379" max="15379" width="2.7109375" style="544" customWidth="1"/>
    <col min="15380" max="15380" width="0.7109375" style="544" customWidth="1"/>
    <col min="15381" max="15381" width="2.7109375" style="544" customWidth="1"/>
    <col min="15382" max="15382" width="0.7109375" style="544" customWidth="1"/>
    <col min="15383" max="15383" width="2.7109375" style="544" customWidth="1"/>
    <col min="15384" max="15384" width="1" style="544" customWidth="1"/>
    <col min="15385" max="15385" width="3" style="544" bestFit="1" customWidth="1"/>
    <col min="15386" max="15386" width="0.7109375" style="544" customWidth="1"/>
    <col min="15387" max="15387" width="2.7109375" style="544" customWidth="1"/>
    <col min="15388" max="15388" width="0.5703125" style="544" customWidth="1"/>
    <col min="15389" max="15389" width="2.7109375" style="544" customWidth="1"/>
    <col min="15390" max="15390" width="0.7109375" style="544" customWidth="1"/>
    <col min="15391" max="15391" width="2.7109375" style="544" customWidth="1"/>
    <col min="15392" max="15392" width="0.5703125" style="544" customWidth="1"/>
    <col min="15393" max="15393" width="2.7109375" style="544" customWidth="1"/>
    <col min="15394" max="15394" width="0.42578125" style="544" customWidth="1"/>
    <col min="15395" max="15395" width="3" style="544" bestFit="1" customWidth="1"/>
    <col min="15396" max="15396" width="0.5703125" style="544" customWidth="1"/>
    <col min="15397" max="15397" width="3" style="544" bestFit="1" customWidth="1"/>
    <col min="15398" max="15398" width="0.7109375" style="544" customWidth="1"/>
    <col min="15399" max="15399" width="2.7109375" style="544" customWidth="1"/>
    <col min="15400" max="15400" width="0.5703125" style="544" customWidth="1"/>
    <col min="15401" max="15401" width="2.7109375" style="544" customWidth="1"/>
    <col min="15402" max="15402" width="0.5703125" style="544" customWidth="1"/>
    <col min="15403" max="15403" width="2.7109375" style="544" customWidth="1"/>
    <col min="15404" max="15404" width="0.5703125" style="544" customWidth="1"/>
    <col min="15405" max="15405" width="2.7109375" style="544" customWidth="1"/>
    <col min="15406" max="15406" width="0.5703125" style="544" customWidth="1"/>
    <col min="15407" max="15407" width="2.7109375" style="544" customWidth="1"/>
    <col min="15408" max="15408" width="0.7109375" style="544" customWidth="1"/>
    <col min="15409" max="15409" width="2" style="544" customWidth="1"/>
    <col min="15410" max="15410" width="3.7109375" style="544" customWidth="1"/>
    <col min="15411" max="15411" width="2.42578125" style="544" customWidth="1"/>
    <col min="15412" max="15436" width="2.7109375" style="544" customWidth="1"/>
    <col min="15437" max="15616" width="9.140625" style="544"/>
    <col min="15617" max="15617" width="2.42578125" style="544" customWidth="1"/>
    <col min="15618" max="15618" width="3" style="544" bestFit="1" customWidth="1"/>
    <col min="15619" max="15619" width="2.7109375" style="544" customWidth="1"/>
    <col min="15620" max="15620" width="3" style="544" bestFit="1" customWidth="1"/>
    <col min="15621" max="15621" width="3.42578125" style="544" customWidth="1"/>
    <col min="15622" max="15622" width="0.5703125" style="544" customWidth="1"/>
    <col min="15623" max="15623" width="3.42578125" style="544" customWidth="1"/>
    <col min="15624" max="15624" width="0.5703125" style="544" customWidth="1"/>
    <col min="15625" max="15625" width="3.42578125" style="544" customWidth="1"/>
    <col min="15626" max="15626" width="0.5703125" style="544" customWidth="1"/>
    <col min="15627" max="15627" width="3.42578125" style="544" customWidth="1"/>
    <col min="15628" max="15628" width="2.28515625" style="544" customWidth="1"/>
    <col min="15629" max="15630" width="2.7109375" style="544" customWidth="1"/>
    <col min="15631" max="15631" width="4" style="544" customWidth="1"/>
    <col min="15632" max="15632" width="2.85546875" style="544" customWidth="1"/>
    <col min="15633" max="15633" width="0.7109375" style="544" customWidth="1"/>
    <col min="15634" max="15634" width="3" style="544" bestFit="1" customWidth="1"/>
    <col min="15635" max="15635" width="2.7109375" style="544" customWidth="1"/>
    <col min="15636" max="15636" width="0.7109375" style="544" customWidth="1"/>
    <col min="15637" max="15637" width="2.7109375" style="544" customWidth="1"/>
    <col min="15638" max="15638" width="0.7109375" style="544" customWidth="1"/>
    <col min="15639" max="15639" width="2.7109375" style="544" customWidth="1"/>
    <col min="15640" max="15640" width="1" style="544" customWidth="1"/>
    <col min="15641" max="15641" width="3" style="544" bestFit="1" customWidth="1"/>
    <col min="15642" max="15642" width="0.7109375" style="544" customWidth="1"/>
    <col min="15643" max="15643" width="2.7109375" style="544" customWidth="1"/>
    <col min="15644" max="15644" width="0.5703125" style="544" customWidth="1"/>
    <col min="15645" max="15645" width="2.7109375" style="544" customWidth="1"/>
    <col min="15646" max="15646" width="0.7109375" style="544" customWidth="1"/>
    <col min="15647" max="15647" width="2.7109375" style="544" customWidth="1"/>
    <col min="15648" max="15648" width="0.5703125" style="544" customWidth="1"/>
    <col min="15649" max="15649" width="2.7109375" style="544" customWidth="1"/>
    <col min="15650" max="15650" width="0.42578125" style="544" customWidth="1"/>
    <col min="15651" max="15651" width="3" style="544" bestFit="1" customWidth="1"/>
    <col min="15652" max="15652" width="0.5703125" style="544" customWidth="1"/>
    <col min="15653" max="15653" width="3" style="544" bestFit="1" customWidth="1"/>
    <col min="15654" max="15654" width="0.7109375" style="544" customWidth="1"/>
    <col min="15655" max="15655" width="2.7109375" style="544" customWidth="1"/>
    <col min="15656" max="15656" width="0.5703125" style="544" customWidth="1"/>
    <col min="15657" max="15657" width="2.7109375" style="544" customWidth="1"/>
    <col min="15658" max="15658" width="0.5703125" style="544" customWidth="1"/>
    <col min="15659" max="15659" width="2.7109375" style="544" customWidth="1"/>
    <col min="15660" max="15660" width="0.5703125" style="544" customWidth="1"/>
    <col min="15661" max="15661" width="2.7109375" style="544" customWidth="1"/>
    <col min="15662" max="15662" width="0.5703125" style="544" customWidth="1"/>
    <col min="15663" max="15663" width="2.7109375" style="544" customWidth="1"/>
    <col min="15664" max="15664" width="0.7109375" style="544" customWidth="1"/>
    <col min="15665" max="15665" width="2" style="544" customWidth="1"/>
    <col min="15666" max="15666" width="3.7109375" style="544" customWidth="1"/>
    <col min="15667" max="15667" width="2.42578125" style="544" customWidth="1"/>
    <col min="15668" max="15692" width="2.7109375" style="544" customWidth="1"/>
    <col min="15693" max="15872" width="9.140625" style="544"/>
    <col min="15873" max="15873" width="2.42578125" style="544" customWidth="1"/>
    <col min="15874" max="15874" width="3" style="544" bestFit="1" customWidth="1"/>
    <col min="15875" max="15875" width="2.7109375" style="544" customWidth="1"/>
    <col min="15876" max="15876" width="3" style="544" bestFit="1" customWidth="1"/>
    <col min="15877" max="15877" width="3.42578125" style="544" customWidth="1"/>
    <col min="15878" max="15878" width="0.5703125" style="544" customWidth="1"/>
    <col min="15879" max="15879" width="3.42578125" style="544" customWidth="1"/>
    <col min="15880" max="15880" width="0.5703125" style="544" customWidth="1"/>
    <col min="15881" max="15881" width="3.42578125" style="544" customWidth="1"/>
    <col min="15882" max="15882" width="0.5703125" style="544" customWidth="1"/>
    <col min="15883" max="15883" width="3.42578125" style="544" customWidth="1"/>
    <col min="15884" max="15884" width="2.28515625" style="544" customWidth="1"/>
    <col min="15885" max="15886" width="2.7109375" style="544" customWidth="1"/>
    <col min="15887" max="15887" width="4" style="544" customWidth="1"/>
    <col min="15888" max="15888" width="2.85546875" style="544" customWidth="1"/>
    <col min="15889" max="15889" width="0.7109375" style="544" customWidth="1"/>
    <col min="15890" max="15890" width="3" style="544" bestFit="1" customWidth="1"/>
    <col min="15891" max="15891" width="2.7109375" style="544" customWidth="1"/>
    <col min="15892" max="15892" width="0.7109375" style="544" customWidth="1"/>
    <col min="15893" max="15893" width="2.7109375" style="544" customWidth="1"/>
    <col min="15894" max="15894" width="0.7109375" style="544" customWidth="1"/>
    <col min="15895" max="15895" width="2.7109375" style="544" customWidth="1"/>
    <col min="15896" max="15896" width="1" style="544" customWidth="1"/>
    <col min="15897" max="15897" width="3" style="544" bestFit="1" customWidth="1"/>
    <col min="15898" max="15898" width="0.7109375" style="544" customWidth="1"/>
    <col min="15899" max="15899" width="2.7109375" style="544" customWidth="1"/>
    <col min="15900" max="15900" width="0.5703125" style="544" customWidth="1"/>
    <col min="15901" max="15901" width="2.7109375" style="544" customWidth="1"/>
    <col min="15902" max="15902" width="0.7109375" style="544" customWidth="1"/>
    <col min="15903" max="15903" width="2.7109375" style="544" customWidth="1"/>
    <col min="15904" max="15904" width="0.5703125" style="544" customWidth="1"/>
    <col min="15905" max="15905" width="2.7109375" style="544" customWidth="1"/>
    <col min="15906" max="15906" width="0.42578125" style="544" customWidth="1"/>
    <col min="15907" max="15907" width="3" style="544" bestFit="1" customWidth="1"/>
    <col min="15908" max="15908" width="0.5703125" style="544" customWidth="1"/>
    <col min="15909" max="15909" width="3" style="544" bestFit="1" customWidth="1"/>
    <col min="15910" max="15910" width="0.7109375" style="544" customWidth="1"/>
    <col min="15911" max="15911" width="2.7109375" style="544" customWidth="1"/>
    <col min="15912" max="15912" width="0.5703125" style="544" customWidth="1"/>
    <col min="15913" max="15913" width="2.7109375" style="544" customWidth="1"/>
    <col min="15914" max="15914" width="0.5703125" style="544" customWidth="1"/>
    <col min="15915" max="15915" width="2.7109375" style="544" customWidth="1"/>
    <col min="15916" max="15916" width="0.5703125" style="544" customWidth="1"/>
    <col min="15917" max="15917" width="2.7109375" style="544" customWidth="1"/>
    <col min="15918" max="15918" width="0.5703125" style="544" customWidth="1"/>
    <col min="15919" max="15919" width="2.7109375" style="544" customWidth="1"/>
    <col min="15920" max="15920" width="0.7109375" style="544" customWidth="1"/>
    <col min="15921" max="15921" width="2" style="544" customWidth="1"/>
    <col min="15922" max="15922" width="3.7109375" style="544" customWidth="1"/>
    <col min="15923" max="15923" width="2.42578125" style="544" customWidth="1"/>
    <col min="15924" max="15948" width="2.7109375" style="544" customWidth="1"/>
    <col min="15949" max="16128" width="9.140625" style="544"/>
    <col min="16129" max="16129" width="2.42578125" style="544" customWidth="1"/>
    <col min="16130" max="16130" width="3" style="544" bestFit="1" customWidth="1"/>
    <col min="16131" max="16131" width="2.7109375" style="544" customWidth="1"/>
    <col min="16132" max="16132" width="3" style="544" bestFit="1" customWidth="1"/>
    <col min="16133" max="16133" width="3.42578125" style="544" customWidth="1"/>
    <col min="16134" max="16134" width="0.5703125" style="544" customWidth="1"/>
    <col min="16135" max="16135" width="3.42578125" style="544" customWidth="1"/>
    <col min="16136" max="16136" width="0.5703125" style="544" customWidth="1"/>
    <col min="16137" max="16137" width="3.42578125" style="544" customWidth="1"/>
    <col min="16138" max="16138" width="0.5703125" style="544" customWidth="1"/>
    <col min="16139" max="16139" width="3.42578125" style="544" customWidth="1"/>
    <col min="16140" max="16140" width="2.28515625" style="544" customWidth="1"/>
    <col min="16141" max="16142" width="2.7109375" style="544" customWidth="1"/>
    <col min="16143" max="16143" width="4" style="544" customWidth="1"/>
    <col min="16144" max="16144" width="2.85546875" style="544" customWidth="1"/>
    <col min="16145" max="16145" width="0.7109375" style="544" customWidth="1"/>
    <col min="16146" max="16146" width="3" style="544" bestFit="1" customWidth="1"/>
    <col min="16147" max="16147" width="2.7109375" style="544" customWidth="1"/>
    <col min="16148" max="16148" width="0.7109375" style="544" customWidth="1"/>
    <col min="16149" max="16149" width="2.7109375" style="544" customWidth="1"/>
    <col min="16150" max="16150" width="0.7109375" style="544" customWidth="1"/>
    <col min="16151" max="16151" width="2.7109375" style="544" customWidth="1"/>
    <col min="16152" max="16152" width="1" style="544" customWidth="1"/>
    <col min="16153" max="16153" width="3" style="544" bestFit="1" customWidth="1"/>
    <col min="16154" max="16154" width="0.7109375" style="544" customWidth="1"/>
    <col min="16155" max="16155" width="2.7109375" style="544" customWidth="1"/>
    <col min="16156" max="16156" width="0.5703125" style="544" customWidth="1"/>
    <col min="16157" max="16157" width="2.7109375" style="544" customWidth="1"/>
    <col min="16158" max="16158" width="0.7109375" style="544" customWidth="1"/>
    <col min="16159" max="16159" width="2.7109375" style="544" customWidth="1"/>
    <col min="16160" max="16160" width="0.5703125" style="544" customWidth="1"/>
    <col min="16161" max="16161" width="2.7109375" style="544" customWidth="1"/>
    <col min="16162" max="16162" width="0.42578125" style="544" customWidth="1"/>
    <col min="16163" max="16163" width="3" style="544" bestFit="1" customWidth="1"/>
    <col min="16164" max="16164" width="0.5703125" style="544" customWidth="1"/>
    <col min="16165" max="16165" width="3" style="544" bestFit="1" customWidth="1"/>
    <col min="16166" max="16166" width="0.7109375" style="544" customWidth="1"/>
    <col min="16167" max="16167" width="2.7109375" style="544" customWidth="1"/>
    <col min="16168" max="16168" width="0.5703125" style="544" customWidth="1"/>
    <col min="16169" max="16169" width="2.7109375" style="544" customWidth="1"/>
    <col min="16170" max="16170" width="0.5703125" style="544" customWidth="1"/>
    <col min="16171" max="16171" width="2.7109375" style="544" customWidth="1"/>
    <col min="16172" max="16172" width="0.5703125" style="544" customWidth="1"/>
    <col min="16173" max="16173" width="2.7109375" style="544" customWidth="1"/>
    <col min="16174" max="16174" width="0.5703125" style="544" customWidth="1"/>
    <col min="16175" max="16175" width="2.7109375" style="544" customWidth="1"/>
    <col min="16176" max="16176" width="0.7109375" style="544" customWidth="1"/>
    <col min="16177" max="16177" width="2" style="544" customWidth="1"/>
    <col min="16178" max="16178" width="3.7109375" style="544" customWidth="1"/>
    <col min="16179" max="16179" width="2.42578125" style="544" customWidth="1"/>
    <col min="16180" max="16204" width="2.7109375" style="544" customWidth="1"/>
    <col min="16205" max="16384" width="9.140625" style="544"/>
  </cols>
  <sheetData>
    <row r="1" spans="1:49">
      <c r="A1" s="1279"/>
      <c r="B1" s="1280"/>
      <c r="C1" s="1280"/>
      <c r="D1" s="1280"/>
      <c r="E1" s="1280"/>
      <c r="F1" s="1280"/>
      <c r="G1" s="1280"/>
      <c r="H1" s="1280"/>
      <c r="I1" s="1280"/>
      <c r="J1" s="1280"/>
      <c r="K1" s="1280"/>
      <c r="L1" s="1280"/>
      <c r="M1" s="1280"/>
      <c r="N1" s="1280"/>
      <c r="O1" s="1280"/>
      <c r="P1" s="1280"/>
      <c r="Q1" s="1280"/>
      <c r="R1" s="1281"/>
      <c r="S1" s="1282"/>
      <c r="T1" s="1280"/>
      <c r="U1" s="1280"/>
      <c r="V1" s="1280"/>
      <c r="W1" s="1280"/>
      <c r="X1" s="1280"/>
      <c r="Y1" s="1280"/>
      <c r="Z1" s="1280"/>
      <c r="AA1" s="1280"/>
      <c r="AB1" s="1280"/>
      <c r="AC1" s="1280"/>
      <c r="AD1" s="1280"/>
      <c r="AE1" s="1280"/>
      <c r="AF1" s="1280"/>
      <c r="AG1" s="1280"/>
      <c r="AH1" s="1280"/>
      <c r="AI1" s="1280"/>
      <c r="AJ1" s="1280"/>
      <c r="AK1" s="1280"/>
      <c r="AL1" s="1280"/>
      <c r="AM1" s="1280"/>
      <c r="AN1" s="1280"/>
      <c r="AO1" s="1280"/>
      <c r="AP1" s="1280"/>
      <c r="AQ1" s="1280"/>
      <c r="AR1" s="1280"/>
      <c r="AS1" s="1280"/>
      <c r="AT1" s="1280"/>
      <c r="AU1" s="1280"/>
      <c r="AV1" s="1280"/>
      <c r="AW1" s="1283"/>
    </row>
    <row r="2" spans="1:49" ht="14.25" customHeight="1">
      <c r="A2" s="1284"/>
      <c r="B2" s="1249"/>
      <c r="C2" s="1249"/>
      <c r="D2" s="1249"/>
      <c r="E2" s="1249"/>
      <c r="F2" s="1249"/>
      <c r="G2" s="1287" t="s">
        <v>719</v>
      </c>
      <c r="H2" s="1094"/>
      <c r="I2" s="1094"/>
      <c r="J2" s="1094"/>
      <c r="K2" s="1094"/>
      <c r="L2" s="1094"/>
      <c r="M2" s="1094"/>
      <c r="N2" s="1094"/>
      <c r="O2" s="1094"/>
      <c r="P2" s="1094"/>
      <c r="Q2" s="1094"/>
      <c r="R2" s="1259"/>
      <c r="S2" s="1248"/>
      <c r="T2" s="1249"/>
      <c r="U2" s="1249"/>
      <c r="V2" s="1249"/>
      <c r="W2" s="1249"/>
      <c r="X2" s="1249"/>
      <c r="Y2" s="1249"/>
      <c r="Z2" s="1288" t="s">
        <v>720</v>
      </c>
      <c r="AA2" s="1288"/>
      <c r="AB2" s="1288"/>
      <c r="AC2" s="1288"/>
      <c r="AD2" s="1288"/>
      <c r="AE2" s="1288"/>
      <c r="AF2" s="1288"/>
      <c r="AG2" s="1288"/>
      <c r="AH2" s="1288"/>
      <c r="AI2" s="1288"/>
      <c r="AJ2" s="1288"/>
      <c r="AK2" s="1288"/>
      <c r="AL2" s="1288"/>
      <c r="AM2" s="1288"/>
      <c r="AN2" s="1288"/>
      <c r="AO2" s="1288"/>
      <c r="AP2" s="1288"/>
      <c r="AQ2" s="1288"/>
      <c r="AR2" s="1288"/>
      <c r="AS2" s="1288"/>
      <c r="AT2" s="1288"/>
      <c r="AU2" s="1288"/>
      <c r="AV2" s="1076"/>
      <c r="AW2" s="1108"/>
    </row>
    <row r="3" spans="1:49" ht="12.75" customHeight="1">
      <c r="A3" s="1284"/>
      <c r="B3" s="1249"/>
      <c r="C3" s="1249"/>
      <c r="D3" s="1249"/>
      <c r="E3" s="1249"/>
      <c r="F3" s="1249"/>
      <c r="G3" s="1001"/>
      <c r="H3" s="1094"/>
      <c r="I3" s="1094"/>
      <c r="J3" s="1094"/>
      <c r="K3" s="1094"/>
      <c r="L3" s="1094"/>
      <c r="M3" s="1094"/>
      <c r="N3" s="1094"/>
      <c r="O3" s="1094"/>
      <c r="P3" s="1094"/>
      <c r="Q3" s="1094"/>
      <c r="R3" s="1259"/>
      <c r="S3" s="1248"/>
      <c r="T3" s="1249"/>
      <c r="U3" s="1249"/>
      <c r="V3" s="1249"/>
      <c r="W3" s="1249"/>
      <c r="X3" s="1249"/>
      <c r="Y3" s="1249"/>
      <c r="Z3" s="1288"/>
      <c r="AA3" s="1288"/>
      <c r="AB3" s="1288"/>
      <c r="AC3" s="1288"/>
      <c r="AD3" s="1288"/>
      <c r="AE3" s="1288"/>
      <c r="AF3" s="1288"/>
      <c r="AG3" s="1288"/>
      <c r="AH3" s="1288"/>
      <c r="AI3" s="1288"/>
      <c r="AJ3" s="1288"/>
      <c r="AK3" s="1288"/>
      <c r="AL3" s="1288"/>
      <c r="AM3" s="1288"/>
      <c r="AN3" s="1288"/>
      <c r="AO3" s="1288"/>
      <c r="AP3" s="1288"/>
      <c r="AQ3" s="1288"/>
      <c r="AR3" s="1288"/>
      <c r="AS3" s="1288"/>
      <c r="AT3" s="1288"/>
      <c r="AU3" s="1288"/>
      <c r="AV3" s="1076"/>
      <c r="AW3" s="1108"/>
    </row>
    <row r="4" spans="1:49" ht="33.75" customHeight="1">
      <c r="A4" s="1284"/>
      <c r="B4" s="1249"/>
      <c r="C4" s="1249"/>
      <c r="D4" s="1249"/>
      <c r="E4" s="1249"/>
      <c r="F4" s="1249"/>
      <c r="G4" s="1289" t="s">
        <v>721</v>
      </c>
      <c r="H4" s="1289"/>
      <c r="I4" s="1289"/>
      <c r="J4" s="1289"/>
      <c r="K4" s="1289"/>
      <c r="L4" s="1289"/>
      <c r="M4" s="1289"/>
      <c r="N4" s="1289"/>
      <c r="O4" s="1289"/>
      <c r="P4" s="1289"/>
      <c r="Q4" s="1289"/>
      <c r="R4" s="1290"/>
      <c r="S4" s="1248"/>
      <c r="T4" s="1249"/>
      <c r="U4" s="1249"/>
      <c r="V4" s="1249"/>
      <c r="W4" s="1249"/>
      <c r="X4" s="1249"/>
      <c r="Y4" s="1249"/>
      <c r="Z4" s="1288"/>
      <c r="AA4" s="1288"/>
      <c r="AB4" s="1288"/>
      <c r="AC4" s="1288"/>
      <c r="AD4" s="1288"/>
      <c r="AE4" s="1288"/>
      <c r="AF4" s="1288"/>
      <c r="AG4" s="1288"/>
      <c r="AH4" s="1288"/>
      <c r="AI4" s="1288"/>
      <c r="AJ4" s="1288"/>
      <c r="AK4" s="1288"/>
      <c r="AL4" s="1288"/>
      <c r="AM4" s="1288"/>
      <c r="AN4" s="1288"/>
      <c r="AO4" s="1288"/>
      <c r="AP4" s="1288"/>
      <c r="AQ4" s="1288"/>
      <c r="AR4" s="1288"/>
      <c r="AS4" s="1288"/>
      <c r="AT4" s="1288"/>
      <c r="AU4" s="1288"/>
      <c r="AV4" s="1076"/>
      <c r="AW4" s="1108"/>
    </row>
    <row r="5" spans="1:49">
      <c r="A5" s="1285"/>
      <c r="B5" s="1286"/>
      <c r="C5" s="1286"/>
      <c r="D5" s="1286"/>
      <c r="E5" s="1286"/>
      <c r="F5" s="1286"/>
      <c r="G5" s="1024"/>
      <c r="H5" s="1024"/>
      <c r="I5" s="1024"/>
      <c r="J5" s="1024"/>
      <c r="K5" s="1024"/>
      <c r="L5" s="1024"/>
      <c r="M5" s="1024"/>
      <c r="N5" s="1024"/>
      <c r="O5" s="1024"/>
      <c r="P5" s="1024"/>
      <c r="Q5" s="1024"/>
      <c r="R5" s="1278"/>
      <c r="S5" s="1291" t="s">
        <v>722</v>
      </c>
      <c r="T5" s="1292"/>
      <c r="U5" s="1292"/>
      <c r="V5" s="1292"/>
      <c r="W5" s="1292"/>
      <c r="X5" s="1292"/>
      <c r="Y5" s="1292"/>
      <c r="Z5" s="1292"/>
      <c r="AA5" s="1292"/>
      <c r="AB5" s="1292"/>
      <c r="AC5" s="1292"/>
      <c r="AD5" s="1292"/>
      <c r="AE5" s="1292"/>
      <c r="AF5" s="1292"/>
      <c r="AG5" s="1292"/>
      <c r="AH5" s="1292"/>
      <c r="AI5" s="1292"/>
      <c r="AJ5" s="1292"/>
      <c r="AK5" s="1292"/>
      <c r="AL5" s="1292"/>
      <c r="AM5" s="1292"/>
      <c r="AN5" s="1292"/>
      <c r="AO5" s="1292"/>
      <c r="AP5" s="1292"/>
      <c r="AQ5" s="1292"/>
      <c r="AR5" s="1292"/>
      <c r="AS5" s="1292"/>
      <c r="AT5" s="1292"/>
      <c r="AU5" s="1292"/>
      <c r="AV5" s="1292"/>
      <c r="AW5" s="1293"/>
    </row>
    <row r="6" spans="1:49">
      <c r="A6" s="550" t="s">
        <v>723</v>
      </c>
      <c r="B6" s="1235"/>
      <c r="C6" s="1235"/>
      <c r="D6" s="1235"/>
      <c r="E6" s="1235"/>
      <c r="F6" s="1235"/>
      <c r="G6" s="1235"/>
      <c r="H6" s="1235"/>
      <c r="I6" s="1236"/>
      <c r="J6" s="1237" t="s">
        <v>724</v>
      </c>
      <c r="K6" s="1238"/>
      <c r="L6" s="1239" t="s">
        <v>725</v>
      </c>
      <c r="M6" s="1239"/>
      <c r="N6" s="1239"/>
      <c r="O6" s="1239"/>
      <c r="P6" s="1239"/>
      <c r="Q6" s="1239"/>
      <c r="R6" s="1239"/>
      <c r="S6" s="1239"/>
      <c r="T6" s="1239"/>
      <c r="U6" s="1239"/>
      <c r="V6" s="1239"/>
      <c r="W6" s="1239"/>
      <c r="X6" s="1239"/>
      <c r="Y6" s="1239"/>
      <c r="Z6" s="1240"/>
      <c r="AA6" s="551" t="s">
        <v>726</v>
      </c>
      <c r="AB6" s="1239" t="s">
        <v>727</v>
      </c>
      <c r="AC6" s="1239"/>
      <c r="AD6" s="1239"/>
      <c r="AE6" s="1239"/>
      <c r="AF6" s="1239"/>
      <c r="AG6" s="1239"/>
      <c r="AH6" s="1239"/>
      <c r="AI6" s="1239"/>
      <c r="AJ6" s="1239"/>
      <c r="AK6" s="1239"/>
      <c r="AL6" s="1239"/>
      <c r="AM6" s="1239"/>
      <c r="AN6" s="1239"/>
      <c r="AO6" s="1239"/>
      <c r="AP6" s="1239"/>
      <c r="AQ6" s="1239"/>
      <c r="AR6" s="1239"/>
      <c r="AS6" s="1239"/>
      <c r="AT6" s="1239"/>
      <c r="AU6" s="1239"/>
      <c r="AV6" s="1239"/>
      <c r="AW6" s="1241"/>
    </row>
    <row r="7" spans="1:49" ht="3.75" customHeight="1">
      <c r="A7" s="1242" t="s">
        <v>728</v>
      </c>
      <c r="B7" s="1243"/>
      <c r="C7" s="1243"/>
      <c r="D7" s="1243"/>
      <c r="E7" s="1243"/>
      <c r="F7" s="1243"/>
      <c r="G7" s="1243"/>
      <c r="H7" s="1243"/>
      <c r="I7" s="1244"/>
      <c r="J7" s="1248"/>
      <c r="K7" s="1249"/>
      <c r="L7" s="1249"/>
      <c r="M7" s="1249"/>
      <c r="N7" s="1249"/>
      <c r="O7" s="1249"/>
      <c r="P7" s="1249"/>
      <c r="Q7" s="1249"/>
      <c r="R7" s="1249"/>
      <c r="S7" s="1249"/>
      <c r="T7" s="1249"/>
      <c r="U7" s="1249"/>
      <c r="V7" s="1249"/>
      <c r="W7" s="1249"/>
      <c r="X7" s="1249"/>
      <c r="Y7" s="1249"/>
      <c r="Z7" s="1250"/>
      <c r="AA7" s="1248"/>
      <c r="AB7" s="1249"/>
      <c r="AC7" s="1249"/>
      <c r="AD7" s="1249"/>
      <c r="AE7" s="1249"/>
      <c r="AF7" s="1249"/>
      <c r="AG7" s="1249"/>
      <c r="AH7" s="1249"/>
      <c r="AI7" s="1249"/>
      <c r="AJ7" s="1249"/>
      <c r="AK7" s="1249"/>
      <c r="AL7" s="1249"/>
      <c r="AM7" s="1249"/>
      <c r="AN7" s="1249"/>
      <c r="AO7" s="1249"/>
      <c r="AP7" s="1249"/>
      <c r="AQ7" s="1249"/>
      <c r="AR7" s="1249"/>
      <c r="AS7" s="1249"/>
      <c r="AT7" s="1249"/>
      <c r="AU7" s="1249"/>
      <c r="AV7" s="1249"/>
      <c r="AW7" s="1251"/>
    </row>
    <row r="8" spans="1:49" ht="12" customHeight="1">
      <c r="A8" s="1242"/>
      <c r="B8" s="1243"/>
      <c r="C8" s="1243"/>
      <c r="D8" s="1243"/>
      <c r="E8" s="1243"/>
      <c r="F8" s="1243"/>
      <c r="G8" s="1243"/>
      <c r="H8" s="1243"/>
      <c r="I8" s="1244"/>
      <c r="J8" s="1252" t="s">
        <v>729</v>
      </c>
      <c r="K8" s="1253"/>
      <c r="L8" s="552" t="s">
        <v>730</v>
      </c>
      <c r="M8" s="1254" t="s">
        <v>731</v>
      </c>
      <c r="N8" s="1255"/>
      <c r="O8" s="1255"/>
      <c r="P8" s="1255"/>
      <c r="Q8" s="1255"/>
      <c r="R8" s="1255"/>
      <c r="S8" s="1255"/>
      <c r="T8" s="1255"/>
      <c r="U8" s="1255"/>
      <c r="V8" s="1255"/>
      <c r="W8" s="1255"/>
      <c r="X8" s="1255"/>
      <c r="Y8" s="1255"/>
      <c r="Z8" s="1256"/>
      <c r="AA8" s="1099"/>
      <c r="AB8" s="1094"/>
      <c r="AC8" s="1094"/>
      <c r="AD8" s="1094"/>
      <c r="AE8" s="1094"/>
      <c r="AF8" s="1094"/>
      <c r="AG8" s="1094"/>
      <c r="AH8" s="1094"/>
      <c r="AI8" s="1094"/>
      <c r="AJ8" s="1094"/>
      <c r="AK8" s="1094"/>
      <c r="AL8" s="1094"/>
      <c r="AM8" s="1094"/>
      <c r="AN8" s="1094"/>
      <c r="AO8" s="1094"/>
      <c r="AP8" s="1094"/>
      <c r="AQ8" s="1094"/>
      <c r="AR8" s="1094"/>
      <c r="AS8" s="1094"/>
      <c r="AT8" s="1094"/>
      <c r="AU8" s="1094"/>
      <c r="AV8" s="1094"/>
      <c r="AW8" s="1095"/>
    </row>
    <row r="9" spans="1:49" ht="3" customHeight="1">
      <c r="A9" s="1242"/>
      <c r="B9" s="1243"/>
      <c r="C9" s="1243"/>
      <c r="D9" s="1243"/>
      <c r="E9" s="1243"/>
      <c r="F9" s="1243"/>
      <c r="G9" s="1243"/>
      <c r="H9" s="1243"/>
      <c r="I9" s="1244"/>
      <c r="J9" s="1252"/>
      <c r="K9" s="1257"/>
      <c r="L9" s="1257"/>
      <c r="M9" s="1257"/>
      <c r="N9" s="1257"/>
      <c r="O9" s="1257"/>
      <c r="P9" s="1257"/>
      <c r="Q9" s="1257"/>
      <c r="R9" s="1257"/>
      <c r="S9" s="1257"/>
      <c r="T9" s="1257"/>
      <c r="U9" s="1257"/>
      <c r="V9" s="1257"/>
      <c r="W9" s="1257"/>
      <c r="X9" s="1257"/>
      <c r="Y9" s="1257"/>
      <c r="Z9" s="1253"/>
      <c r="AA9" s="1258" t="s">
        <v>536</v>
      </c>
      <c r="AB9" s="1094"/>
      <c r="AC9" s="1094"/>
      <c r="AD9" s="1094"/>
      <c r="AE9" s="1094"/>
      <c r="AF9" s="1259"/>
      <c r="AG9" s="1261">
        <v>130802701</v>
      </c>
      <c r="AH9" s="1262"/>
      <c r="AI9" s="1262"/>
      <c r="AJ9" s="1262"/>
      <c r="AK9" s="1262"/>
      <c r="AL9" s="1262"/>
      <c r="AM9" s="1262"/>
      <c r="AN9" s="1262"/>
      <c r="AO9" s="1262"/>
      <c r="AP9" s="1262"/>
      <c r="AQ9" s="1262"/>
      <c r="AR9" s="1262"/>
      <c r="AS9" s="1263"/>
      <c r="AT9" s="1099"/>
      <c r="AU9" s="1094"/>
      <c r="AV9" s="1094"/>
      <c r="AW9" s="1095"/>
    </row>
    <row r="10" spans="1:49" ht="12" customHeight="1">
      <c r="A10" s="1242"/>
      <c r="B10" s="1243"/>
      <c r="C10" s="1243"/>
      <c r="D10" s="1243"/>
      <c r="E10" s="1243"/>
      <c r="F10" s="1243"/>
      <c r="G10" s="1243"/>
      <c r="H10" s="1243"/>
      <c r="I10" s="1244"/>
      <c r="J10" s="1270" t="s">
        <v>732</v>
      </c>
      <c r="K10" s="1271"/>
      <c r="L10" s="553"/>
      <c r="M10" s="1254" t="s">
        <v>733</v>
      </c>
      <c r="N10" s="1255"/>
      <c r="O10" s="1255"/>
      <c r="P10" s="1255"/>
      <c r="Q10" s="1255"/>
      <c r="R10" s="1255"/>
      <c r="S10" s="1255"/>
      <c r="T10" s="1255"/>
      <c r="U10" s="1255"/>
      <c r="V10" s="1255"/>
      <c r="W10" s="1255"/>
      <c r="X10" s="1255"/>
      <c r="Y10" s="1255"/>
      <c r="Z10" s="1256"/>
      <c r="AA10" s="1260"/>
      <c r="AB10" s="1094"/>
      <c r="AC10" s="1094"/>
      <c r="AD10" s="1094"/>
      <c r="AE10" s="1094"/>
      <c r="AF10" s="1259"/>
      <c r="AG10" s="1264"/>
      <c r="AH10" s="1265"/>
      <c r="AI10" s="1265"/>
      <c r="AJ10" s="1265"/>
      <c r="AK10" s="1265"/>
      <c r="AL10" s="1265"/>
      <c r="AM10" s="1265"/>
      <c r="AN10" s="1265"/>
      <c r="AO10" s="1265"/>
      <c r="AP10" s="1265"/>
      <c r="AQ10" s="1265"/>
      <c r="AR10" s="1265"/>
      <c r="AS10" s="1266"/>
      <c r="AT10" s="1260"/>
      <c r="AU10" s="1094"/>
      <c r="AV10" s="1094"/>
      <c r="AW10" s="1095"/>
    </row>
    <row r="11" spans="1:49" ht="3" customHeight="1">
      <c r="A11" s="1242"/>
      <c r="B11" s="1243"/>
      <c r="C11" s="1243"/>
      <c r="D11" s="1243"/>
      <c r="E11" s="1243"/>
      <c r="F11" s="1243"/>
      <c r="G11" s="1243"/>
      <c r="H11" s="1243"/>
      <c r="I11" s="1244"/>
      <c r="J11" s="1270"/>
      <c r="K11" s="1272"/>
      <c r="L11" s="1272"/>
      <c r="M11" s="1272"/>
      <c r="N11" s="1272"/>
      <c r="O11" s="1272"/>
      <c r="P11" s="1272"/>
      <c r="Q11" s="1272"/>
      <c r="R11" s="1272"/>
      <c r="S11" s="1272"/>
      <c r="T11" s="1272"/>
      <c r="U11" s="1272"/>
      <c r="V11" s="1272"/>
      <c r="W11" s="1272"/>
      <c r="X11" s="1272"/>
      <c r="Y11" s="1272"/>
      <c r="Z11" s="1271"/>
      <c r="AA11" s="1260"/>
      <c r="AB11" s="1094"/>
      <c r="AC11" s="1094"/>
      <c r="AD11" s="1094"/>
      <c r="AE11" s="1094"/>
      <c r="AF11" s="1259"/>
      <c r="AG11" s="1267"/>
      <c r="AH11" s="1268"/>
      <c r="AI11" s="1268"/>
      <c r="AJ11" s="1268"/>
      <c r="AK11" s="1268"/>
      <c r="AL11" s="1268"/>
      <c r="AM11" s="1268"/>
      <c r="AN11" s="1268"/>
      <c r="AO11" s="1268"/>
      <c r="AP11" s="1268"/>
      <c r="AQ11" s="1268"/>
      <c r="AR11" s="1268"/>
      <c r="AS11" s="1269"/>
      <c r="AT11" s="1260"/>
      <c r="AU11" s="1094"/>
      <c r="AV11" s="1094"/>
      <c r="AW11" s="1095"/>
    </row>
    <row r="12" spans="1:49">
      <c r="A12" s="1242"/>
      <c r="B12" s="1243"/>
      <c r="C12" s="1243"/>
      <c r="D12" s="1243"/>
      <c r="E12" s="1243"/>
      <c r="F12" s="1243"/>
      <c r="G12" s="1243"/>
      <c r="H12" s="1243"/>
      <c r="I12" s="1244"/>
      <c r="J12" s="1273" t="s">
        <v>734</v>
      </c>
      <c r="K12" s="1274"/>
      <c r="L12" s="553"/>
      <c r="M12" s="1254" t="s">
        <v>735</v>
      </c>
      <c r="N12" s="1255"/>
      <c r="O12" s="1255"/>
      <c r="P12" s="1255"/>
      <c r="Q12" s="1255"/>
      <c r="R12" s="1255"/>
      <c r="S12" s="1255"/>
      <c r="T12" s="1255"/>
      <c r="U12" s="1255"/>
      <c r="V12" s="1255"/>
      <c r="W12" s="1255"/>
      <c r="X12" s="1255"/>
      <c r="Y12" s="1255"/>
      <c r="Z12" s="1256"/>
      <c r="AA12" s="1003"/>
      <c r="AB12" s="1094"/>
      <c r="AC12" s="1094"/>
      <c r="AD12" s="1094"/>
      <c r="AE12" s="1094"/>
      <c r="AF12" s="1094"/>
      <c r="AG12" s="1094"/>
      <c r="AH12" s="1094"/>
      <c r="AI12" s="1094"/>
      <c r="AJ12" s="1094"/>
      <c r="AK12" s="1094"/>
      <c r="AL12" s="1094"/>
      <c r="AM12" s="1094"/>
      <c r="AN12" s="1094"/>
      <c r="AO12" s="1094"/>
      <c r="AP12" s="1094"/>
      <c r="AQ12" s="1094"/>
      <c r="AR12" s="1094"/>
      <c r="AS12" s="1094"/>
      <c r="AT12" s="1094"/>
      <c r="AU12" s="1094"/>
      <c r="AV12" s="1094"/>
      <c r="AW12" s="1095"/>
    </row>
    <row r="13" spans="1:49" ht="8.25" customHeight="1">
      <c r="A13" s="1245"/>
      <c r="B13" s="1246"/>
      <c r="C13" s="1246"/>
      <c r="D13" s="1246"/>
      <c r="E13" s="1246"/>
      <c r="F13" s="1246"/>
      <c r="G13" s="1246"/>
      <c r="H13" s="1246"/>
      <c r="I13" s="1247"/>
      <c r="J13" s="1023"/>
      <c r="K13" s="1024"/>
      <c r="L13" s="1024"/>
      <c r="M13" s="1024"/>
      <c r="N13" s="1024"/>
      <c r="O13" s="1024"/>
      <c r="P13" s="1024"/>
      <c r="Q13" s="1024"/>
      <c r="R13" s="1024"/>
      <c r="S13" s="1024"/>
      <c r="T13" s="1024"/>
      <c r="U13" s="1024"/>
      <c r="V13" s="1024"/>
      <c r="W13" s="1024"/>
      <c r="X13" s="1024"/>
      <c r="Y13" s="1024"/>
      <c r="Z13" s="1278"/>
      <c r="AA13" s="1275"/>
      <c r="AB13" s="1276"/>
      <c r="AC13" s="1276"/>
      <c r="AD13" s="1276"/>
      <c r="AE13" s="1276"/>
      <c r="AF13" s="1276"/>
      <c r="AG13" s="1276"/>
      <c r="AH13" s="1276"/>
      <c r="AI13" s="1276"/>
      <c r="AJ13" s="1276"/>
      <c r="AK13" s="1276"/>
      <c r="AL13" s="1276"/>
      <c r="AM13" s="1276"/>
      <c r="AN13" s="1276"/>
      <c r="AO13" s="1276"/>
      <c r="AP13" s="1276"/>
      <c r="AQ13" s="1276"/>
      <c r="AR13" s="1276"/>
      <c r="AS13" s="1276"/>
      <c r="AT13" s="1276"/>
      <c r="AU13" s="1276"/>
      <c r="AV13" s="1276"/>
      <c r="AW13" s="1277"/>
    </row>
    <row r="14" spans="1:49" ht="11.25" customHeight="1">
      <c r="A14" s="554" t="s">
        <v>736</v>
      </c>
      <c r="B14" s="555"/>
      <c r="C14" s="556"/>
      <c r="D14" s="556"/>
      <c r="E14" s="556"/>
      <c r="F14" s="557"/>
      <c r="G14" s="557"/>
      <c r="H14" s="557"/>
      <c r="I14" s="557"/>
      <c r="J14" s="557"/>
      <c r="K14" s="557"/>
      <c r="L14" s="557"/>
      <c r="M14" s="557"/>
      <c r="N14" s="557"/>
      <c r="O14" s="557"/>
      <c r="P14" s="557"/>
      <c r="Q14" s="557"/>
      <c r="R14" s="557"/>
      <c r="S14" s="558"/>
      <c r="T14" s="559"/>
      <c r="U14" s="560" t="s">
        <v>737</v>
      </c>
      <c r="V14" s="561"/>
      <c r="W14" s="561"/>
      <c r="X14" s="561"/>
      <c r="Y14" s="561"/>
      <c r="Z14" s="561"/>
      <c r="AA14" s="561"/>
      <c r="AB14" s="561"/>
      <c r="AC14" s="561"/>
      <c r="AD14" s="561"/>
      <c r="AE14" s="561"/>
      <c r="AF14" s="561"/>
      <c r="AG14" s="561"/>
      <c r="AH14" s="561"/>
      <c r="AI14" s="561"/>
      <c r="AJ14" s="561"/>
      <c r="AK14" s="561"/>
      <c r="AL14" s="561"/>
      <c r="AM14" s="561"/>
      <c r="AN14" s="561"/>
      <c r="AO14" s="561"/>
      <c r="AP14" s="561"/>
      <c r="AQ14" s="561"/>
      <c r="AR14" s="562"/>
      <c r="AS14" s="562"/>
      <c r="AT14" s="562"/>
      <c r="AU14" s="562"/>
      <c r="AV14" s="562"/>
      <c r="AW14" s="563"/>
    </row>
    <row r="15" spans="1:49" ht="2.25" customHeight="1">
      <c r="A15" s="1196"/>
      <c r="B15" s="1197"/>
      <c r="C15" s="1197"/>
      <c r="D15" s="1197"/>
      <c r="E15" s="1197"/>
      <c r="F15" s="1197"/>
      <c r="G15" s="1197"/>
      <c r="H15" s="1197"/>
      <c r="I15" s="1197"/>
      <c r="J15" s="1197"/>
      <c r="K15" s="1197"/>
      <c r="L15" s="1197"/>
      <c r="M15" s="1197"/>
      <c r="N15" s="1197"/>
      <c r="O15" s="1197"/>
      <c r="P15" s="1197"/>
      <c r="Q15" s="1197"/>
      <c r="R15" s="1197"/>
      <c r="S15" s="1228"/>
      <c r="T15" s="1229"/>
      <c r="U15" s="1076"/>
      <c r="V15" s="1076"/>
      <c r="W15" s="1076"/>
      <c r="X15" s="1076"/>
      <c r="Y15" s="1076"/>
      <c r="Z15" s="1076"/>
      <c r="AA15" s="1076"/>
      <c r="AB15" s="1076"/>
      <c r="AC15" s="1076"/>
      <c r="AD15" s="1076"/>
      <c r="AE15" s="1076"/>
      <c r="AF15" s="1076"/>
      <c r="AG15" s="1076"/>
      <c r="AH15" s="1076"/>
      <c r="AI15" s="1076"/>
      <c r="AJ15" s="1076"/>
      <c r="AK15" s="1076"/>
      <c r="AL15" s="1076"/>
      <c r="AM15" s="1076"/>
      <c r="AN15" s="1076"/>
      <c r="AO15" s="1076"/>
      <c r="AP15" s="1076"/>
      <c r="AQ15" s="1076"/>
      <c r="AR15" s="1076"/>
      <c r="AS15" s="1076"/>
      <c r="AT15" s="1076"/>
      <c r="AU15" s="1076"/>
      <c r="AV15" s="1076"/>
      <c r="AW15" s="1108"/>
    </row>
    <row r="16" spans="1:49" ht="12.75" customHeight="1">
      <c r="A16" s="1220" t="s">
        <v>738</v>
      </c>
      <c r="B16" s="1221"/>
      <c r="C16" s="1221"/>
      <c r="D16" s="1222"/>
      <c r="E16" s="1078">
        <v>2012</v>
      </c>
      <c r="F16" s="1079"/>
      <c r="G16" s="1079"/>
      <c r="H16" s="1080"/>
      <c r="I16" s="1076"/>
      <c r="J16" s="1076"/>
      <c r="K16" s="1076"/>
      <c r="L16" s="1076"/>
      <c r="M16" s="1076"/>
      <c r="N16" s="1076"/>
      <c r="O16" s="1076"/>
      <c r="P16" s="1076"/>
      <c r="Q16" s="1076"/>
      <c r="R16" s="1076"/>
      <c r="S16" s="1230"/>
      <c r="T16" s="1229"/>
      <c r="U16" s="1076"/>
      <c r="V16" s="1076"/>
      <c r="W16" s="1076"/>
      <c r="X16" s="1076"/>
      <c r="Y16" s="1076"/>
      <c r="Z16" s="1076"/>
      <c r="AA16" s="1076"/>
      <c r="AB16" s="1076"/>
      <c r="AC16" s="1076"/>
      <c r="AD16" s="1076"/>
      <c r="AE16" s="1076"/>
      <c r="AF16" s="1076"/>
      <c r="AG16" s="1076"/>
      <c r="AH16" s="1076"/>
      <c r="AI16" s="1076"/>
      <c r="AJ16" s="1076"/>
      <c r="AK16" s="1076"/>
      <c r="AL16" s="1076"/>
      <c r="AM16" s="1076"/>
      <c r="AN16" s="1076"/>
      <c r="AO16" s="1076"/>
      <c r="AP16" s="1076"/>
      <c r="AQ16" s="1076"/>
      <c r="AR16" s="1076"/>
      <c r="AS16" s="1076"/>
      <c r="AT16" s="1076"/>
      <c r="AU16" s="1076"/>
      <c r="AV16" s="1076"/>
      <c r="AW16" s="1108"/>
    </row>
    <row r="17" spans="1:50" ht="3" customHeight="1">
      <c r="A17" s="994"/>
      <c r="B17" s="995"/>
      <c r="C17" s="995"/>
      <c r="D17" s="995"/>
      <c r="E17" s="995"/>
      <c r="F17" s="995"/>
      <c r="G17" s="995"/>
      <c r="H17" s="995"/>
      <c r="I17" s="995"/>
      <c r="J17" s="995"/>
      <c r="K17" s="995"/>
      <c r="L17" s="995"/>
      <c r="M17" s="995"/>
      <c r="N17" s="995"/>
      <c r="O17" s="995"/>
      <c r="P17" s="995"/>
      <c r="Q17" s="995"/>
      <c r="R17" s="995"/>
      <c r="S17" s="1231"/>
      <c r="T17" s="1229"/>
      <c r="U17" s="1076"/>
      <c r="V17" s="1076"/>
      <c r="W17" s="1076"/>
      <c r="X17" s="1076"/>
      <c r="Y17" s="1076"/>
      <c r="Z17" s="1076"/>
      <c r="AA17" s="1076"/>
      <c r="AB17" s="1076"/>
      <c r="AC17" s="1076"/>
      <c r="AD17" s="1076"/>
      <c r="AE17" s="1076"/>
      <c r="AF17" s="1076"/>
      <c r="AG17" s="1076"/>
      <c r="AH17" s="1076"/>
      <c r="AI17" s="1076"/>
      <c r="AJ17" s="1076"/>
      <c r="AK17" s="1076"/>
      <c r="AL17" s="1076"/>
      <c r="AM17" s="1076"/>
      <c r="AN17" s="1076"/>
      <c r="AO17" s="1076"/>
      <c r="AP17" s="1076"/>
      <c r="AQ17" s="1076"/>
      <c r="AR17" s="1076"/>
      <c r="AS17" s="1076"/>
      <c r="AT17" s="1076"/>
      <c r="AU17" s="1076"/>
      <c r="AV17" s="1076"/>
      <c r="AW17" s="1108"/>
    </row>
    <row r="18" spans="1:50" ht="15" customHeight="1">
      <c r="A18" s="1220" t="s">
        <v>739</v>
      </c>
      <c r="B18" s="1221"/>
      <c r="C18" s="1221"/>
      <c r="D18" s="1222"/>
      <c r="E18" s="1026" t="s">
        <v>836</v>
      </c>
      <c r="F18" s="1027"/>
      <c r="G18" s="1027"/>
      <c r="H18" s="1027"/>
      <c r="I18" s="1027"/>
      <c r="J18" s="1027"/>
      <c r="K18" s="1027"/>
      <c r="L18" s="1027"/>
      <c r="M18" s="1027"/>
      <c r="N18" s="1028"/>
      <c r="O18" s="559"/>
      <c r="P18" s="564">
        <v>1</v>
      </c>
      <c r="Q18" s="565"/>
      <c r="R18" s="564">
        <v>2</v>
      </c>
      <c r="S18" s="558"/>
      <c r="T18" s="1223" t="s">
        <v>740</v>
      </c>
      <c r="U18" s="1224"/>
      <c r="V18" s="1224"/>
      <c r="W18" s="1224"/>
      <c r="X18" s="1224"/>
      <c r="Y18" s="1224"/>
      <c r="Z18" s="1224"/>
      <c r="AA18" s="1224"/>
      <c r="AB18" s="1224"/>
      <c r="AC18" s="1224"/>
      <c r="AD18" s="1224"/>
      <c r="AE18" s="1224"/>
      <c r="AF18" s="1224"/>
      <c r="AG18" s="1224"/>
      <c r="AH18" s="1224"/>
      <c r="AI18" s="1224"/>
      <c r="AJ18" s="1224"/>
      <c r="AK18" s="1224"/>
      <c r="AL18" s="1224"/>
      <c r="AM18" s="1224"/>
      <c r="AN18" s="1224"/>
      <c r="AO18" s="1224"/>
      <c r="AP18" s="1225"/>
      <c r="AQ18" s="1078"/>
      <c r="AR18" s="1079"/>
      <c r="AS18" s="1080"/>
      <c r="AT18" s="1099"/>
      <c r="AU18" s="1076"/>
      <c r="AV18" s="1076"/>
      <c r="AW18" s="1108"/>
    </row>
    <row r="19" spans="1:50" ht="5.25" customHeight="1">
      <c r="A19" s="1214"/>
      <c r="B19" s="1129"/>
      <c r="C19" s="1129"/>
      <c r="D19" s="1129"/>
      <c r="E19" s="1129"/>
      <c r="F19" s="1129"/>
      <c r="G19" s="1129"/>
      <c r="H19" s="1129"/>
      <c r="I19" s="1129"/>
      <c r="J19" s="1129"/>
      <c r="K19" s="1129"/>
      <c r="L19" s="1129"/>
      <c r="M19" s="1129"/>
      <c r="N19" s="1129"/>
      <c r="O19" s="1129"/>
      <c r="P19" s="1129"/>
      <c r="Q19" s="1129"/>
      <c r="R19" s="1129"/>
      <c r="S19" s="1226"/>
      <c r="T19" s="1227"/>
      <c r="U19" s="1129"/>
      <c r="V19" s="1129"/>
      <c r="W19" s="1129"/>
      <c r="X19" s="1129"/>
      <c r="Y19" s="1129"/>
      <c r="Z19" s="1129"/>
      <c r="AA19" s="1129"/>
      <c r="AB19" s="1129"/>
      <c r="AC19" s="1129"/>
      <c r="AD19" s="1129"/>
      <c r="AE19" s="1129"/>
      <c r="AF19" s="1129"/>
      <c r="AG19" s="1129"/>
      <c r="AH19" s="1129"/>
      <c r="AI19" s="1129"/>
      <c r="AJ19" s="1129"/>
      <c r="AK19" s="1129"/>
      <c r="AL19" s="1129"/>
      <c r="AM19" s="1129"/>
      <c r="AN19" s="1129"/>
      <c r="AO19" s="1129"/>
      <c r="AP19" s="1129"/>
      <c r="AQ19" s="1129"/>
      <c r="AR19" s="1129"/>
      <c r="AS19" s="1129"/>
      <c r="AT19" s="1129"/>
      <c r="AU19" s="1129"/>
      <c r="AV19" s="1129"/>
      <c r="AW19" s="1215"/>
    </row>
    <row r="20" spans="1:50" s="567" customFormat="1" ht="18" customHeight="1">
      <c r="A20" s="566" t="s">
        <v>741</v>
      </c>
      <c r="B20" s="1232" t="s">
        <v>742</v>
      </c>
      <c r="C20" s="1232"/>
      <c r="D20" s="1232"/>
      <c r="E20" s="1232"/>
      <c r="F20" s="1232"/>
      <c r="G20" s="1232"/>
      <c r="H20" s="1232"/>
      <c r="I20" s="1232"/>
      <c r="J20" s="1232"/>
      <c r="K20" s="1232"/>
      <c r="L20" s="1232"/>
      <c r="M20" s="1232"/>
      <c r="N20" s="1232"/>
      <c r="O20" s="1232"/>
      <c r="P20" s="1232"/>
      <c r="Q20" s="1232"/>
      <c r="R20" s="1232"/>
      <c r="S20" s="1232"/>
      <c r="T20" s="1232"/>
      <c r="U20" s="1232"/>
      <c r="V20" s="1232"/>
      <c r="W20" s="1232"/>
      <c r="X20" s="1232"/>
      <c r="Y20" s="1232"/>
      <c r="Z20" s="1232"/>
      <c r="AA20" s="1232"/>
      <c r="AB20" s="1232"/>
      <c r="AC20" s="1232"/>
      <c r="AD20" s="1232"/>
      <c r="AE20" s="1232"/>
      <c r="AF20" s="1232"/>
      <c r="AG20" s="1232"/>
      <c r="AH20" s="1232"/>
      <c r="AI20" s="1232"/>
      <c r="AJ20" s="1232"/>
      <c r="AK20" s="1232"/>
      <c r="AL20" s="1232"/>
      <c r="AM20" s="1232"/>
      <c r="AN20" s="1232"/>
      <c r="AO20" s="1232"/>
      <c r="AP20" s="1232"/>
      <c r="AQ20" s="1232"/>
      <c r="AR20" s="1232"/>
      <c r="AS20" s="1232"/>
      <c r="AT20" s="1232"/>
      <c r="AU20" s="1232"/>
      <c r="AV20" s="1232"/>
      <c r="AW20" s="1233"/>
    </row>
    <row r="21" spans="1:50" ht="6" customHeight="1">
      <c r="A21" s="1178"/>
      <c r="B21" s="1076"/>
      <c r="C21" s="1076"/>
      <c r="D21" s="1076"/>
      <c r="E21" s="1076"/>
      <c r="F21" s="1076"/>
      <c r="G21" s="1076"/>
      <c r="H21" s="1076"/>
      <c r="I21" s="1076"/>
      <c r="J21" s="1076"/>
      <c r="K21" s="1076"/>
      <c r="L21" s="1076"/>
      <c r="M21" s="1076"/>
      <c r="N21" s="1076"/>
      <c r="O21" s="1076"/>
      <c r="P21" s="1076"/>
      <c r="Q21" s="1076"/>
      <c r="R21" s="1076"/>
      <c r="S21" s="1076"/>
      <c r="T21" s="1076"/>
      <c r="U21" s="1076"/>
      <c r="V21" s="1076"/>
      <c r="W21" s="1076"/>
      <c r="X21" s="1076"/>
      <c r="Y21" s="1076"/>
      <c r="Z21" s="1076"/>
      <c r="AA21" s="1076"/>
      <c r="AB21" s="1076"/>
      <c r="AC21" s="1076"/>
      <c r="AD21" s="1076"/>
      <c r="AE21" s="1076"/>
      <c r="AF21" s="1076"/>
      <c r="AG21" s="1076"/>
      <c r="AH21" s="1076"/>
      <c r="AI21" s="1076"/>
      <c r="AJ21" s="1076"/>
      <c r="AK21" s="1076"/>
      <c r="AL21" s="1076"/>
      <c r="AM21" s="1076"/>
      <c r="AN21" s="1076"/>
      <c r="AO21" s="1076"/>
      <c r="AP21" s="1076"/>
      <c r="AQ21" s="1076"/>
      <c r="AR21" s="1076"/>
      <c r="AS21" s="1076"/>
      <c r="AT21" s="1076"/>
      <c r="AU21" s="1076"/>
      <c r="AV21" s="1076"/>
      <c r="AW21" s="1108"/>
    </row>
    <row r="22" spans="1:50" ht="15" customHeight="1">
      <c r="A22" s="1234" t="s">
        <v>743</v>
      </c>
      <c r="B22" s="1200"/>
      <c r="C22" s="1200"/>
      <c r="D22" s="1200"/>
      <c r="E22" s="1200"/>
      <c r="F22" s="1200"/>
      <c r="G22" s="1200"/>
      <c r="H22" s="1200"/>
      <c r="I22" s="1200"/>
      <c r="J22" s="1200"/>
      <c r="K22" s="1200"/>
      <c r="L22" s="1059" t="s">
        <v>837</v>
      </c>
      <c r="M22" s="1059"/>
      <c r="N22" s="1059"/>
      <c r="O22" s="1059"/>
      <c r="P22" s="1059"/>
      <c r="Q22" s="1059"/>
      <c r="R22" s="1059"/>
      <c r="S22" s="1059"/>
      <c r="T22" s="1059"/>
      <c r="U22" s="1059"/>
      <c r="V22" s="1059"/>
      <c r="W22" s="1059"/>
      <c r="X22" s="1059"/>
      <c r="Y22" s="1059"/>
      <c r="Z22" s="1059"/>
      <c r="AA22" s="1059"/>
      <c r="AB22" s="1059"/>
      <c r="AC22" s="1059"/>
      <c r="AD22" s="1059"/>
      <c r="AE22" s="1059"/>
      <c r="AF22" s="1059"/>
      <c r="AG22" s="1059"/>
      <c r="AH22" s="1059"/>
      <c r="AI22" s="1059"/>
      <c r="AJ22" s="1059"/>
      <c r="AK22" s="1059"/>
      <c r="AL22" s="1059"/>
      <c r="AM22" s="1059"/>
      <c r="AN22" s="1059"/>
      <c r="AO22" s="1059"/>
      <c r="AP22" s="1059"/>
      <c r="AQ22" s="1059"/>
      <c r="AR22" s="1059"/>
      <c r="AS22" s="1059"/>
      <c r="AT22" s="1059"/>
      <c r="AU22" s="1059"/>
      <c r="AV22" s="1059"/>
      <c r="AW22" s="1060"/>
    </row>
    <row r="23" spans="1:50" ht="9" customHeight="1">
      <c r="A23" s="1214"/>
      <c r="B23" s="1129"/>
      <c r="C23" s="1129"/>
      <c r="D23" s="1129"/>
      <c r="E23" s="1129"/>
      <c r="F23" s="1129"/>
      <c r="G23" s="1129"/>
      <c r="H23" s="1129"/>
      <c r="I23" s="1129"/>
      <c r="J23" s="1129"/>
      <c r="K23" s="1129"/>
      <c r="L23" s="1129"/>
      <c r="M23" s="1129"/>
      <c r="N23" s="1129"/>
      <c r="O23" s="1129"/>
      <c r="P23" s="1129"/>
      <c r="Q23" s="1129"/>
      <c r="R23" s="1129"/>
      <c r="S23" s="1129"/>
      <c r="T23" s="1129"/>
      <c r="U23" s="1129"/>
      <c r="V23" s="1129"/>
      <c r="W23" s="1129"/>
      <c r="X23" s="1129"/>
      <c r="Y23" s="1129"/>
      <c r="Z23" s="1129"/>
      <c r="AA23" s="1129"/>
      <c r="AB23" s="1129"/>
      <c r="AC23" s="1129"/>
      <c r="AD23" s="1129"/>
      <c r="AE23" s="1129"/>
      <c r="AF23" s="1129"/>
      <c r="AG23" s="1129"/>
      <c r="AH23" s="1129"/>
      <c r="AI23" s="1129"/>
      <c r="AJ23" s="1129"/>
      <c r="AK23" s="1129"/>
      <c r="AL23" s="1129"/>
      <c r="AM23" s="1129"/>
      <c r="AN23" s="1129"/>
      <c r="AO23" s="1129"/>
      <c r="AP23" s="1129"/>
      <c r="AQ23" s="1129"/>
      <c r="AR23" s="1129"/>
      <c r="AS23" s="1129"/>
      <c r="AT23" s="1129"/>
      <c r="AU23" s="1129"/>
      <c r="AV23" s="1129"/>
      <c r="AW23" s="1215"/>
      <c r="AX23" s="568"/>
    </row>
    <row r="24" spans="1:50" ht="15" customHeight="1">
      <c r="A24" s="1216" t="s">
        <v>744</v>
      </c>
      <c r="B24" s="1217"/>
      <c r="C24" s="1217"/>
      <c r="D24" s="1217"/>
      <c r="E24" s="1217"/>
      <c r="F24" s="1217"/>
      <c r="G24" s="1217"/>
      <c r="H24" s="1217"/>
      <c r="I24" s="1217"/>
      <c r="J24" s="1217"/>
      <c r="K24" s="1218" t="s">
        <v>838</v>
      </c>
      <c r="L24" s="1218"/>
      <c r="M24" s="1218"/>
      <c r="N24" s="1218"/>
      <c r="O24" s="1218"/>
      <c r="P24" s="1218"/>
      <c r="Q24" s="1218"/>
      <c r="R24" s="1218"/>
      <c r="S24" s="1218"/>
      <c r="T24" s="1218"/>
      <c r="U24" s="1218"/>
      <c r="V24" s="1218"/>
      <c r="W24" s="1218"/>
      <c r="X24" s="1218"/>
      <c r="Y24" s="1218"/>
      <c r="Z24" s="1218"/>
      <c r="AA24" s="1218"/>
      <c r="AB24" s="1218"/>
      <c r="AC24" s="1218"/>
      <c r="AD24" s="1218"/>
      <c r="AE24" s="1218"/>
      <c r="AF24" s="1218"/>
      <c r="AG24" s="1218"/>
      <c r="AH24" s="1218"/>
      <c r="AI24" s="1218"/>
      <c r="AJ24" s="1218"/>
      <c r="AK24" s="1218"/>
      <c r="AL24" s="1218"/>
      <c r="AM24" s="1218"/>
      <c r="AN24" s="1218"/>
      <c r="AO24" s="1218"/>
      <c r="AP24" s="1218"/>
      <c r="AQ24" s="1218"/>
      <c r="AR24" s="1218"/>
      <c r="AS24" s="1218"/>
      <c r="AT24" s="1218"/>
      <c r="AU24" s="1218"/>
      <c r="AV24" s="1218"/>
      <c r="AW24" s="1219"/>
    </row>
    <row r="25" spans="1:50" ht="12" customHeight="1">
      <c r="A25" s="1208"/>
      <c r="B25" s="1209"/>
      <c r="C25" s="1209"/>
      <c r="D25" s="1209"/>
      <c r="E25" s="1209"/>
      <c r="F25" s="1209"/>
      <c r="G25" s="1209"/>
      <c r="H25" s="1209"/>
      <c r="I25" s="1209"/>
      <c r="J25" s="1209"/>
      <c r="K25" s="1209"/>
      <c r="L25" s="1209"/>
      <c r="M25" s="1209"/>
      <c r="N25" s="1209"/>
      <c r="O25" s="1209"/>
      <c r="P25" s="1209"/>
      <c r="Q25" s="1209"/>
      <c r="R25" s="1209"/>
      <c r="S25" s="1209"/>
      <c r="T25" s="1209"/>
      <c r="U25" s="1209"/>
      <c r="V25" s="1209"/>
      <c r="W25" s="1209"/>
      <c r="X25" s="1209"/>
      <c r="Y25" s="1209"/>
      <c r="Z25" s="1209"/>
      <c r="AA25" s="1209"/>
      <c r="AB25" s="1209"/>
      <c r="AC25" s="1209"/>
      <c r="AD25" s="1209"/>
      <c r="AE25" s="1209"/>
      <c r="AF25" s="1209"/>
      <c r="AG25" s="1209"/>
      <c r="AH25" s="1209"/>
      <c r="AI25" s="1209"/>
      <c r="AJ25" s="1209"/>
      <c r="AK25" s="1209"/>
      <c r="AL25" s="1209"/>
      <c r="AM25" s="1209"/>
      <c r="AN25" s="1209"/>
      <c r="AO25" s="1209"/>
      <c r="AP25" s="1209"/>
      <c r="AQ25" s="1209"/>
      <c r="AR25" s="1209"/>
      <c r="AS25" s="1209"/>
      <c r="AT25" s="1209"/>
      <c r="AU25" s="1209"/>
      <c r="AV25" s="1209"/>
      <c r="AW25" s="1210"/>
    </row>
    <row r="26" spans="1:50" ht="10.5" customHeight="1">
      <c r="A26" s="1202" t="s">
        <v>745</v>
      </c>
      <c r="B26" s="1203"/>
      <c r="C26" s="1203"/>
      <c r="D26" s="1203"/>
      <c r="E26" s="1203"/>
      <c r="F26" s="1203" t="s">
        <v>746</v>
      </c>
      <c r="G26" s="1203"/>
      <c r="H26" s="1203"/>
      <c r="I26" s="1203"/>
      <c r="J26" s="1203"/>
      <c r="K26" s="1203"/>
      <c r="L26" s="1203" t="s">
        <v>747</v>
      </c>
      <c r="M26" s="1203"/>
      <c r="N26" s="1203"/>
      <c r="O26" s="1203"/>
      <c r="P26" s="1203"/>
      <c r="Q26" s="1203"/>
      <c r="R26" s="1203"/>
      <c r="S26" s="1203"/>
      <c r="T26" s="1203"/>
      <c r="U26" s="1203"/>
      <c r="V26" s="1203"/>
      <c r="W26" s="1203"/>
      <c r="X26" s="1203"/>
      <c r="Y26" s="1203"/>
      <c r="Z26" s="1203"/>
      <c r="AA26" s="1203"/>
      <c r="AB26" s="1203" t="s">
        <v>748</v>
      </c>
      <c r="AC26" s="1203"/>
      <c r="AD26" s="1203"/>
      <c r="AE26" s="1203"/>
      <c r="AF26" s="1203"/>
      <c r="AG26" s="1203"/>
      <c r="AH26" s="1203"/>
      <c r="AI26" s="1203"/>
      <c r="AJ26" s="1203"/>
      <c r="AK26" s="1203"/>
      <c r="AL26" s="1203"/>
      <c r="AM26" s="1203"/>
      <c r="AN26" s="1203"/>
      <c r="AO26" s="1203"/>
      <c r="AP26" s="1203"/>
      <c r="AQ26" s="1203"/>
      <c r="AR26" s="1203"/>
      <c r="AS26" s="1203"/>
      <c r="AT26" s="1203"/>
      <c r="AU26" s="1203"/>
      <c r="AV26" s="1203"/>
      <c r="AW26" s="1204"/>
    </row>
    <row r="27" spans="1:50" ht="15" customHeight="1">
      <c r="A27" s="1202"/>
      <c r="B27" s="1203"/>
      <c r="C27" s="1203"/>
      <c r="D27" s="1203"/>
      <c r="E27" s="1203"/>
      <c r="F27" s="1211"/>
      <c r="G27" s="1211"/>
      <c r="H27" s="1211"/>
      <c r="I27" s="1211"/>
      <c r="J27" s="1211"/>
      <c r="K27" s="1211"/>
      <c r="L27" s="1212" t="s">
        <v>839</v>
      </c>
      <c r="M27" s="1212"/>
      <c r="N27" s="1212"/>
      <c r="O27" s="1212"/>
      <c r="P27" s="1212"/>
      <c r="Q27" s="1212"/>
      <c r="R27" s="1212"/>
      <c r="S27" s="1212"/>
      <c r="T27" s="1212"/>
      <c r="U27" s="1212"/>
      <c r="V27" s="1212"/>
      <c r="W27" s="1212"/>
      <c r="X27" s="1212"/>
      <c r="Y27" s="1212"/>
      <c r="Z27" s="1212"/>
      <c r="AA27" s="1212"/>
      <c r="AB27" s="1212" t="s">
        <v>840</v>
      </c>
      <c r="AC27" s="1212"/>
      <c r="AD27" s="1212"/>
      <c r="AE27" s="1212"/>
      <c r="AF27" s="1212"/>
      <c r="AG27" s="1212"/>
      <c r="AH27" s="1212"/>
      <c r="AI27" s="1212"/>
      <c r="AJ27" s="1212"/>
      <c r="AK27" s="1212"/>
      <c r="AL27" s="1212"/>
      <c r="AM27" s="1212"/>
      <c r="AN27" s="1212"/>
      <c r="AO27" s="1212"/>
      <c r="AP27" s="1212"/>
      <c r="AQ27" s="1212"/>
      <c r="AR27" s="1212"/>
      <c r="AS27" s="1212"/>
      <c r="AT27" s="1212"/>
      <c r="AU27" s="1212"/>
      <c r="AV27" s="1212"/>
      <c r="AW27" s="1213"/>
    </row>
    <row r="28" spans="1:50" ht="10.5" customHeight="1">
      <c r="A28" s="1202" t="s">
        <v>749</v>
      </c>
      <c r="B28" s="1203"/>
      <c r="C28" s="1203"/>
      <c r="D28" s="1203"/>
      <c r="E28" s="1203"/>
      <c r="F28" s="1203"/>
      <c r="G28" s="1203"/>
      <c r="H28" s="1203"/>
      <c r="I28" s="1203"/>
      <c r="J28" s="1203"/>
      <c r="K28" s="1203"/>
      <c r="L28" s="1203"/>
      <c r="M28" s="1203"/>
      <c r="N28" s="1203"/>
      <c r="O28" s="1203" t="s">
        <v>750</v>
      </c>
      <c r="P28" s="1203"/>
      <c r="Q28" s="1203"/>
      <c r="R28" s="1203"/>
      <c r="S28" s="1203"/>
      <c r="T28" s="1203"/>
      <c r="U28" s="1203"/>
      <c r="V28" s="1203"/>
      <c r="W28" s="1203"/>
      <c r="X28" s="1203"/>
      <c r="Y28" s="1203"/>
      <c r="Z28" s="1203"/>
      <c r="AA28" s="1203"/>
      <c r="AB28" s="1203"/>
      <c r="AC28" s="1203"/>
      <c r="AD28" s="1203" t="s">
        <v>751</v>
      </c>
      <c r="AE28" s="1203"/>
      <c r="AF28" s="1203"/>
      <c r="AG28" s="1203"/>
      <c r="AH28" s="1203"/>
      <c r="AI28" s="1203"/>
      <c r="AJ28" s="1203"/>
      <c r="AK28" s="1203"/>
      <c r="AL28" s="1203"/>
      <c r="AM28" s="1203"/>
      <c r="AN28" s="1203"/>
      <c r="AO28" s="1203"/>
      <c r="AP28" s="1203"/>
      <c r="AQ28" s="1203"/>
      <c r="AR28" s="1203"/>
      <c r="AS28" s="1203"/>
      <c r="AT28" s="1203"/>
      <c r="AU28" s="1203"/>
      <c r="AV28" s="1203"/>
      <c r="AW28" s="1204"/>
    </row>
    <row r="29" spans="1:50" ht="12" customHeight="1">
      <c r="A29" s="1205">
        <v>2671514</v>
      </c>
      <c r="B29" s="1206"/>
      <c r="C29" s="1206"/>
      <c r="D29" s="1206"/>
      <c r="E29" s="1206"/>
      <c r="F29" s="1206"/>
      <c r="G29" s="1206"/>
      <c r="H29" s="1206"/>
      <c r="I29" s="1206"/>
      <c r="J29" s="1206"/>
      <c r="K29" s="1206"/>
      <c r="L29" s="1206"/>
      <c r="M29" s="1206"/>
      <c r="N29" s="1206"/>
      <c r="O29" s="1206" t="s">
        <v>752</v>
      </c>
      <c r="P29" s="1206"/>
      <c r="Q29" s="1206"/>
      <c r="R29" s="1206"/>
      <c r="S29" s="1206"/>
      <c r="T29" s="1206"/>
      <c r="U29" s="1206"/>
      <c r="V29" s="1206"/>
      <c r="W29" s="1206"/>
      <c r="X29" s="1206"/>
      <c r="Y29" s="1206"/>
      <c r="Z29" s="1206"/>
      <c r="AA29" s="1206"/>
      <c r="AB29" s="1206"/>
      <c r="AC29" s="1206"/>
      <c r="AD29" s="1206"/>
      <c r="AE29" s="1206"/>
      <c r="AF29" s="1206"/>
      <c r="AG29" s="1206"/>
      <c r="AH29" s="1206"/>
      <c r="AI29" s="1206"/>
      <c r="AJ29" s="1206"/>
      <c r="AK29" s="1206"/>
      <c r="AL29" s="1206"/>
      <c r="AM29" s="1206"/>
      <c r="AN29" s="1206"/>
      <c r="AO29" s="1206"/>
      <c r="AP29" s="1206"/>
      <c r="AQ29" s="1206"/>
      <c r="AR29" s="1206"/>
      <c r="AS29" s="1206"/>
      <c r="AT29" s="1206"/>
      <c r="AU29" s="1206"/>
      <c r="AV29" s="1206"/>
      <c r="AW29" s="1207"/>
    </row>
    <row r="30" spans="1:50" ht="3" customHeight="1">
      <c r="A30" s="1191"/>
      <c r="B30" s="1192"/>
      <c r="C30" s="1192"/>
      <c r="D30" s="1192"/>
      <c r="E30" s="1192"/>
      <c r="F30" s="1192"/>
      <c r="G30" s="1192"/>
      <c r="H30" s="1192"/>
      <c r="I30" s="1192"/>
      <c r="J30" s="1192"/>
      <c r="K30" s="1192"/>
      <c r="L30" s="1192"/>
      <c r="M30" s="1192"/>
      <c r="N30" s="1192"/>
      <c r="O30" s="1192"/>
      <c r="P30" s="1192"/>
      <c r="Q30" s="1192"/>
      <c r="R30" s="1192"/>
      <c r="S30" s="1192"/>
      <c r="T30" s="1192"/>
      <c r="U30" s="1192"/>
      <c r="V30" s="1192"/>
      <c r="W30" s="1192"/>
      <c r="X30" s="1192"/>
      <c r="Y30" s="1192"/>
      <c r="Z30" s="1192"/>
      <c r="AA30" s="1192"/>
      <c r="AB30" s="1192"/>
      <c r="AC30" s="1192"/>
      <c r="AD30" s="1192"/>
      <c r="AE30" s="1192"/>
      <c r="AF30" s="1192"/>
      <c r="AG30" s="1192"/>
      <c r="AH30" s="1192"/>
      <c r="AI30" s="1192"/>
      <c r="AJ30" s="1192"/>
      <c r="AK30" s="1192"/>
      <c r="AL30" s="1192"/>
      <c r="AM30" s="1192"/>
      <c r="AN30" s="1192"/>
      <c r="AO30" s="1192"/>
      <c r="AP30" s="1192"/>
      <c r="AQ30" s="1192"/>
      <c r="AR30" s="1192"/>
      <c r="AS30" s="1192"/>
      <c r="AT30" s="1192"/>
      <c r="AU30" s="1192"/>
      <c r="AV30" s="1192"/>
      <c r="AW30" s="1193"/>
    </row>
    <row r="31" spans="1:50" ht="15" customHeight="1">
      <c r="A31" s="1194" t="s">
        <v>753</v>
      </c>
      <c r="B31" s="1195"/>
      <c r="C31" s="1181" t="s">
        <v>754</v>
      </c>
      <c r="D31" s="1181"/>
      <c r="E31" s="1181"/>
      <c r="F31" s="1181"/>
      <c r="G31" s="1181"/>
      <c r="H31" s="1181"/>
      <c r="I31" s="1181"/>
      <c r="J31" s="1181"/>
      <c r="K31" s="1181"/>
      <c r="L31" s="1181"/>
      <c r="M31" s="1181"/>
      <c r="N31" s="1181"/>
      <c r="O31" s="1181"/>
      <c r="P31" s="1181"/>
      <c r="Q31" s="1181"/>
      <c r="R31" s="1181"/>
      <c r="S31" s="1181"/>
      <c r="T31" s="1181"/>
      <c r="U31" s="1181"/>
      <c r="V31" s="1181"/>
      <c r="W31" s="1181"/>
      <c r="X31" s="1181"/>
      <c r="Y31" s="1181"/>
      <c r="Z31" s="1181"/>
      <c r="AA31" s="1181"/>
      <c r="AB31" s="1181"/>
      <c r="AC31" s="1181"/>
      <c r="AD31" s="1181"/>
      <c r="AE31" s="1181"/>
      <c r="AF31" s="1181"/>
      <c r="AG31" s="1181"/>
      <c r="AH31" s="1181"/>
      <c r="AI31" s="1181"/>
      <c r="AJ31" s="1181"/>
      <c r="AK31" s="1181"/>
      <c r="AL31" s="1181"/>
      <c r="AM31" s="1181"/>
      <c r="AN31" s="1181"/>
      <c r="AO31" s="1181"/>
      <c r="AP31" s="1181"/>
      <c r="AQ31" s="1181"/>
      <c r="AR31" s="1181"/>
      <c r="AS31" s="1181"/>
      <c r="AT31" s="1181"/>
      <c r="AU31" s="1181"/>
      <c r="AV31" s="1181"/>
      <c r="AW31" s="1182"/>
    </row>
    <row r="32" spans="1:50" ht="3" customHeight="1">
      <c r="A32" s="1196"/>
      <c r="B32" s="1197"/>
      <c r="C32" s="1197"/>
      <c r="D32" s="1197"/>
      <c r="E32" s="1197"/>
      <c r="F32" s="1197"/>
      <c r="G32" s="1197"/>
      <c r="H32" s="1197"/>
      <c r="I32" s="1197"/>
      <c r="J32" s="1197"/>
      <c r="K32" s="1197"/>
      <c r="L32" s="1197"/>
      <c r="M32" s="1197"/>
      <c r="N32" s="1197"/>
      <c r="O32" s="1197"/>
      <c r="P32" s="1197"/>
      <c r="Q32" s="1197"/>
      <c r="R32" s="1197"/>
      <c r="S32" s="1197"/>
      <c r="T32" s="1197"/>
      <c r="U32" s="1197"/>
      <c r="V32" s="1197"/>
      <c r="W32" s="1197"/>
      <c r="X32" s="1197"/>
      <c r="Y32" s="1197"/>
      <c r="Z32" s="1197"/>
      <c r="AA32" s="1197"/>
      <c r="AB32" s="1197"/>
      <c r="AC32" s="1197"/>
      <c r="AD32" s="1197"/>
      <c r="AE32" s="1197"/>
      <c r="AF32" s="1197"/>
      <c r="AG32" s="1197"/>
      <c r="AH32" s="1197"/>
      <c r="AI32" s="1197"/>
      <c r="AJ32" s="1197"/>
      <c r="AK32" s="1197"/>
      <c r="AL32" s="1197"/>
      <c r="AM32" s="1197"/>
      <c r="AN32" s="1197"/>
      <c r="AO32" s="1197"/>
      <c r="AP32" s="1197"/>
      <c r="AQ32" s="1197"/>
      <c r="AR32" s="1197"/>
      <c r="AS32" s="1197"/>
      <c r="AT32" s="1197"/>
      <c r="AU32" s="1197"/>
      <c r="AV32" s="1197"/>
      <c r="AW32" s="988"/>
    </row>
    <row r="33" spans="1:54" ht="12" customHeight="1">
      <c r="A33" s="1087" t="s">
        <v>755</v>
      </c>
      <c r="B33" s="1088"/>
      <c r="C33" s="1088"/>
      <c r="D33" s="1088"/>
      <c r="E33" s="1088"/>
      <c r="F33" s="1088"/>
      <c r="G33" s="1088"/>
      <c r="H33" s="1088"/>
      <c r="I33" s="1088"/>
      <c r="J33" s="1088"/>
      <c r="K33" s="1088"/>
      <c r="L33" s="1088"/>
      <c r="M33" s="1088"/>
      <c r="N33" s="1088"/>
      <c r="O33" s="1088"/>
      <c r="P33" s="1088"/>
      <c r="Q33" s="1088"/>
      <c r="R33" s="1088"/>
      <c r="S33" s="1088"/>
      <c r="T33" s="1088"/>
      <c r="U33" s="1088"/>
      <c r="V33" s="1088"/>
      <c r="W33" s="1088"/>
      <c r="X33" s="1198"/>
      <c r="Y33" s="552"/>
      <c r="Z33" s="1199" t="s">
        <v>756</v>
      </c>
      <c r="AA33" s="1200"/>
      <c r="AB33" s="1200"/>
      <c r="AC33" s="1200"/>
      <c r="AD33" s="1200"/>
      <c r="AE33" s="1200"/>
      <c r="AF33" s="1200"/>
      <c r="AG33" s="1200"/>
      <c r="AH33" s="1200"/>
      <c r="AI33" s="1200"/>
      <c r="AJ33" s="1200"/>
      <c r="AK33" s="1200"/>
      <c r="AL33" s="1200"/>
      <c r="AM33" s="1200"/>
      <c r="AN33" s="1200"/>
      <c r="AO33" s="1200"/>
      <c r="AP33" s="1200"/>
      <c r="AQ33" s="1200"/>
      <c r="AR33" s="1200"/>
      <c r="AS33" s="1200"/>
      <c r="AT33" s="1200"/>
      <c r="AU33" s="1200"/>
      <c r="AV33" s="1200"/>
      <c r="AW33" s="1201"/>
    </row>
    <row r="34" spans="1:54" ht="3" customHeight="1">
      <c r="A34" s="1178"/>
      <c r="B34" s="1076"/>
      <c r="C34" s="1076"/>
      <c r="D34" s="1076"/>
      <c r="E34" s="1076"/>
      <c r="F34" s="1076"/>
      <c r="G34" s="1076"/>
      <c r="H34" s="1076"/>
      <c r="I34" s="1076"/>
      <c r="J34" s="1076"/>
      <c r="K34" s="1076"/>
      <c r="L34" s="1076"/>
      <c r="M34" s="1076"/>
      <c r="N34" s="1076"/>
      <c r="O34" s="1076"/>
      <c r="P34" s="1076"/>
      <c r="Q34" s="1076"/>
      <c r="R34" s="1076"/>
      <c r="S34" s="1076"/>
      <c r="T34" s="1076"/>
      <c r="U34" s="1076"/>
      <c r="V34" s="1076"/>
      <c r="W34" s="1076"/>
      <c r="X34" s="1076"/>
      <c r="Y34" s="1076"/>
      <c r="Z34" s="1076"/>
      <c r="AA34" s="1076"/>
      <c r="AB34" s="1076"/>
      <c r="AC34" s="1076"/>
      <c r="AD34" s="1076"/>
      <c r="AE34" s="1076"/>
      <c r="AF34" s="1076"/>
      <c r="AG34" s="1076"/>
      <c r="AH34" s="1076"/>
      <c r="AI34" s="1076"/>
      <c r="AJ34" s="1076"/>
      <c r="AK34" s="1076"/>
      <c r="AL34" s="1076"/>
      <c r="AM34" s="1076"/>
      <c r="AN34" s="1076"/>
      <c r="AO34" s="1076"/>
      <c r="AP34" s="1076"/>
      <c r="AQ34" s="1076"/>
      <c r="AR34" s="1076"/>
      <c r="AS34" s="1076"/>
      <c r="AT34" s="1076"/>
      <c r="AU34" s="1076"/>
      <c r="AV34" s="1076"/>
      <c r="AW34" s="1108"/>
    </row>
    <row r="35" spans="1:54" ht="15" customHeight="1">
      <c r="A35" s="1179" t="s">
        <v>757</v>
      </c>
      <c r="B35" s="1180"/>
      <c r="C35" s="1181" t="s">
        <v>758</v>
      </c>
      <c r="D35" s="1181"/>
      <c r="E35" s="1181"/>
      <c r="F35" s="1181"/>
      <c r="G35" s="1181"/>
      <c r="H35" s="1181"/>
      <c r="I35" s="1181"/>
      <c r="J35" s="1181"/>
      <c r="K35" s="1181"/>
      <c r="L35" s="1181"/>
      <c r="M35" s="1181"/>
      <c r="N35" s="1181"/>
      <c r="O35" s="1181"/>
      <c r="P35" s="1181"/>
      <c r="Q35" s="1181"/>
      <c r="R35" s="1181"/>
      <c r="S35" s="1181"/>
      <c r="T35" s="1181"/>
      <c r="U35" s="1181"/>
      <c r="V35" s="1181"/>
      <c r="W35" s="1181"/>
      <c r="X35" s="1181"/>
      <c r="Y35" s="1181"/>
      <c r="Z35" s="1181"/>
      <c r="AA35" s="1181"/>
      <c r="AB35" s="1181"/>
      <c r="AC35" s="1181"/>
      <c r="AD35" s="1181"/>
      <c r="AE35" s="1181"/>
      <c r="AF35" s="1181"/>
      <c r="AG35" s="1181"/>
      <c r="AH35" s="1181"/>
      <c r="AI35" s="1181"/>
      <c r="AJ35" s="1181"/>
      <c r="AK35" s="1181"/>
      <c r="AL35" s="1181"/>
      <c r="AM35" s="1181"/>
      <c r="AN35" s="1181"/>
      <c r="AO35" s="1181"/>
      <c r="AP35" s="1181"/>
      <c r="AQ35" s="1181"/>
      <c r="AR35" s="1181"/>
      <c r="AS35" s="1181"/>
      <c r="AT35" s="1181"/>
      <c r="AU35" s="1181"/>
      <c r="AV35" s="1181"/>
      <c r="AW35" s="1182"/>
      <c r="AX35" s="569"/>
    </row>
    <row r="36" spans="1:54">
      <c r="A36" s="1183" t="s">
        <v>759</v>
      </c>
      <c r="B36" s="1184"/>
      <c r="C36" s="1184"/>
      <c r="D36" s="1184"/>
      <c r="E36" s="1184"/>
      <c r="F36" s="1184"/>
      <c r="G36" s="1184"/>
      <c r="H36" s="1184"/>
      <c r="I36" s="1184"/>
      <c r="J36" s="1184"/>
      <c r="K36" s="1184"/>
      <c r="L36" s="1184"/>
      <c r="M36" s="1184"/>
      <c r="N36" s="1184"/>
      <c r="O36" s="1185"/>
      <c r="P36" s="1186" t="s">
        <v>760</v>
      </c>
      <c r="Q36" s="1187"/>
      <c r="R36" s="1187"/>
      <c r="S36" s="1187"/>
      <c r="T36" s="1187"/>
      <c r="U36" s="1187"/>
      <c r="V36" s="1187"/>
      <c r="W36" s="1187"/>
      <c r="X36" s="1188"/>
      <c r="Y36" s="1008" t="s">
        <v>761</v>
      </c>
      <c r="Z36" s="1006"/>
      <c r="AA36" s="1006"/>
      <c r="AB36" s="1006"/>
      <c r="AC36" s="1006"/>
      <c r="AD36" s="1006"/>
      <c r="AE36" s="1006"/>
      <c r="AF36" s="1006"/>
      <c r="AG36" s="1006"/>
      <c r="AH36" s="1006"/>
      <c r="AI36" s="1006"/>
      <c r="AJ36" s="1006"/>
      <c r="AK36" s="1007"/>
      <c r="AL36" s="1189" t="s">
        <v>762</v>
      </c>
      <c r="AM36" s="1184"/>
      <c r="AN36" s="1184"/>
      <c r="AO36" s="1184"/>
      <c r="AP36" s="1184"/>
      <c r="AQ36" s="1184"/>
      <c r="AR36" s="1184"/>
      <c r="AS36" s="1184"/>
      <c r="AT36" s="1184"/>
      <c r="AU36" s="1184"/>
      <c r="AV36" s="1184"/>
      <c r="AW36" s="1190"/>
    </row>
    <row r="37" spans="1:54" ht="21" customHeight="1">
      <c r="A37" s="1159" t="s">
        <v>763</v>
      </c>
      <c r="B37" s="1160"/>
      <c r="C37" s="1160"/>
      <c r="D37" s="1160"/>
      <c r="E37" s="1160"/>
      <c r="F37" s="1160"/>
      <c r="G37" s="1160"/>
      <c r="H37" s="1160"/>
      <c r="I37" s="1160"/>
      <c r="J37" s="1160"/>
      <c r="K37" s="1160"/>
      <c r="L37" s="1160"/>
      <c r="M37" s="1160"/>
      <c r="N37" s="1160"/>
      <c r="O37" s="1161"/>
      <c r="P37" s="570">
        <v>1</v>
      </c>
      <c r="Q37" s="1162">
        <f>'DRN '!E6</f>
        <v>50291174.713043481</v>
      </c>
      <c r="R37" s="1163"/>
      <c r="S37" s="1163"/>
      <c r="T37" s="1163"/>
      <c r="U37" s="1163"/>
      <c r="V37" s="1163"/>
      <c r="W37" s="1163"/>
      <c r="X37" s="1164"/>
      <c r="Y37" s="1165"/>
      <c r="Z37" s="1166"/>
      <c r="AA37" s="1166"/>
      <c r="AB37" s="1166"/>
      <c r="AC37" s="1166"/>
      <c r="AD37" s="1166"/>
      <c r="AE37" s="1166"/>
      <c r="AF37" s="1166"/>
      <c r="AG37" s="1166"/>
      <c r="AH37" s="1166"/>
      <c r="AI37" s="1166"/>
      <c r="AJ37" s="1166"/>
      <c r="AK37" s="1167"/>
      <c r="AL37" s="1165"/>
      <c r="AM37" s="1166"/>
      <c r="AN37" s="1166"/>
      <c r="AO37" s="1166"/>
      <c r="AP37" s="1166"/>
      <c r="AQ37" s="1166"/>
      <c r="AR37" s="1166"/>
      <c r="AS37" s="1166"/>
      <c r="AT37" s="1166"/>
      <c r="AU37" s="1166"/>
      <c r="AV37" s="1166"/>
      <c r="AW37" s="1171"/>
    </row>
    <row r="38" spans="1:54" ht="21" customHeight="1">
      <c r="A38" s="1156" t="s">
        <v>764</v>
      </c>
      <c r="B38" s="1157"/>
      <c r="C38" s="1157"/>
      <c r="D38" s="1157"/>
      <c r="E38" s="1157"/>
      <c r="F38" s="1157"/>
      <c r="G38" s="1157"/>
      <c r="H38" s="1157"/>
      <c r="I38" s="1157"/>
      <c r="J38" s="1157"/>
      <c r="K38" s="1157"/>
      <c r="L38" s="1157"/>
      <c r="M38" s="1157"/>
      <c r="N38" s="1157"/>
      <c r="O38" s="1158"/>
      <c r="P38" s="1172">
        <f>Balancete!L8</f>
        <v>8201721.2869565217</v>
      </c>
      <c r="Q38" s="1173"/>
      <c r="R38" s="1173"/>
      <c r="S38" s="1173"/>
      <c r="T38" s="1173"/>
      <c r="U38" s="1173"/>
      <c r="V38" s="1173"/>
      <c r="W38" s="1173"/>
      <c r="X38" s="1174"/>
      <c r="Y38" s="1168"/>
      <c r="Z38" s="1169"/>
      <c r="AA38" s="1169"/>
      <c r="AB38" s="1169"/>
      <c r="AC38" s="1169"/>
      <c r="AD38" s="1169"/>
      <c r="AE38" s="1169"/>
      <c r="AF38" s="1169"/>
      <c r="AG38" s="1169"/>
      <c r="AH38" s="1169"/>
      <c r="AI38" s="1169"/>
      <c r="AJ38" s="1169"/>
      <c r="AK38" s="1170"/>
      <c r="AL38" s="1144">
        <v>2</v>
      </c>
      <c r="AM38" s="1145"/>
      <c r="AN38" s="1143">
        <f>Q37*15%</f>
        <v>7543676.2069565216</v>
      </c>
      <c r="AO38" s="1143"/>
      <c r="AP38" s="1143"/>
      <c r="AQ38" s="1143"/>
      <c r="AR38" s="1143"/>
      <c r="AS38" s="1143"/>
      <c r="AT38" s="1143"/>
      <c r="AU38" s="1143"/>
      <c r="AV38" s="1143"/>
      <c r="AW38" s="1146"/>
    </row>
    <row r="39" spans="1:54" ht="25.15" customHeight="1">
      <c r="A39" s="1156" t="s">
        <v>765</v>
      </c>
      <c r="B39" s="1157"/>
      <c r="C39" s="1157"/>
      <c r="D39" s="1157"/>
      <c r="E39" s="1157"/>
      <c r="F39" s="1157"/>
      <c r="G39" s="1157"/>
      <c r="H39" s="1157"/>
      <c r="I39" s="1157"/>
      <c r="J39" s="1157"/>
      <c r="K39" s="1157"/>
      <c r="L39" s="1157"/>
      <c r="M39" s="1157"/>
      <c r="N39" s="1157"/>
      <c r="O39" s="1158"/>
      <c r="P39" s="1172"/>
      <c r="Q39" s="1173"/>
      <c r="R39" s="1173"/>
      <c r="S39" s="1173"/>
      <c r="T39" s="1173"/>
      <c r="U39" s="1173"/>
      <c r="V39" s="1173"/>
      <c r="W39" s="1173"/>
      <c r="X39" s="1174"/>
      <c r="Y39" s="1168"/>
      <c r="Z39" s="1169"/>
      <c r="AA39" s="1169"/>
      <c r="AB39" s="1169"/>
      <c r="AC39" s="1169"/>
      <c r="AD39" s="1169"/>
      <c r="AE39" s="1169"/>
      <c r="AF39" s="1169"/>
      <c r="AG39" s="1169"/>
      <c r="AH39" s="1169"/>
      <c r="AI39" s="1169"/>
      <c r="AJ39" s="1169"/>
      <c r="AK39" s="1170"/>
      <c r="AL39" s="1144">
        <v>3</v>
      </c>
      <c r="AM39" s="1145"/>
      <c r="AN39" s="1175"/>
      <c r="AO39" s="1175"/>
      <c r="AP39" s="1175"/>
      <c r="AQ39" s="1175"/>
      <c r="AR39" s="1175"/>
      <c r="AS39" s="1175"/>
      <c r="AT39" s="1175"/>
      <c r="AU39" s="1175"/>
      <c r="AV39" s="1175"/>
      <c r="AW39" s="1176"/>
    </row>
    <row r="40" spans="1:54" ht="18" customHeight="1">
      <c r="A40" s="1156" t="s">
        <v>766</v>
      </c>
      <c r="B40" s="1157"/>
      <c r="C40" s="1157"/>
      <c r="D40" s="1157"/>
      <c r="E40" s="1157"/>
      <c r="F40" s="1157"/>
      <c r="G40" s="1157"/>
      <c r="H40" s="1157"/>
      <c r="I40" s="1157"/>
      <c r="J40" s="1157"/>
      <c r="K40" s="1157"/>
      <c r="L40" s="1157"/>
      <c r="M40" s="1157"/>
      <c r="N40" s="1157"/>
      <c r="O40" s="1158"/>
      <c r="P40" s="570">
        <v>4</v>
      </c>
      <c r="Q40" s="1143"/>
      <c r="R40" s="1143"/>
      <c r="S40" s="1143"/>
      <c r="T40" s="1143"/>
      <c r="U40" s="1143"/>
      <c r="V40" s="1143"/>
      <c r="W40" s="1143"/>
      <c r="X40" s="1143"/>
      <c r="Y40" s="1168"/>
      <c r="Z40" s="1169"/>
      <c r="AA40" s="1169"/>
      <c r="AB40" s="1169"/>
      <c r="AC40" s="1169"/>
      <c r="AD40" s="1169"/>
      <c r="AE40" s="1169"/>
      <c r="AF40" s="1169"/>
      <c r="AG40" s="1169"/>
      <c r="AH40" s="1169"/>
      <c r="AI40" s="1169"/>
      <c r="AJ40" s="1169"/>
      <c r="AK40" s="1170"/>
      <c r="AL40" s="1172"/>
      <c r="AM40" s="1173"/>
      <c r="AN40" s="1173"/>
      <c r="AO40" s="1173"/>
      <c r="AP40" s="1173"/>
      <c r="AQ40" s="1173"/>
      <c r="AR40" s="1173"/>
      <c r="AS40" s="1173"/>
      <c r="AT40" s="1173"/>
      <c r="AU40" s="1173"/>
      <c r="AV40" s="1173"/>
      <c r="AW40" s="1177"/>
      <c r="BB40" s="592"/>
    </row>
    <row r="41" spans="1:54" ht="21" customHeight="1">
      <c r="A41" s="1156" t="s">
        <v>767</v>
      </c>
      <c r="B41" s="1157"/>
      <c r="C41" s="1157"/>
      <c r="D41" s="1157"/>
      <c r="E41" s="1157"/>
      <c r="F41" s="1157"/>
      <c r="G41" s="1157"/>
      <c r="H41" s="1157"/>
      <c r="I41" s="1157"/>
      <c r="J41" s="1157"/>
      <c r="K41" s="1157"/>
      <c r="L41" s="1157"/>
      <c r="M41" s="1157"/>
      <c r="N41" s="1157"/>
      <c r="O41" s="1158"/>
      <c r="P41" s="570">
        <v>5</v>
      </c>
      <c r="Q41" s="1143">
        <v>0</v>
      </c>
      <c r="R41" s="1143"/>
      <c r="S41" s="1143"/>
      <c r="T41" s="1143"/>
      <c r="U41" s="1143"/>
      <c r="V41" s="1143"/>
      <c r="W41" s="1143"/>
      <c r="X41" s="1143"/>
      <c r="Y41" s="1168"/>
      <c r="Z41" s="1169"/>
      <c r="AA41" s="1169"/>
      <c r="AB41" s="1169"/>
      <c r="AC41" s="1169"/>
      <c r="AD41" s="1169"/>
      <c r="AE41" s="1169"/>
      <c r="AF41" s="1169"/>
      <c r="AG41" s="1169"/>
      <c r="AH41" s="1169"/>
      <c r="AI41" s="1169"/>
      <c r="AJ41" s="1169"/>
      <c r="AK41" s="1170"/>
      <c r="AL41" s="1172"/>
      <c r="AM41" s="1173"/>
      <c r="AN41" s="1173"/>
      <c r="AO41" s="1173"/>
      <c r="AP41" s="1173"/>
      <c r="AQ41" s="1173"/>
      <c r="AR41" s="1173"/>
      <c r="AS41" s="1173"/>
      <c r="AT41" s="1173"/>
      <c r="AU41" s="1173"/>
      <c r="AV41" s="1173"/>
      <c r="AW41" s="1177"/>
    </row>
    <row r="42" spans="1:54" ht="27" customHeight="1">
      <c r="A42" s="1156" t="s">
        <v>768</v>
      </c>
      <c r="B42" s="1157"/>
      <c r="C42" s="1157"/>
      <c r="D42" s="1157"/>
      <c r="E42" s="1157"/>
      <c r="F42" s="1157"/>
      <c r="G42" s="1157"/>
      <c r="H42" s="1157"/>
      <c r="I42" s="1157"/>
      <c r="J42" s="1157"/>
      <c r="K42" s="1157"/>
      <c r="L42" s="1157"/>
      <c r="M42" s="1157"/>
      <c r="N42" s="1157"/>
      <c r="O42" s="1158"/>
      <c r="P42" s="1172"/>
      <c r="Q42" s="1173"/>
      <c r="R42" s="1173"/>
      <c r="S42" s="1173"/>
      <c r="T42" s="1173"/>
      <c r="U42" s="1173"/>
      <c r="V42" s="1173"/>
      <c r="W42" s="1173"/>
      <c r="X42" s="1174"/>
      <c r="Y42" s="1168"/>
      <c r="Z42" s="1169"/>
      <c r="AA42" s="1169"/>
      <c r="AB42" s="1169"/>
      <c r="AC42" s="1169"/>
      <c r="AD42" s="1169"/>
      <c r="AE42" s="1169"/>
      <c r="AF42" s="1169"/>
      <c r="AG42" s="1169"/>
      <c r="AH42" s="1169"/>
      <c r="AI42" s="1169"/>
      <c r="AJ42" s="1169"/>
      <c r="AK42" s="1170"/>
      <c r="AL42" s="1172"/>
      <c r="AM42" s="1173"/>
      <c r="AN42" s="1173"/>
      <c r="AO42" s="1173"/>
      <c r="AP42" s="1173"/>
      <c r="AQ42" s="1173"/>
      <c r="AR42" s="1173"/>
      <c r="AS42" s="1173"/>
      <c r="AT42" s="1173"/>
      <c r="AU42" s="1173"/>
      <c r="AV42" s="1173"/>
      <c r="AW42" s="1177"/>
    </row>
    <row r="43" spans="1:54" ht="21" customHeight="1">
      <c r="A43" s="1153" t="s">
        <v>769</v>
      </c>
      <c r="B43" s="1154"/>
      <c r="C43" s="1154"/>
      <c r="D43" s="1154"/>
      <c r="E43" s="1154"/>
      <c r="F43" s="1154"/>
      <c r="G43" s="1154"/>
      <c r="H43" s="1154"/>
      <c r="I43" s="1154"/>
      <c r="J43" s="1154"/>
      <c r="K43" s="1154"/>
      <c r="L43" s="1154"/>
      <c r="M43" s="1154"/>
      <c r="N43" s="1154"/>
      <c r="O43" s="1155"/>
      <c r="P43" s="1172"/>
      <c r="Q43" s="1173"/>
      <c r="R43" s="1173"/>
      <c r="S43" s="1173"/>
      <c r="T43" s="1173"/>
      <c r="U43" s="1173"/>
      <c r="V43" s="1173"/>
      <c r="W43" s="1173"/>
      <c r="X43" s="1174"/>
      <c r="Y43" s="571">
        <v>6</v>
      </c>
      <c r="Z43" s="1143"/>
      <c r="AA43" s="1143"/>
      <c r="AB43" s="1143"/>
      <c r="AC43" s="1143"/>
      <c r="AD43" s="1143"/>
      <c r="AE43" s="1143"/>
      <c r="AF43" s="1143"/>
      <c r="AG43" s="1143"/>
      <c r="AH43" s="1143"/>
      <c r="AI43" s="1143"/>
      <c r="AJ43" s="1143"/>
      <c r="AK43" s="1143"/>
      <c r="AL43" s="1172"/>
      <c r="AM43" s="1173"/>
      <c r="AN43" s="1173"/>
      <c r="AO43" s="1173"/>
      <c r="AP43" s="1173"/>
      <c r="AQ43" s="1173"/>
      <c r="AR43" s="1173"/>
      <c r="AS43" s="1173"/>
      <c r="AT43" s="1173"/>
      <c r="AU43" s="1173"/>
      <c r="AV43" s="1173"/>
      <c r="AW43" s="1177"/>
    </row>
    <row r="44" spans="1:54" ht="21" customHeight="1">
      <c r="A44" s="1153" t="s">
        <v>770</v>
      </c>
      <c r="B44" s="1154"/>
      <c r="C44" s="1154"/>
      <c r="D44" s="1154"/>
      <c r="E44" s="1154"/>
      <c r="F44" s="1154"/>
      <c r="G44" s="1154"/>
      <c r="H44" s="1154"/>
      <c r="I44" s="1154"/>
      <c r="J44" s="1154"/>
      <c r="K44" s="1154"/>
      <c r="L44" s="1154"/>
      <c r="M44" s="1154"/>
      <c r="N44" s="1154"/>
      <c r="O44" s="1155"/>
      <c r="P44" s="1172"/>
      <c r="Q44" s="1173"/>
      <c r="R44" s="1173"/>
      <c r="S44" s="1173"/>
      <c r="T44" s="1173"/>
      <c r="U44" s="1173"/>
      <c r="V44" s="1173"/>
      <c r="W44" s="1173"/>
      <c r="X44" s="1174"/>
      <c r="Y44" s="571">
        <v>7</v>
      </c>
      <c r="Z44" s="1143"/>
      <c r="AA44" s="1143"/>
      <c r="AB44" s="1143"/>
      <c r="AC44" s="1143"/>
      <c r="AD44" s="1143"/>
      <c r="AE44" s="1143"/>
      <c r="AF44" s="1143"/>
      <c r="AG44" s="1143"/>
      <c r="AH44" s="1143"/>
      <c r="AI44" s="1143"/>
      <c r="AJ44" s="1143"/>
      <c r="AK44" s="1143"/>
      <c r="AL44" s="1172"/>
      <c r="AM44" s="1173"/>
      <c r="AN44" s="1173"/>
      <c r="AO44" s="1173"/>
      <c r="AP44" s="1173"/>
      <c r="AQ44" s="1173"/>
      <c r="AR44" s="1173"/>
      <c r="AS44" s="1173"/>
      <c r="AT44" s="1173"/>
      <c r="AU44" s="1173"/>
      <c r="AV44" s="1173"/>
      <c r="AW44" s="1177"/>
    </row>
    <row r="45" spans="1:54" ht="21" customHeight="1">
      <c r="A45" s="1153" t="s">
        <v>771</v>
      </c>
      <c r="B45" s="1154"/>
      <c r="C45" s="1154"/>
      <c r="D45" s="1154"/>
      <c r="E45" s="1154"/>
      <c r="F45" s="1154"/>
      <c r="G45" s="1154"/>
      <c r="H45" s="1154"/>
      <c r="I45" s="1154"/>
      <c r="J45" s="1154"/>
      <c r="K45" s="1154"/>
      <c r="L45" s="1154"/>
      <c r="M45" s="1154"/>
      <c r="N45" s="1154"/>
      <c r="O45" s="1155"/>
      <c r="P45" s="1172"/>
      <c r="Q45" s="1173"/>
      <c r="R45" s="1173"/>
      <c r="S45" s="1173"/>
      <c r="T45" s="1173"/>
      <c r="U45" s="1173"/>
      <c r="V45" s="1173"/>
      <c r="W45" s="1173"/>
      <c r="X45" s="1174"/>
      <c r="Y45" s="571">
        <v>8</v>
      </c>
      <c r="Z45" s="1143"/>
      <c r="AA45" s="1143"/>
      <c r="AB45" s="1143"/>
      <c r="AC45" s="1143"/>
      <c r="AD45" s="1143"/>
      <c r="AE45" s="1143"/>
      <c r="AF45" s="1143"/>
      <c r="AG45" s="1143"/>
      <c r="AH45" s="1143"/>
      <c r="AI45" s="1143"/>
      <c r="AJ45" s="1143"/>
      <c r="AK45" s="1143"/>
      <c r="AL45" s="1172"/>
      <c r="AM45" s="1173"/>
      <c r="AN45" s="1173"/>
      <c r="AO45" s="1173"/>
      <c r="AP45" s="1173"/>
      <c r="AQ45" s="1173"/>
      <c r="AR45" s="1173"/>
      <c r="AS45" s="1173"/>
      <c r="AT45" s="1173"/>
      <c r="AU45" s="1173"/>
      <c r="AV45" s="1173"/>
      <c r="AW45" s="1177"/>
    </row>
    <row r="46" spans="1:54" ht="21" customHeight="1">
      <c r="A46" s="1156" t="s">
        <v>772</v>
      </c>
      <c r="B46" s="1157"/>
      <c r="C46" s="1157"/>
      <c r="D46" s="1157"/>
      <c r="E46" s="1157"/>
      <c r="F46" s="1157"/>
      <c r="G46" s="1157"/>
      <c r="H46" s="1157"/>
      <c r="I46" s="1157"/>
      <c r="J46" s="1157"/>
      <c r="K46" s="1157"/>
      <c r="L46" s="1157"/>
      <c r="M46" s="1157"/>
      <c r="N46" s="1157"/>
      <c r="O46" s="1158"/>
      <c r="P46" s="1172"/>
      <c r="Q46" s="1173"/>
      <c r="R46" s="1173"/>
      <c r="S46" s="1173"/>
      <c r="T46" s="1173"/>
      <c r="U46" s="1173"/>
      <c r="V46" s="1173"/>
      <c r="W46" s="1173"/>
      <c r="X46" s="1174"/>
      <c r="Y46" s="571">
        <v>9</v>
      </c>
      <c r="Z46" s="1143">
        <v>0</v>
      </c>
      <c r="AA46" s="1143"/>
      <c r="AB46" s="1143"/>
      <c r="AC46" s="1143"/>
      <c r="AD46" s="1143"/>
      <c r="AE46" s="1143"/>
      <c r="AF46" s="1143"/>
      <c r="AG46" s="1143"/>
      <c r="AH46" s="1143"/>
      <c r="AI46" s="1143"/>
      <c r="AJ46" s="1143"/>
      <c r="AK46" s="1143"/>
      <c r="AL46" s="1172"/>
      <c r="AM46" s="1173"/>
      <c r="AN46" s="1173"/>
      <c r="AO46" s="1173"/>
      <c r="AP46" s="1173"/>
      <c r="AQ46" s="1173"/>
      <c r="AR46" s="1173"/>
      <c r="AS46" s="1173"/>
      <c r="AT46" s="1173"/>
      <c r="AU46" s="1173"/>
      <c r="AV46" s="1173"/>
      <c r="AW46" s="1177"/>
    </row>
    <row r="47" spans="1:54" ht="21" customHeight="1">
      <c r="A47" s="1156" t="s">
        <v>773</v>
      </c>
      <c r="B47" s="1157"/>
      <c r="C47" s="1157"/>
      <c r="D47" s="1157"/>
      <c r="E47" s="1157"/>
      <c r="F47" s="1157"/>
      <c r="G47" s="1157"/>
      <c r="H47" s="1157"/>
      <c r="I47" s="1157"/>
      <c r="J47" s="1157"/>
      <c r="K47" s="1157"/>
      <c r="L47" s="1157"/>
      <c r="M47" s="1157"/>
      <c r="N47" s="1157"/>
      <c r="O47" s="1158"/>
      <c r="P47" s="1172"/>
      <c r="Q47" s="1173"/>
      <c r="R47" s="1173"/>
      <c r="S47" s="1173"/>
      <c r="T47" s="1173"/>
      <c r="U47" s="1173"/>
      <c r="V47" s="1173"/>
      <c r="W47" s="1173"/>
      <c r="X47" s="1174"/>
      <c r="Y47" s="571">
        <v>10</v>
      </c>
      <c r="Z47" s="1143">
        <f>AN39</f>
        <v>0</v>
      </c>
      <c r="AA47" s="1143"/>
      <c r="AB47" s="1143"/>
      <c r="AC47" s="1143"/>
      <c r="AD47" s="1143"/>
      <c r="AE47" s="1143"/>
      <c r="AF47" s="1143"/>
      <c r="AG47" s="1143"/>
      <c r="AH47" s="1143"/>
      <c r="AI47" s="1143"/>
      <c r="AJ47" s="1143"/>
      <c r="AK47" s="1143"/>
      <c r="AL47" s="1172"/>
      <c r="AM47" s="1173"/>
      <c r="AN47" s="1173"/>
      <c r="AO47" s="1173"/>
      <c r="AP47" s="1173"/>
      <c r="AQ47" s="1173"/>
      <c r="AR47" s="1173"/>
      <c r="AS47" s="1173"/>
      <c r="AT47" s="1173"/>
      <c r="AU47" s="1173"/>
      <c r="AV47" s="1173"/>
      <c r="AW47" s="1177"/>
    </row>
    <row r="48" spans="1:54" ht="21" customHeight="1">
      <c r="A48" s="1156" t="s">
        <v>774</v>
      </c>
      <c r="B48" s="1157"/>
      <c r="C48" s="1157"/>
      <c r="D48" s="1157"/>
      <c r="E48" s="1157"/>
      <c r="F48" s="1157"/>
      <c r="G48" s="1157"/>
      <c r="H48" s="1157"/>
      <c r="I48" s="1157"/>
      <c r="J48" s="1157"/>
      <c r="K48" s="1157"/>
      <c r="L48" s="1157"/>
      <c r="M48" s="1157"/>
      <c r="N48" s="1157"/>
      <c r="O48" s="1158"/>
      <c r="P48" s="1172"/>
      <c r="Q48" s="1173"/>
      <c r="R48" s="1173"/>
      <c r="S48" s="1173"/>
      <c r="T48" s="1173"/>
      <c r="U48" s="1173"/>
      <c r="V48" s="1173"/>
      <c r="W48" s="1173"/>
      <c r="X48" s="1174"/>
      <c r="Y48" s="572">
        <v>11</v>
      </c>
      <c r="Z48" s="1143">
        <v>0</v>
      </c>
      <c r="AA48" s="1143"/>
      <c r="AB48" s="1143"/>
      <c r="AC48" s="1143"/>
      <c r="AD48" s="1143"/>
      <c r="AE48" s="1143"/>
      <c r="AF48" s="1143"/>
      <c r="AG48" s="1143"/>
      <c r="AH48" s="1143"/>
      <c r="AI48" s="1143"/>
      <c r="AJ48" s="1143"/>
      <c r="AK48" s="1143"/>
      <c r="AL48" s="1144">
        <v>12</v>
      </c>
      <c r="AM48" s="1145"/>
      <c r="AN48" s="1143">
        <v>0</v>
      </c>
      <c r="AO48" s="1143"/>
      <c r="AP48" s="1143"/>
      <c r="AQ48" s="1143"/>
      <c r="AR48" s="1143"/>
      <c r="AS48" s="1143"/>
      <c r="AT48" s="1143"/>
      <c r="AU48" s="1143"/>
      <c r="AV48" s="1143"/>
      <c r="AW48" s="1146"/>
    </row>
    <row r="49" spans="1:54" ht="21" customHeight="1">
      <c r="A49" s="1140" t="s">
        <v>775</v>
      </c>
      <c r="B49" s="1141"/>
      <c r="C49" s="1141"/>
      <c r="D49" s="1141"/>
      <c r="E49" s="1141"/>
      <c r="F49" s="1141"/>
      <c r="G49" s="1141"/>
      <c r="H49" s="1141"/>
      <c r="I49" s="1141"/>
      <c r="J49" s="1141"/>
      <c r="K49" s="1141"/>
      <c r="L49" s="1141"/>
      <c r="M49" s="1141"/>
      <c r="N49" s="1141"/>
      <c r="O49" s="1142"/>
      <c r="P49" s="1172"/>
      <c r="Q49" s="1173"/>
      <c r="R49" s="1173"/>
      <c r="S49" s="1173"/>
      <c r="T49" s="1173"/>
      <c r="U49" s="1173"/>
      <c r="V49" s="1173"/>
      <c r="W49" s="1173"/>
      <c r="X49" s="1174"/>
      <c r="Y49" s="573">
        <v>13</v>
      </c>
      <c r="Z49" s="1143"/>
      <c r="AA49" s="1143"/>
      <c r="AB49" s="1143"/>
      <c r="AC49" s="1143"/>
      <c r="AD49" s="1143"/>
      <c r="AE49" s="1143"/>
      <c r="AF49" s="1143"/>
      <c r="AG49" s="1143"/>
      <c r="AH49" s="1143"/>
      <c r="AI49" s="1143"/>
      <c r="AJ49" s="1143"/>
      <c r="AK49" s="1143"/>
      <c r="AL49" s="1144">
        <v>14</v>
      </c>
      <c r="AM49" s="1145"/>
      <c r="AN49" s="1143">
        <v>0</v>
      </c>
      <c r="AO49" s="1143"/>
      <c r="AP49" s="1143"/>
      <c r="AQ49" s="1143"/>
      <c r="AR49" s="1143"/>
      <c r="AS49" s="1143"/>
      <c r="AT49" s="1143"/>
      <c r="AU49" s="1143"/>
      <c r="AV49" s="1143"/>
      <c r="AW49" s="1146"/>
    </row>
    <row r="50" spans="1:54" ht="18" customHeight="1">
      <c r="A50" s="1147" t="s">
        <v>776</v>
      </c>
      <c r="B50" s="1148"/>
      <c r="C50" s="1148"/>
      <c r="D50" s="1148"/>
      <c r="E50" s="1148"/>
      <c r="F50" s="1148"/>
      <c r="G50" s="1149"/>
      <c r="H50" s="1099"/>
      <c r="I50" s="1076"/>
      <c r="J50" s="1076"/>
      <c r="K50" s="1076"/>
      <c r="L50" s="1076"/>
      <c r="M50" s="1076"/>
      <c r="N50" s="1076"/>
      <c r="O50" s="1076"/>
      <c r="P50" s="574">
        <v>15</v>
      </c>
      <c r="Q50" s="1150">
        <f>Q37+Q40+Q41</f>
        <v>50291174.713043481</v>
      </c>
      <c r="R50" s="1150"/>
      <c r="S50" s="1150"/>
      <c r="T50" s="1150"/>
      <c r="U50" s="1150"/>
      <c r="V50" s="1150"/>
      <c r="W50" s="1150"/>
      <c r="X50" s="1150"/>
      <c r="Y50" s="573">
        <v>16</v>
      </c>
      <c r="Z50" s="1151">
        <f>Z43+Z44+Z45+Z46+Z47+Z48+Z49</f>
        <v>0</v>
      </c>
      <c r="AA50" s="1151"/>
      <c r="AB50" s="1151"/>
      <c r="AC50" s="1151"/>
      <c r="AD50" s="1151"/>
      <c r="AE50" s="1151"/>
      <c r="AF50" s="1151"/>
      <c r="AG50" s="1151"/>
      <c r="AH50" s="1151"/>
      <c r="AI50" s="1151"/>
      <c r="AJ50" s="1151"/>
      <c r="AK50" s="1151"/>
      <c r="AL50" s="1144">
        <v>17</v>
      </c>
      <c r="AM50" s="1145"/>
      <c r="AN50" s="1151">
        <f>AN38+AN39+AN48+AN49</f>
        <v>7543676.2069565216</v>
      </c>
      <c r="AO50" s="1151"/>
      <c r="AP50" s="1151"/>
      <c r="AQ50" s="1151"/>
      <c r="AR50" s="1151"/>
      <c r="AS50" s="1151"/>
      <c r="AT50" s="1151"/>
      <c r="AU50" s="1151"/>
      <c r="AV50" s="1151"/>
      <c r="AW50" s="1152"/>
    </row>
    <row r="51" spans="1:54" ht="13.5" customHeight="1">
      <c r="A51" s="1126" t="s">
        <v>777</v>
      </c>
      <c r="B51" s="1127"/>
      <c r="C51" s="1127"/>
      <c r="D51" s="1127"/>
      <c r="E51" s="1127"/>
      <c r="F51" s="1127"/>
      <c r="G51" s="1128"/>
      <c r="H51" s="748" t="s">
        <v>778</v>
      </c>
      <c r="I51" s="1129"/>
      <c r="J51" s="1129"/>
      <c r="K51" s="1129"/>
      <c r="L51" s="1129"/>
      <c r="M51" s="1129"/>
      <c r="N51" s="1129"/>
      <c r="O51" s="1129"/>
      <c r="P51" s="1129"/>
      <c r="Q51" s="1129"/>
      <c r="R51" s="1129"/>
      <c r="S51" s="1129"/>
      <c r="T51" s="1129"/>
      <c r="U51" s="1129"/>
      <c r="V51" s="1129"/>
      <c r="W51" s="1129"/>
      <c r="X51" s="752"/>
      <c r="Y51" s="1130" t="s">
        <v>779</v>
      </c>
      <c r="Z51" s="1092"/>
      <c r="AA51" s="1092"/>
      <c r="AB51" s="1092"/>
      <c r="AC51" s="1092"/>
      <c r="AD51" s="1092"/>
      <c r="AE51" s="1092"/>
      <c r="AF51" s="1092"/>
      <c r="AG51" s="1092"/>
      <c r="AH51" s="1092"/>
      <c r="AI51" s="1092"/>
      <c r="AJ51" s="1092"/>
      <c r="AK51" s="1131"/>
      <c r="AL51" s="1130" t="s">
        <v>780</v>
      </c>
      <c r="AM51" s="1092"/>
      <c r="AN51" s="1092"/>
      <c r="AO51" s="1092"/>
      <c r="AP51" s="1092"/>
      <c r="AQ51" s="1092"/>
      <c r="AR51" s="1092"/>
      <c r="AS51" s="1092"/>
      <c r="AT51" s="1092"/>
      <c r="AU51" s="1092"/>
      <c r="AV51" s="1092"/>
      <c r="AW51" s="1093"/>
    </row>
    <row r="52" spans="1:54" ht="21" customHeight="1">
      <c r="A52" s="1126"/>
      <c r="B52" s="1127"/>
      <c r="C52" s="1127"/>
      <c r="D52" s="1127"/>
      <c r="E52" s="1127"/>
      <c r="F52" s="1127"/>
      <c r="G52" s="1128"/>
      <c r="H52" s="1132" t="s">
        <v>781</v>
      </c>
      <c r="I52" s="1133"/>
      <c r="J52" s="1133"/>
      <c r="K52" s="1133"/>
      <c r="L52" s="1133"/>
      <c r="M52" s="1133"/>
      <c r="N52" s="1133"/>
      <c r="O52" s="1133"/>
      <c r="P52" s="1133"/>
      <c r="Q52" s="1133"/>
      <c r="R52" s="1133"/>
      <c r="S52" s="1133"/>
      <c r="T52" s="1133"/>
      <c r="U52" s="1133"/>
      <c r="V52" s="1133"/>
      <c r="W52" s="1133"/>
      <c r="X52" s="1133"/>
      <c r="Y52" s="1133"/>
      <c r="Z52" s="1133"/>
      <c r="AA52" s="1133"/>
      <c r="AB52" s="1133"/>
      <c r="AC52" s="1133"/>
      <c r="AD52" s="1133"/>
      <c r="AE52" s="1133"/>
      <c r="AF52" s="1133"/>
      <c r="AG52" s="1133"/>
      <c r="AH52" s="1133"/>
      <c r="AI52" s="1133"/>
      <c r="AJ52" s="1133"/>
      <c r="AK52" s="1134"/>
      <c r="AL52" s="1135">
        <v>18</v>
      </c>
      <c r="AM52" s="1136"/>
      <c r="AN52" s="972">
        <v>0</v>
      </c>
      <c r="AO52" s="972"/>
      <c r="AP52" s="972"/>
      <c r="AQ52" s="973"/>
      <c r="AR52" s="971" t="s">
        <v>782</v>
      </c>
      <c r="AS52" s="972"/>
      <c r="AT52" s="973"/>
      <c r="AU52" s="1137"/>
      <c r="AV52" s="1138"/>
      <c r="AW52" s="1139"/>
    </row>
    <row r="53" spans="1:54">
      <c r="A53" s="1109" t="s">
        <v>783</v>
      </c>
      <c r="B53" s="1110"/>
      <c r="C53" s="1110"/>
      <c r="D53" s="1110"/>
      <c r="E53" s="1110"/>
      <c r="F53" s="1110"/>
      <c r="G53" s="1110"/>
      <c r="H53" s="1110"/>
      <c r="I53" s="1110"/>
      <c r="J53" s="1110"/>
      <c r="K53" s="1110"/>
      <c r="L53" s="1110"/>
      <c r="M53" s="1110"/>
      <c r="N53" s="1110"/>
      <c r="O53" s="1110"/>
      <c r="P53" s="1110"/>
      <c r="Q53" s="1110"/>
      <c r="R53" s="1110"/>
      <c r="S53" s="1110"/>
      <c r="T53" s="1110"/>
      <c r="U53" s="1110"/>
      <c r="V53" s="1110"/>
      <c r="W53" s="1110"/>
      <c r="X53" s="1110"/>
      <c r="Y53" s="1110"/>
      <c r="Z53" s="1110"/>
      <c r="AA53" s="1110"/>
      <c r="AB53" s="1110"/>
      <c r="AC53" s="1110"/>
      <c r="AD53" s="1110"/>
      <c r="AE53" s="1110"/>
      <c r="AF53" s="1110"/>
      <c r="AG53" s="1110"/>
      <c r="AH53" s="1110"/>
      <c r="AI53" s="1110"/>
      <c r="AJ53" s="1110"/>
      <c r="AK53" s="1110"/>
      <c r="AL53" s="1110"/>
      <c r="AM53" s="1110"/>
      <c r="AN53" s="1110"/>
      <c r="AO53" s="1110"/>
      <c r="AP53" s="1110"/>
      <c r="AQ53" s="1110"/>
      <c r="AR53" s="1110"/>
      <c r="AS53" s="1110"/>
      <c r="AT53" s="1110"/>
      <c r="AU53" s="1110"/>
      <c r="AV53" s="1110"/>
      <c r="AW53" s="1111"/>
      <c r="BA53" s="568"/>
      <c r="BB53" s="568"/>
    </row>
    <row r="54" spans="1:54" ht="18" customHeight="1" thickBot="1">
      <c r="A54" s="1112" t="s">
        <v>784</v>
      </c>
      <c r="B54" s="1113"/>
      <c r="C54" s="1113"/>
      <c r="D54" s="1113"/>
      <c r="E54" s="1113"/>
      <c r="F54" s="1113"/>
      <c r="G54" s="1113"/>
      <c r="H54" s="1113"/>
      <c r="I54" s="1113"/>
      <c r="J54" s="1113"/>
      <c r="K54" s="1113"/>
      <c r="L54" s="1113"/>
      <c r="M54" s="1113"/>
      <c r="N54" s="1113"/>
      <c r="O54" s="575">
        <v>19</v>
      </c>
      <c r="P54" s="1114"/>
      <c r="Q54" s="1115"/>
      <c r="R54" s="1115"/>
      <c r="S54" s="1115"/>
      <c r="T54" s="1115"/>
      <c r="U54" s="1115"/>
      <c r="V54" s="1116"/>
      <c r="W54" s="1117"/>
      <c r="X54" s="1118"/>
      <c r="Y54" s="1118"/>
      <c r="Z54" s="1118"/>
      <c r="AA54" s="1118"/>
      <c r="AB54" s="1118"/>
      <c r="AC54" s="1118"/>
      <c r="AD54" s="1118"/>
      <c r="AE54" s="1118"/>
      <c r="AF54" s="1118"/>
      <c r="AG54" s="1118"/>
      <c r="AH54" s="1118"/>
      <c r="AI54" s="1118"/>
      <c r="AJ54" s="1118"/>
      <c r="AK54" s="1118"/>
      <c r="AL54" s="1118"/>
      <c r="AM54" s="1118"/>
      <c r="AN54" s="1118"/>
      <c r="AO54" s="1118"/>
      <c r="AP54" s="1118"/>
      <c r="AQ54" s="1118"/>
      <c r="AR54" s="1118"/>
      <c r="AS54" s="1118"/>
      <c r="AT54" s="1118"/>
      <c r="AU54" s="1118"/>
      <c r="AV54" s="1118"/>
      <c r="AW54" s="1119"/>
    </row>
    <row r="55" spans="1:54" ht="18" customHeight="1" thickBot="1">
      <c r="A55" s="1120"/>
      <c r="B55" s="1121"/>
      <c r="C55" s="1121"/>
      <c r="D55" s="1121"/>
      <c r="E55" s="1121"/>
      <c r="F55" s="1121"/>
      <c r="G55" s="1121"/>
      <c r="H55" s="1121"/>
      <c r="I55" s="1121"/>
      <c r="J55" s="1121"/>
      <c r="K55" s="1121"/>
      <c r="L55" s="1121"/>
      <c r="M55" s="1121"/>
      <c r="N55" s="1121"/>
      <c r="O55" s="1121"/>
      <c r="P55" s="1121"/>
      <c r="Q55" s="1121"/>
      <c r="R55" s="1121"/>
      <c r="S55" s="1121"/>
      <c r="T55" s="1121"/>
      <c r="U55" s="1121"/>
      <c r="V55" s="1121"/>
      <c r="W55" s="1121"/>
      <c r="X55" s="1121"/>
      <c r="Y55" s="1121"/>
      <c r="Z55" s="1121"/>
      <c r="AA55" s="1121"/>
      <c r="AB55" s="1121"/>
      <c r="AC55" s="1121"/>
      <c r="AD55" s="1121"/>
      <c r="AE55" s="1121"/>
      <c r="AF55" s="1121"/>
      <c r="AG55" s="1121"/>
      <c r="AH55" s="1121"/>
      <c r="AI55" s="1121"/>
      <c r="AJ55" s="1121"/>
      <c r="AK55" s="1121"/>
      <c r="AL55" s="1121"/>
      <c r="AM55" s="1121"/>
      <c r="AN55" s="1121"/>
      <c r="AO55" s="1121"/>
      <c r="AP55" s="1121"/>
      <c r="AQ55" s="1121"/>
      <c r="AR55" s="1121"/>
      <c r="AS55" s="1121"/>
      <c r="AT55" s="1121"/>
      <c r="AU55" s="1121"/>
      <c r="AV55" s="1121"/>
      <c r="AW55" s="1122"/>
    </row>
    <row r="56" spans="1:54" ht="18" customHeight="1">
      <c r="A56" s="576" t="s">
        <v>785</v>
      </c>
      <c r="B56" s="1123" t="s">
        <v>786</v>
      </c>
      <c r="C56" s="1124"/>
      <c r="D56" s="1124"/>
      <c r="E56" s="1124"/>
      <c r="F56" s="1124"/>
      <c r="G56" s="1124"/>
      <c r="H56" s="1124"/>
      <c r="I56" s="1124"/>
      <c r="J56" s="1124"/>
      <c r="K56" s="1124"/>
      <c r="L56" s="1124"/>
      <c r="M56" s="1124"/>
      <c r="N56" s="1124"/>
      <c r="O56" s="1124"/>
      <c r="P56" s="1124"/>
      <c r="Q56" s="1124"/>
      <c r="R56" s="1124"/>
      <c r="S56" s="1124"/>
      <c r="T56" s="1124"/>
      <c r="U56" s="1124"/>
      <c r="V56" s="1124"/>
      <c r="W56" s="1124"/>
      <c r="X56" s="1124"/>
      <c r="Y56" s="1124"/>
      <c r="Z56" s="1124"/>
      <c r="AA56" s="1124"/>
      <c r="AB56" s="1124"/>
      <c r="AC56" s="1124"/>
      <c r="AD56" s="1124"/>
      <c r="AE56" s="1124"/>
      <c r="AF56" s="1124"/>
      <c r="AG56" s="1124"/>
      <c r="AH56" s="1124"/>
      <c r="AI56" s="1124"/>
      <c r="AJ56" s="1124"/>
      <c r="AK56" s="1124"/>
      <c r="AL56" s="1124"/>
      <c r="AM56" s="1124"/>
      <c r="AN56" s="1124"/>
      <c r="AO56" s="1124"/>
      <c r="AP56" s="1124"/>
      <c r="AQ56" s="1124"/>
      <c r="AR56" s="1124"/>
      <c r="AS56" s="1124"/>
      <c r="AT56" s="1124"/>
      <c r="AU56" s="1124"/>
      <c r="AV56" s="1124"/>
      <c r="AW56" s="1125"/>
    </row>
    <row r="57" spans="1:54" ht="6" customHeight="1">
      <c r="A57" s="1102"/>
      <c r="B57" s="1103"/>
      <c r="C57" s="1103"/>
      <c r="D57" s="1103"/>
      <c r="E57" s="1103"/>
      <c r="F57" s="1103"/>
      <c r="G57" s="1103"/>
      <c r="H57" s="1103"/>
      <c r="I57" s="1103"/>
      <c r="J57" s="1103"/>
      <c r="K57" s="1103"/>
      <c r="L57" s="1103"/>
      <c r="M57" s="1103"/>
      <c r="N57" s="1103"/>
      <c r="O57" s="1103"/>
      <c r="P57" s="1103"/>
      <c r="Q57" s="1103"/>
      <c r="R57" s="1103"/>
      <c r="S57" s="1103"/>
      <c r="T57" s="1103"/>
      <c r="U57" s="1103"/>
      <c r="V57" s="1103"/>
      <c r="W57" s="1103"/>
      <c r="X57" s="1103"/>
      <c r="Y57" s="1103"/>
      <c r="Z57" s="1103"/>
      <c r="AA57" s="1103"/>
      <c r="AB57" s="1103"/>
      <c r="AC57" s="1103"/>
      <c r="AD57" s="1103"/>
      <c r="AE57" s="1103"/>
      <c r="AF57" s="1103"/>
      <c r="AG57" s="1103"/>
      <c r="AH57" s="1103"/>
      <c r="AI57" s="1103"/>
      <c r="AJ57" s="1103"/>
      <c r="AK57" s="1103"/>
      <c r="AL57" s="1103"/>
      <c r="AM57" s="1103"/>
      <c r="AN57" s="1103"/>
      <c r="AO57" s="1103"/>
      <c r="AP57" s="1103"/>
      <c r="AQ57" s="1103"/>
      <c r="AR57" s="1103"/>
      <c r="AS57" s="1103"/>
      <c r="AT57" s="1103"/>
      <c r="AU57" s="1103"/>
      <c r="AV57" s="1103"/>
      <c r="AW57" s="1104"/>
    </row>
    <row r="58" spans="1:54" ht="15" customHeight="1">
      <c r="A58" s="1087" t="s">
        <v>787</v>
      </c>
      <c r="B58" s="1088"/>
      <c r="C58" s="1088"/>
      <c r="D58" s="1088"/>
      <c r="E58" s="1088"/>
      <c r="F58" s="1088"/>
      <c r="G58" s="1088"/>
      <c r="H58" s="1088"/>
      <c r="I58" s="1088"/>
      <c r="J58" s="1105" t="s">
        <v>841</v>
      </c>
      <c r="K58" s="1105"/>
      <c r="L58" s="1105"/>
      <c r="M58" s="1105"/>
      <c r="N58" s="1105"/>
      <c r="O58" s="1105"/>
      <c r="P58" s="1105"/>
      <c r="Q58" s="1105"/>
      <c r="R58" s="1105"/>
      <c r="S58" s="1105"/>
      <c r="T58" s="1105"/>
      <c r="U58" s="1105"/>
      <c r="V58" s="1105"/>
      <c r="W58" s="1105"/>
      <c r="X58" s="1105"/>
      <c r="Y58" s="1105"/>
      <c r="Z58" s="1105"/>
      <c r="AA58" s="1105"/>
      <c r="AB58" s="1105"/>
      <c r="AC58" s="1105"/>
      <c r="AD58" s="1105"/>
      <c r="AE58" s="1105"/>
      <c r="AF58" s="1105"/>
      <c r="AG58" s="1105"/>
      <c r="AH58" s="1105"/>
      <c r="AI58" s="1105"/>
      <c r="AJ58" s="1105"/>
      <c r="AK58" s="1105"/>
      <c r="AL58" s="1105"/>
      <c r="AM58" s="1105"/>
      <c r="AN58" s="1105"/>
      <c r="AO58" s="1105"/>
      <c r="AP58" s="1105"/>
      <c r="AQ58" s="1105"/>
      <c r="AR58" s="1105"/>
      <c r="AS58" s="1105"/>
      <c r="AT58" s="1105"/>
      <c r="AU58" s="1105"/>
      <c r="AV58" s="1105"/>
      <c r="AW58" s="563"/>
    </row>
    <row r="59" spans="1:54" ht="3" customHeight="1">
      <c r="A59" s="1087"/>
      <c r="B59" s="1088"/>
      <c r="C59" s="1088"/>
      <c r="D59" s="1088"/>
      <c r="E59" s="1088"/>
      <c r="F59" s="1088"/>
      <c r="G59" s="1088"/>
      <c r="H59" s="1088"/>
      <c r="I59" s="1088"/>
      <c r="J59" s="1088"/>
      <c r="K59" s="1088"/>
      <c r="L59" s="1088"/>
      <c r="M59" s="1088"/>
      <c r="N59" s="1088"/>
      <c r="O59" s="1088"/>
      <c r="P59" s="1088"/>
      <c r="Q59" s="1088"/>
      <c r="R59" s="1088"/>
      <c r="S59" s="1088"/>
      <c r="T59" s="1088"/>
      <c r="U59" s="1088"/>
      <c r="V59" s="1088"/>
      <c r="W59" s="1088"/>
      <c r="X59" s="1088"/>
      <c r="Y59" s="1088"/>
      <c r="Z59" s="1088"/>
      <c r="AA59" s="1088"/>
      <c r="AB59" s="1088"/>
      <c r="AC59" s="1088"/>
      <c r="AD59" s="1088"/>
      <c r="AE59" s="1088"/>
      <c r="AF59" s="1088"/>
      <c r="AG59" s="1088"/>
      <c r="AH59" s="1088"/>
      <c r="AI59" s="1088"/>
      <c r="AJ59" s="1088"/>
      <c r="AK59" s="1088"/>
      <c r="AL59" s="1088"/>
      <c r="AM59" s="1088"/>
      <c r="AN59" s="1088"/>
      <c r="AO59" s="1088"/>
      <c r="AP59" s="1088"/>
      <c r="AQ59" s="1088"/>
      <c r="AR59" s="1088"/>
      <c r="AS59" s="1088"/>
      <c r="AT59" s="1088"/>
      <c r="AU59" s="1088"/>
      <c r="AV59" s="1088"/>
      <c r="AW59" s="1106"/>
    </row>
    <row r="60" spans="1:54" ht="18" customHeight="1">
      <c r="A60" s="1087" t="s">
        <v>788</v>
      </c>
      <c r="B60" s="1088"/>
      <c r="C60" s="1088"/>
      <c r="D60" s="1088"/>
      <c r="E60" s="1088"/>
      <c r="F60" s="1088"/>
      <c r="G60" s="1088"/>
      <c r="H60" s="1088"/>
      <c r="I60" s="1088"/>
      <c r="J60" s="1107">
        <v>31</v>
      </c>
      <c r="K60" s="1107"/>
      <c r="L60" s="1107"/>
      <c r="M60" s="1107" t="str">
        <f>E18</f>
        <v>Dezenbro</v>
      </c>
      <c r="N60" s="1107"/>
      <c r="O60" s="1107"/>
      <c r="P60" s="1107"/>
      <c r="Q60" s="1107"/>
      <c r="R60" s="1107"/>
      <c r="S60" s="1107"/>
      <c r="T60" s="1107"/>
      <c r="U60" s="1107">
        <v>2012</v>
      </c>
      <c r="V60" s="1107"/>
      <c r="W60" s="1107"/>
      <c r="X60" s="1107"/>
      <c r="Y60" s="1076"/>
      <c r="Z60" s="1076"/>
      <c r="AA60" s="1076"/>
      <c r="AB60" s="1076"/>
      <c r="AC60" s="1076"/>
      <c r="AD60" s="1076"/>
      <c r="AE60" s="1076"/>
      <c r="AF60" s="1076"/>
      <c r="AG60" s="1076"/>
      <c r="AH60" s="1076"/>
      <c r="AI60" s="1076"/>
      <c r="AJ60" s="1076"/>
      <c r="AK60" s="1076"/>
      <c r="AL60" s="1076"/>
      <c r="AM60" s="1076"/>
      <c r="AN60" s="1076"/>
      <c r="AO60" s="1076"/>
      <c r="AP60" s="1076"/>
      <c r="AQ60" s="1076"/>
      <c r="AR60" s="1076"/>
      <c r="AS60" s="1076"/>
      <c r="AT60" s="1076"/>
      <c r="AU60" s="1076"/>
      <c r="AV60" s="1076"/>
      <c r="AW60" s="1108"/>
    </row>
    <row r="61" spans="1:54" ht="3" customHeight="1">
      <c r="A61" s="1087"/>
      <c r="B61" s="1094"/>
      <c r="C61" s="1094"/>
      <c r="D61" s="1094"/>
      <c r="E61" s="1094"/>
      <c r="F61" s="1094"/>
      <c r="G61" s="1094"/>
      <c r="H61" s="1094"/>
      <c r="I61" s="1094"/>
      <c r="J61" s="1094"/>
      <c r="K61" s="1094"/>
      <c r="L61" s="1094"/>
      <c r="M61" s="1094"/>
      <c r="N61" s="1094"/>
      <c r="O61" s="1094"/>
      <c r="P61" s="1094"/>
      <c r="Q61" s="1094"/>
      <c r="R61" s="1094"/>
      <c r="S61" s="1094"/>
      <c r="T61" s="1094"/>
      <c r="U61" s="1094"/>
      <c r="V61" s="1094"/>
      <c r="W61" s="1094"/>
      <c r="X61" s="1094"/>
      <c r="Y61" s="1094"/>
      <c r="Z61" s="1094"/>
      <c r="AA61" s="1094"/>
      <c r="AB61" s="1094"/>
      <c r="AC61" s="1094"/>
      <c r="AD61" s="1094"/>
      <c r="AE61" s="1094"/>
      <c r="AF61" s="1094"/>
      <c r="AG61" s="1094"/>
      <c r="AH61" s="1094"/>
      <c r="AI61" s="1094"/>
      <c r="AJ61" s="1094"/>
      <c r="AK61" s="1094"/>
      <c r="AL61" s="1094"/>
      <c r="AM61" s="1094"/>
      <c r="AN61" s="1094"/>
      <c r="AO61" s="1094"/>
      <c r="AP61" s="1094"/>
      <c r="AQ61" s="1094"/>
      <c r="AR61" s="1094"/>
      <c r="AS61" s="1094"/>
      <c r="AT61" s="1094"/>
      <c r="AU61" s="1094"/>
      <c r="AV61" s="1094"/>
      <c r="AW61" s="1095"/>
    </row>
    <row r="62" spans="1:54" ht="18" customHeight="1">
      <c r="A62" s="577" t="s">
        <v>789</v>
      </c>
      <c r="B62" s="568"/>
      <c r="C62" s="568"/>
      <c r="D62" s="578">
        <v>20</v>
      </c>
      <c r="E62" s="1096">
        <f>AN50</f>
        <v>7543676.2069565216</v>
      </c>
      <c r="F62" s="1097"/>
      <c r="G62" s="1097"/>
      <c r="H62" s="1097"/>
      <c r="I62" s="1097"/>
      <c r="J62" s="1097"/>
      <c r="K62" s="1097"/>
      <c r="L62" s="1098"/>
      <c r="M62" s="1099" t="s">
        <v>790</v>
      </c>
      <c r="N62" s="1076"/>
      <c r="O62" s="1076"/>
      <c r="P62" s="1076"/>
      <c r="Q62" s="1076"/>
      <c r="R62" s="578">
        <v>21</v>
      </c>
      <c r="S62" s="1078">
        <v>0</v>
      </c>
      <c r="T62" s="1079"/>
      <c r="U62" s="1079"/>
      <c r="V62" s="1079"/>
      <c r="W62" s="1079"/>
      <c r="X62" s="1079"/>
      <c r="Y62" s="1079"/>
      <c r="Z62" s="1079"/>
      <c r="AA62" s="1079"/>
      <c r="AB62" s="1080"/>
      <c r="AC62" s="1100" t="s">
        <v>791</v>
      </c>
      <c r="AD62" s="1088"/>
      <c r="AE62" s="1088"/>
      <c r="AF62" s="1088"/>
      <c r="AG62" s="1088"/>
      <c r="AH62" s="1088"/>
      <c r="AI62" s="1088"/>
      <c r="AJ62" s="1088"/>
      <c r="AK62" s="578">
        <v>22</v>
      </c>
      <c r="AL62" s="1101">
        <v>0</v>
      </c>
      <c r="AM62" s="1101"/>
      <c r="AN62" s="1101"/>
      <c r="AO62" s="1101"/>
      <c r="AP62" s="1101"/>
      <c r="AQ62" s="1101"/>
      <c r="AR62" s="1101"/>
      <c r="AS62" s="1101"/>
      <c r="AT62" s="1101"/>
      <c r="AU62" s="1101"/>
      <c r="AV62" s="1101"/>
      <c r="AW62" s="563"/>
    </row>
    <row r="63" spans="1:54" ht="10.5" customHeight="1">
      <c r="A63" s="1084" t="s">
        <v>792</v>
      </c>
      <c r="B63" s="1085"/>
      <c r="C63" s="1085"/>
      <c r="D63" s="1085"/>
      <c r="E63" s="1085"/>
      <c r="F63" s="1085"/>
      <c r="G63" s="1085"/>
      <c r="H63" s="1085"/>
      <c r="I63" s="1085"/>
      <c r="J63" s="1085"/>
      <c r="K63" s="1085"/>
      <c r="L63" s="1085"/>
      <c r="M63" s="1085"/>
      <c r="N63" s="1085"/>
      <c r="O63" s="1085"/>
      <c r="P63" s="1085"/>
      <c r="Q63" s="1085"/>
      <c r="R63" s="1085"/>
      <c r="S63" s="1085"/>
      <c r="T63" s="1085"/>
      <c r="U63" s="1085"/>
      <c r="V63" s="1085"/>
      <c r="W63" s="1085"/>
      <c r="X63" s="1085"/>
      <c r="Y63" s="1085"/>
      <c r="Z63" s="1085"/>
      <c r="AA63" s="1085"/>
      <c r="AB63" s="1085"/>
      <c r="AC63" s="1085"/>
      <c r="AD63" s="1085"/>
      <c r="AE63" s="1085"/>
      <c r="AF63" s="1085"/>
      <c r="AG63" s="1085"/>
      <c r="AH63" s="1085"/>
      <c r="AI63" s="1085"/>
      <c r="AJ63" s="1085"/>
      <c r="AK63" s="1085"/>
      <c r="AL63" s="1085"/>
      <c r="AM63" s="1085"/>
      <c r="AN63" s="1085"/>
      <c r="AO63" s="1085"/>
      <c r="AP63" s="1085"/>
      <c r="AQ63" s="1085"/>
      <c r="AR63" s="1085"/>
      <c r="AS63" s="1085"/>
      <c r="AT63" s="1085"/>
      <c r="AU63" s="1085"/>
      <c r="AV63" s="1085"/>
      <c r="AW63" s="1086"/>
    </row>
    <row r="64" spans="1:54" ht="18" customHeight="1">
      <c r="A64" s="1087" t="s">
        <v>793</v>
      </c>
      <c r="B64" s="1088"/>
      <c r="C64" s="1088"/>
      <c r="D64" s="1088"/>
      <c r="E64" s="1088"/>
      <c r="F64" s="1088"/>
      <c r="G64" s="1088"/>
      <c r="H64" s="1088"/>
      <c r="I64" s="1089"/>
      <c r="J64" s="1089"/>
      <c r="K64" s="1089"/>
      <c r="L64" s="1089"/>
      <c r="M64" s="1089"/>
      <c r="N64" s="1089"/>
      <c r="O64" s="1089"/>
      <c r="P64" s="1089"/>
      <c r="Q64" s="1089"/>
      <c r="R64" s="1089"/>
      <c r="S64" s="1089"/>
      <c r="T64" s="1089"/>
      <c r="U64" s="1089"/>
      <c r="V64" s="1089"/>
      <c r="W64" s="1089"/>
      <c r="X64" s="1089"/>
      <c r="Y64" s="1089"/>
      <c r="Z64" s="1089"/>
      <c r="AA64" s="1089"/>
      <c r="AB64" s="1089"/>
      <c r="AC64" s="1089"/>
      <c r="AD64" s="1089"/>
      <c r="AE64" s="1089"/>
      <c r="AF64" s="1089"/>
      <c r="AG64" s="1088" t="s">
        <v>794</v>
      </c>
      <c r="AH64" s="1088"/>
      <c r="AI64" s="1088"/>
      <c r="AJ64" s="1088"/>
      <c r="AK64" s="578">
        <v>23</v>
      </c>
      <c r="AL64" s="1090">
        <f>E62+S62+AL62</f>
        <v>7543676.2069565216</v>
      </c>
      <c r="AM64" s="1090"/>
      <c r="AN64" s="1090"/>
      <c r="AO64" s="1090"/>
      <c r="AP64" s="1090"/>
      <c r="AQ64" s="1090"/>
      <c r="AR64" s="1090"/>
      <c r="AS64" s="1090"/>
      <c r="AT64" s="1090"/>
      <c r="AU64" s="1090"/>
      <c r="AV64" s="1090"/>
      <c r="AW64" s="563"/>
    </row>
    <row r="65" spans="1:49" ht="10.5" customHeight="1">
      <c r="A65" s="1091" t="s">
        <v>795</v>
      </c>
      <c r="B65" s="1092"/>
      <c r="C65" s="1092"/>
      <c r="D65" s="1092"/>
      <c r="E65" s="1092"/>
      <c r="F65" s="1092"/>
      <c r="G65" s="1092"/>
      <c r="H65" s="1092"/>
      <c r="I65" s="1092"/>
      <c r="J65" s="1092"/>
      <c r="K65" s="1092"/>
      <c r="L65" s="1092"/>
      <c r="M65" s="1092"/>
      <c r="N65" s="1092"/>
      <c r="O65" s="1092"/>
      <c r="P65" s="1092"/>
      <c r="Q65" s="1092"/>
      <c r="R65" s="1092"/>
      <c r="S65" s="1092"/>
      <c r="T65" s="1092"/>
      <c r="U65" s="1092"/>
      <c r="V65" s="1092"/>
      <c r="W65" s="1092"/>
      <c r="X65" s="1092"/>
      <c r="Y65" s="1092"/>
      <c r="Z65" s="1092"/>
      <c r="AA65" s="1092"/>
      <c r="AB65" s="1092"/>
      <c r="AC65" s="1092"/>
      <c r="AD65" s="1092"/>
      <c r="AE65" s="1092"/>
      <c r="AF65" s="1092"/>
      <c r="AG65" s="1092"/>
      <c r="AH65" s="1092"/>
      <c r="AI65" s="1092"/>
      <c r="AJ65" s="1092"/>
      <c r="AK65" s="1092"/>
      <c r="AL65" s="1092"/>
      <c r="AM65" s="1092"/>
      <c r="AN65" s="1092"/>
      <c r="AO65" s="1092"/>
      <c r="AP65" s="1092"/>
      <c r="AQ65" s="1092"/>
      <c r="AR65" s="1092"/>
      <c r="AS65" s="1092"/>
      <c r="AT65" s="1092"/>
      <c r="AU65" s="1092"/>
      <c r="AV65" s="1092"/>
      <c r="AW65" s="1093"/>
    </row>
    <row r="66" spans="1:49" ht="18" customHeight="1">
      <c r="A66" s="579" t="s">
        <v>524</v>
      </c>
      <c r="B66" s="1056" t="s">
        <v>796</v>
      </c>
      <c r="C66" s="1056"/>
      <c r="D66" s="1056"/>
      <c r="E66" s="1056"/>
      <c r="F66" s="1056"/>
      <c r="G66" s="1056"/>
      <c r="H66" s="1056"/>
      <c r="I66" s="1056"/>
      <c r="J66" s="1056"/>
      <c r="K66" s="1056"/>
      <c r="L66" s="1056"/>
      <c r="M66" s="1056"/>
      <c r="N66" s="1056"/>
      <c r="O66" s="1056"/>
      <c r="P66" s="1056"/>
      <c r="Q66" s="1056"/>
      <c r="R66" s="1056"/>
      <c r="S66" s="1056"/>
      <c r="T66" s="1056"/>
      <c r="U66" s="1056"/>
      <c r="V66" s="1056"/>
      <c r="W66" s="1056"/>
      <c r="X66" s="1056"/>
      <c r="Y66" s="1056"/>
      <c r="Z66" s="1056"/>
      <c r="AA66" s="1056"/>
      <c r="AB66" s="1056"/>
      <c r="AC66" s="1056"/>
      <c r="AD66" s="1056"/>
      <c r="AE66" s="1056"/>
      <c r="AF66" s="1056"/>
      <c r="AG66" s="1056"/>
      <c r="AH66" s="1056"/>
      <c r="AI66" s="1056"/>
      <c r="AJ66" s="1056"/>
      <c r="AK66" s="1056"/>
      <c r="AL66" s="1056"/>
      <c r="AM66" s="1056"/>
      <c r="AN66" s="1056"/>
      <c r="AO66" s="1056"/>
      <c r="AP66" s="1056"/>
      <c r="AQ66" s="1056"/>
      <c r="AR66" s="1056"/>
      <c r="AS66" s="1056"/>
      <c r="AT66" s="1056"/>
      <c r="AU66" s="1056"/>
      <c r="AV66" s="1056"/>
      <c r="AW66" s="1057"/>
    </row>
    <row r="67" spans="1:49" ht="6" customHeight="1">
      <c r="A67" s="1000"/>
      <c r="B67" s="1001"/>
      <c r="C67" s="1001"/>
      <c r="D67" s="1001"/>
      <c r="E67" s="1001"/>
      <c r="F67" s="1001"/>
      <c r="G67" s="1001"/>
      <c r="H67" s="1001"/>
      <c r="I67" s="1001"/>
      <c r="J67" s="1001"/>
      <c r="K67" s="1001"/>
      <c r="L67" s="1001"/>
      <c r="M67" s="1001"/>
      <c r="N67" s="1001"/>
      <c r="O67" s="1001"/>
      <c r="P67" s="1001"/>
      <c r="Q67" s="1001"/>
      <c r="R67" s="1001"/>
      <c r="S67" s="1001"/>
      <c r="T67" s="1001"/>
      <c r="U67" s="1001"/>
      <c r="V67" s="1001"/>
      <c r="W67" s="1001"/>
      <c r="X67" s="1001"/>
      <c r="Y67" s="1001"/>
      <c r="Z67" s="1001"/>
      <c r="AA67" s="1001"/>
      <c r="AB67" s="1001"/>
      <c r="AC67" s="1001"/>
      <c r="AD67" s="1001"/>
      <c r="AE67" s="1001"/>
      <c r="AF67" s="1001"/>
      <c r="AG67" s="1001"/>
      <c r="AH67" s="1001"/>
      <c r="AI67" s="1001"/>
      <c r="AJ67" s="1001"/>
      <c r="AK67" s="1001"/>
      <c r="AL67" s="1001"/>
      <c r="AM67" s="1001"/>
      <c r="AN67" s="1001"/>
      <c r="AO67" s="1001"/>
      <c r="AP67" s="1001"/>
      <c r="AQ67" s="1001"/>
      <c r="AR67" s="1001"/>
      <c r="AS67" s="1001"/>
      <c r="AT67" s="1001"/>
      <c r="AU67" s="1001"/>
      <c r="AV67" s="1001"/>
      <c r="AW67" s="1004"/>
    </row>
    <row r="68" spans="1:49">
      <c r="A68" s="1068" t="s">
        <v>797</v>
      </c>
      <c r="B68" s="1069"/>
      <c r="C68" s="1069"/>
      <c r="D68" s="1069"/>
      <c r="E68" s="1069"/>
      <c r="F68" s="1069"/>
      <c r="G68" s="1069"/>
      <c r="H68" s="1069"/>
      <c r="I68" s="1069"/>
      <c r="J68" s="1069"/>
      <c r="K68" s="1069"/>
      <c r="L68" s="1069"/>
      <c r="M68" s="1069"/>
      <c r="N68" s="1069"/>
      <c r="O68" s="714" t="s">
        <v>798</v>
      </c>
      <c r="P68" s="714"/>
      <c r="Q68" s="715"/>
      <c r="R68" s="552" t="s">
        <v>524</v>
      </c>
      <c r="S68" s="713" t="s">
        <v>799</v>
      </c>
      <c r="T68" s="714"/>
      <c r="U68" s="714"/>
      <c r="V68" s="714"/>
      <c r="W68" s="714"/>
      <c r="X68" s="715"/>
      <c r="Y68" s="552"/>
      <c r="Z68" s="713"/>
      <c r="AA68" s="714"/>
      <c r="AB68" s="714"/>
      <c r="AC68" s="714"/>
      <c r="AD68" s="714"/>
      <c r="AE68" s="714"/>
      <c r="AF68" s="714"/>
      <c r="AG68" s="714"/>
      <c r="AH68" s="714"/>
      <c r="AI68" s="714"/>
      <c r="AJ68" s="714"/>
      <c r="AK68" s="714"/>
      <c r="AL68" s="714"/>
      <c r="AM68" s="714"/>
      <c r="AN68" s="714"/>
      <c r="AO68" s="714"/>
      <c r="AP68" s="714"/>
      <c r="AQ68" s="714"/>
      <c r="AR68" s="714"/>
      <c r="AS68" s="714"/>
      <c r="AT68" s="714"/>
      <c r="AU68" s="714"/>
      <c r="AV68" s="714"/>
      <c r="AW68" s="990"/>
    </row>
    <row r="69" spans="1:49" ht="6" customHeight="1">
      <c r="A69" s="1010"/>
      <c r="B69" s="714"/>
      <c r="C69" s="714"/>
      <c r="D69" s="714"/>
      <c r="E69" s="714"/>
      <c r="F69" s="714"/>
      <c r="G69" s="714"/>
      <c r="H69" s="714"/>
      <c r="I69" s="714"/>
      <c r="J69" s="714"/>
      <c r="K69" s="714"/>
      <c r="L69" s="714"/>
      <c r="M69" s="714"/>
      <c r="N69" s="714"/>
      <c r="O69" s="714"/>
      <c r="P69" s="714"/>
      <c r="Q69" s="714"/>
      <c r="R69" s="714"/>
      <c r="S69" s="714"/>
      <c r="T69" s="714"/>
      <c r="U69" s="714"/>
      <c r="V69" s="714"/>
      <c r="W69" s="714"/>
      <c r="X69" s="714"/>
      <c r="Y69" s="714"/>
      <c r="Z69" s="714"/>
      <c r="AA69" s="714"/>
      <c r="AB69" s="714"/>
      <c r="AC69" s="714"/>
      <c r="AD69" s="714"/>
      <c r="AE69" s="714"/>
      <c r="AF69" s="714"/>
      <c r="AG69" s="714"/>
      <c r="AH69" s="714"/>
      <c r="AI69" s="714"/>
      <c r="AJ69" s="714"/>
      <c r="AK69" s="714"/>
      <c r="AL69" s="714"/>
      <c r="AM69" s="714"/>
      <c r="AN69" s="714"/>
      <c r="AO69" s="714"/>
      <c r="AP69" s="714"/>
      <c r="AQ69" s="714"/>
      <c r="AR69" s="714"/>
      <c r="AS69" s="714"/>
      <c r="AT69" s="714"/>
      <c r="AU69" s="714"/>
      <c r="AV69" s="714"/>
      <c r="AW69" s="990"/>
    </row>
    <row r="70" spans="1:49" ht="18" customHeight="1">
      <c r="A70" s="1068" t="s">
        <v>800</v>
      </c>
      <c r="B70" s="1069"/>
      <c r="C70" s="1069"/>
      <c r="D70" s="1069"/>
      <c r="E70" s="1069"/>
      <c r="F70" s="1069"/>
      <c r="G70" s="1069"/>
      <c r="H70" s="1070"/>
      <c r="I70" s="1078">
        <v>0</v>
      </c>
      <c r="J70" s="1079"/>
      <c r="K70" s="1079"/>
      <c r="L70" s="1079"/>
      <c r="M70" s="1079"/>
      <c r="N70" s="1079"/>
      <c r="O70" s="1080"/>
      <c r="P70" s="713" t="s">
        <v>801</v>
      </c>
      <c r="Q70" s="714"/>
      <c r="R70" s="714"/>
      <c r="S70" s="714"/>
      <c r="T70" s="714"/>
      <c r="U70" s="714"/>
      <c r="V70" s="714"/>
      <c r="W70" s="714"/>
      <c r="X70" s="714"/>
      <c r="Y70" s="714"/>
      <c r="Z70" s="714"/>
      <c r="AA70" s="714"/>
      <c r="AB70" s="715"/>
      <c r="AC70" s="1081" t="s">
        <v>843</v>
      </c>
      <c r="AD70" s="1082"/>
      <c r="AE70" s="1082"/>
      <c r="AF70" s="1082"/>
      <c r="AG70" s="1082"/>
      <c r="AH70" s="1082"/>
      <c r="AI70" s="1082"/>
      <c r="AJ70" s="1082"/>
      <c r="AK70" s="1082"/>
      <c r="AL70" s="1082"/>
      <c r="AM70" s="1082"/>
      <c r="AN70" s="1082"/>
      <c r="AO70" s="1082"/>
      <c r="AP70" s="1082"/>
      <c r="AQ70" s="1083"/>
      <c r="AR70" s="713"/>
      <c r="AS70" s="714"/>
      <c r="AT70" s="714"/>
      <c r="AU70" s="714"/>
      <c r="AV70" s="714"/>
      <c r="AW70" s="990"/>
    </row>
    <row r="71" spans="1:49" ht="6" customHeight="1">
      <c r="A71" s="1010"/>
      <c r="B71" s="714"/>
      <c r="C71" s="714"/>
      <c r="D71" s="714"/>
      <c r="E71" s="714"/>
      <c r="F71" s="714"/>
      <c r="G71" s="714"/>
      <c r="H71" s="714"/>
      <c r="I71" s="714"/>
      <c r="J71" s="714"/>
      <c r="K71" s="714"/>
      <c r="L71" s="714"/>
      <c r="M71" s="714"/>
      <c r="N71" s="714"/>
      <c r="O71" s="714"/>
      <c r="P71" s="714"/>
      <c r="Q71" s="714"/>
      <c r="R71" s="714"/>
      <c r="S71" s="714"/>
      <c r="T71" s="714"/>
      <c r="U71" s="714"/>
      <c r="V71" s="714"/>
      <c r="W71" s="714"/>
      <c r="X71" s="714"/>
      <c r="Y71" s="714"/>
      <c r="Z71" s="714"/>
      <c r="AA71" s="714"/>
      <c r="AB71" s="714"/>
      <c r="AC71" s="714"/>
      <c r="AD71" s="714"/>
      <c r="AE71" s="714"/>
      <c r="AF71" s="714"/>
      <c r="AG71" s="714"/>
      <c r="AH71" s="714"/>
      <c r="AI71" s="714"/>
      <c r="AJ71" s="714"/>
      <c r="AK71" s="714"/>
      <c r="AL71" s="714"/>
      <c r="AM71" s="714"/>
      <c r="AN71" s="714"/>
      <c r="AO71" s="714"/>
      <c r="AP71" s="714"/>
      <c r="AQ71" s="714"/>
      <c r="AR71" s="714"/>
      <c r="AS71" s="714"/>
      <c r="AT71" s="714"/>
      <c r="AU71" s="714"/>
      <c r="AV71" s="714"/>
      <c r="AW71" s="990"/>
    </row>
    <row r="72" spans="1:49" ht="18" customHeight="1">
      <c r="A72" s="1068" t="s">
        <v>802</v>
      </c>
      <c r="B72" s="1069"/>
      <c r="C72" s="1069"/>
      <c r="D72" s="1070"/>
      <c r="E72" s="1071"/>
      <c r="F72" s="1072"/>
      <c r="G72" s="1072"/>
      <c r="H72" s="1072"/>
      <c r="I72" s="1072"/>
      <c r="J72" s="1072"/>
      <c r="K72" s="1072"/>
      <c r="L72" s="1072"/>
      <c r="M72" s="1072"/>
      <c r="N72" s="1072"/>
      <c r="O72" s="1072"/>
      <c r="P72" s="1072"/>
      <c r="Q72" s="1072"/>
      <c r="R72" s="1073"/>
      <c r="S72" s="1074" t="s">
        <v>803</v>
      </c>
      <c r="T72" s="1075"/>
      <c r="U72" s="1075"/>
      <c r="V72" s="1075"/>
      <c r="W72" s="1076" t="s">
        <v>804</v>
      </c>
      <c r="X72" s="1076"/>
      <c r="Y72" s="1076"/>
      <c r="Z72" s="1076"/>
      <c r="AA72" s="1076"/>
      <c r="AB72" s="1077"/>
      <c r="AC72" s="1071" t="s">
        <v>844</v>
      </c>
      <c r="AD72" s="1072"/>
      <c r="AE72" s="1072"/>
      <c r="AF72" s="1072"/>
      <c r="AG72" s="1072"/>
      <c r="AH72" s="1072"/>
      <c r="AI72" s="1072"/>
      <c r="AJ72" s="1072"/>
      <c r="AK72" s="1072"/>
      <c r="AL72" s="1072"/>
      <c r="AM72" s="1072"/>
      <c r="AN72" s="1072"/>
      <c r="AO72" s="1072"/>
      <c r="AP72" s="1072"/>
      <c r="AQ72" s="1072"/>
      <c r="AR72" s="1072"/>
      <c r="AS72" s="1072"/>
      <c r="AT72" s="1072"/>
      <c r="AU72" s="1072"/>
      <c r="AV72" s="1073"/>
      <c r="AW72" s="580"/>
    </row>
    <row r="73" spans="1:49" ht="6" customHeight="1">
      <c r="A73" s="1064"/>
      <c r="B73" s="1024"/>
      <c r="C73" s="1024"/>
      <c r="D73" s="1024"/>
      <c r="E73" s="1024"/>
      <c r="F73" s="1024"/>
      <c r="G73" s="1024"/>
      <c r="H73" s="1024"/>
      <c r="I73" s="1024"/>
      <c r="J73" s="1024"/>
      <c r="K73" s="1024"/>
      <c r="L73" s="1024"/>
      <c r="M73" s="1024"/>
      <c r="N73" s="1024"/>
      <c r="O73" s="1024"/>
      <c r="P73" s="1024"/>
      <c r="Q73" s="1024"/>
      <c r="R73" s="1024"/>
      <c r="S73" s="1024"/>
      <c r="T73" s="1024"/>
      <c r="U73" s="1024"/>
      <c r="V73" s="1024"/>
      <c r="W73" s="1024"/>
      <c r="X73" s="1024"/>
      <c r="Y73" s="1024"/>
      <c r="Z73" s="1024"/>
      <c r="AA73" s="1024"/>
      <c r="AB73" s="1024"/>
      <c r="AC73" s="1024"/>
      <c r="AD73" s="1024"/>
      <c r="AE73" s="1024"/>
      <c r="AF73" s="1024"/>
      <c r="AG73" s="1024"/>
      <c r="AH73" s="1024"/>
      <c r="AI73" s="1024"/>
      <c r="AJ73" s="1024"/>
      <c r="AK73" s="1024"/>
      <c r="AL73" s="1024"/>
      <c r="AM73" s="1024"/>
      <c r="AN73" s="1024"/>
      <c r="AO73" s="1024"/>
      <c r="AP73" s="1024"/>
      <c r="AQ73" s="1024"/>
      <c r="AR73" s="1024"/>
      <c r="AS73" s="1024"/>
      <c r="AT73" s="1024"/>
      <c r="AU73" s="1024"/>
      <c r="AV73" s="1024"/>
      <c r="AW73" s="1025"/>
    </row>
    <row r="74" spans="1:49" ht="18" customHeight="1">
      <c r="A74" s="581" t="s">
        <v>805</v>
      </c>
      <c r="B74" s="1056" t="s">
        <v>806</v>
      </c>
      <c r="C74" s="1056"/>
      <c r="D74" s="1056"/>
      <c r="E74" s="1056"/>
      <c r="F74" s="1056"/>
      <c r="G74" s="1056"/>
      <c r="H74" s="1056"/>
      <c r="I74" s="1056"/>
      <c r="J74" s="1056"/>
      <c r="K74" s="1056"/>
      <c r="L74" s="1056"/>
      <c r="M74" s="1056"/>
      <c r="N74" s="1056"/>
      <c r="O74" s="1056"/>
      <c r="P74" s="1056"/>
      <c r="Q74" s="1056"/>
      <c r="R74" s="1056"/>
      <c r="S74" s="1056"/>
      <c r="T74" s="1056"/>
      <c r="U74" s="1056"/>
      <c r="V74" s="1056"/>
      <c r="W74" s="1056"/>
      <c r="X74" s="1056"/>
      <c r="Y74" s="1056"/>
      <c r="Z74" s="1056"/>
      <c r="AA74" s="1056"/>
      <c r="AB74" s="1056"/>
      <c r="AC74" s="1056"/>
      <c r="AD74" s="1056"/>
      <c r="AE74" s="1056"/>
      <c r="AF74" s="1056"/>
      <c r="AG74" s="1056"/>
      <c r="AH74" s="1056"/>
      <c r="AI74" s="1056"/>
      <c r="AJ74" s="1056"/>
      <c r="AK74" s="1056"/>
      <c r="AL74" s="1056"/>
      <c r="AM74" s="1056"/>
      <c r="AN74" s="1056"/>
      <c r="AO74" s="1056"/>
      <c r="AP74" s="1056"/>
      <c r="AQ74" s="1056"/>
      <c r="AR74" s="1056"/>
      <c r="AS74" s="1056"/>
      <c r="AT74" s="1056"/>
      <c r="AU74" s="1056"/>
      <c r="AV74" s="1056"/>
      <c r="AW74" s="1057"/>
    </row>
    <row r="75" spans="1:49">
      <c r="A75" s="1065"/>
      <c r="B75" s="1066"/>
      <c r="C75" s="1066"/>
      <c r="D75" s="1066"/>
      <c r="E75" s="1066"/>
      <c r="F75" s="1066"/>
      <c r="G75" s="1066"/>
      <c r="H75" s="1066"/>
      <c r="I75" s="1066"/>
      <c r="J75" s="1066"/>
      <c r="K75" s="1066"/>
      <c r="L75" s="1066"/>
      <c r="M75" s="1066"/>
      <c r="N75" s="1066"/>
      <c r="O75" s="1066"/>
      <c r="P75" s="1066"/>
      <c r="Q75" s="1066"/>
      <c r="R75" s="1066"/>
      <c r="S75" s="1066"/>
      <c r="T75" s="1066"/>
      <c r="U75" s="1066"/>
      <c r="V75" s="1066"/>
      <c r="W75" s="1066"/>
      <c r="X75" s="1066"/>
      <c r="Y75" s="1066"/>
      <c r="Z75" s="1066"/>
      <c r="AA75" s="1066"/>
      <c r="AB75" s="1066"/>
      <c r="AC75" s="1066"/>
      <c r="AD75" s="1066"/>
      <c r="AE75" s="1066"/>
      <c r="AF75" s="1066"/>
      <c r="AG75" s="1066"/>
      <c r="AH75" s="1066"/>
      <c r="AI75" s="1066"/>
      <c r="AJ75" s="1066"/>
      <c r="AK75" s="1066"/>
      <c r="AL75" s="1066"/>
      <c r="AM75" s="1066"/>
      <c r="AN75" s="1066"/>
      <c r="AO75" s="1066"/>
      <c r="AP75" s="1066"/>
      <c r="AQ75" s="1066"/>
      <c r="AR75" s="1066"/>
      <c r="AS75" s="1066"/>
      <c r="AT75" s="1066"/>
      <c r="AU75" s="1066"/>
      <c r="AV75" s="1066"/>
      <c r="AW75" s="1067"/>
    </row>
    <row r="76" spans="1:49">
      <c r="A76" s="1065"/>
      <c r="B76" s="1066"/>
      <c r="C76" s="1066"/>
      <c r="D76" s="1066"/>
      <c r="E76" s="1066"/>
      <c r="F76" s="1066"/>
      <c r="G76" s="1066"/>
      <c r="H76" s="1066"/>
      <c r="I76" s="1066"/>
      <c r="J76" s="1066"/>
      <c r="K76" s="1066"/>
      <c r="L76" s="1066"/>
      <c r="M76" s="1066"/>
      <c r="N76" s="1066"/>
      <c r="O76" s="1066"/>
      <c r="P76" s="1066"/>
      <c r="Q76" s="1066"/>
      <c r="R76" s="1066"/>
      <c r="S76" s="1066"/>
      <c r="T76" s="1066"/>
      <c r="U76" s="1066"/>
      <c r="V76" s="1066"/>
      <c r="W76" s="1066"/>
      <c r="X76" s="1066"/>
      <c r="Y76" s="1066"/>
      <c r="Z76" s="1066"/>
      <c r="AA76" s="1066"/>
      <c r="AB76" s="1066"/>
      <c r="AC76" s="1066"/>
      <c r="AD76" s="1066"/>
      <c r="AE76" s="1066"/>
      <c r="AF76" s="1066"/>
      <c r="AG76" s="1066"/>
      <c r="AH76" s="1066"/>
      <c r="AI76" s="1066"/>
      <c r="AJ76" s="1066"/>
      <c r="AK76" s="1066"/>
      <c r="AL76" s="1066"/>
      <c r="AM76" s="1066"/>
      <c r="AN76" s="1066"/>
      <c r="AO76" s="1066"/>
      <c r="AP76" s="1066"/>
      <c r="AQ76" s="1066"/>
      <c r="AR76" s="1066"/>
      <c r="AS76" s="1066"/>
      <c r="AT76" s="1066"/>
      <c r="AU76" s="1066"/>
      <c r="AV76" s="1066"/>
      <c r="AW76" s="1067"/>
    </row>
    <row r="77" spans="1:49">
      <c r="A77" s="1065"/>
      <c r="B77" s="1066"/>
      <c r="C77" s="1066"/>
      <c r="D77" s="1066"/>
      <c r="E77" s="1066"/>
      <c r="F77" s="1066"/>
      <c r="G77" s="1066"/>
      <c r="H77" s="1066"/>
      <c r="I77" s="1066"/>
      <c r="J77" s="1066"/>
      <c r="K77" s="1066"/>
      <c r="L77" s="1066"/>
      <c r="M77" s="1066"/>
      <c r="N77" s="1066"/>
      <c r="O77" s="1066"/>
      <c r="P77" s="1066"/>
      <c r="Q77" s="1066"/>
      <c r="R77" s="1066"/>
      <c r="S77" s="1066"/>
      <c r="T77" s="1066"/>
      <c r="U77" s="1066"/>
      <c r="V77" s="1066"/>
      <c r="W77" s="1066"/>
      <c r="X77" s="1066"/>
      <c r="Y77" s="1066"/>
      <c r="Z77" s="1066"/>
      <c r="AA77" s="1066"/>
      <c r="AB77" s="1066"/>
      <c r="AC77" s="1066"/>
      <c r="AD77" s="1066"/>
      <c r="AE77" s="1066"/>
      <c r="AF77" s="1066"/>
      <c r="AG77" s="1066"/>
      <c r="AH77" s="1066"/>
      <c r="AI77" s="1066"/>
      <c r="AJ77" s="1066"/>
      <c r="AK77" s="1066"/>
      <c r="AL77" s="1066"/>
      <c r="AM77" s="1066"/>
      <c r="AN77" s="1066"/>
      <c r="AO77" s="1066"/>
      <c r="AP77" s="1066"/>
      <c r="AQ77" s="1066"/>
      <c r="AR77" s="1066"/>
      <c r="AS77" s="1066"/>
      <c r="AT77" s="1066"/>
      <c r="AU77" s="1066"/>
      <c r="AV77" s="1066"/>
      <c r="AW77" s="1067"/>
    </row>
    <row r="78" spans="1:49">
      <c r="A78" s="1065"/>
      <c r="B78" s="1066"/>
      <c r="C78" s="1066"/>
      <c r="D78" s="1066"/>
      <c r="E78" s="1066"/>
      <c r="F78" s="1066"/>
      <c r="G78" s="1066"/>
      <c r="H78" s="1066"/>
      <c r="I78" s="1066"/>
      <c r="J78" s="1066"/>
      <c r="K78" s="1066"/>
      <c r="L78" s="1066"/>
      <c r="M78" s="1066"/>
      <c r="N78" s="1066"/>
      <c r="O78" s="1066"/>
      <c r="P78" s="1066"/>
      <c r="Q78" s="1066"/>
      <c r="R78" s="1066"/>
      <c r="S78" s="1066"/>
      <c r="T78" s="1066"/>
      <c r="U78" s="1066"/>
      <c r="V78" s="1066"/>
      <c r="W78" s="1066"/>
      <c r="X78" s="1066"/>
      <c r="Y78" s="1066"/>
      <c r="Z78" s="1066"/>
      <c r="AA78" s="1066"/>
      <c r="AB78" s="1066"/>
      <c r="AC78" s="1066"/>
      <c r="AD78" s="1066"/>
      <c r="AE78" s="1066"/>
      <c r="AF78" s="1066"/>
      <c r="AG78" s="1066"/>
      <c r="AH78" s="1066"/>
      <c r="AI78" s="1066"/>
      <c r="AJ78" s="1066"/>
      <c r="AK78" s="1066"/>
      <c r="AL78" s="1066"/>
      <c r="AM78" s="1066"/>
      <c r="AN78" s="1066"/>
      <c r="AO78" s="1066"/>
      <c r="AP78" s="1066"/>
      <c r="AQ78" s="1066"/>
      <c r="AR78" s="1066"/>
      <c r="AS78" s="1066"/>
      <c r="AT78" s="1066"/>
      <c r="AU78" s="1066"/>
      <c r="AV78" s="1066"/>
      <c r="AW78" s="1067"/>
    </row>
    <row r="79" spans="1:49">
      <c r="A79" s="1051"/>
      <c r="B79" s="1052"/>
      <c r="C79" s="1052"/>
      <c r="D79" s="1052"/>
      <c r="E79" s="1052"/>
      <c r="F79" s="1052"/>
      <c r="G79" s="1052"/>
      <c r="H79" s="1052"/>
      <c r="I79" s="1052"/>
      <c r="J79" s="1052"/>
      <c r="K79" s="1052"/>
      <c r="L79" s="1052"/>
      <c r="M79" s="1052"/>
      <c r="N79" s="1052"/>
      <c r="O79" s="1052"/>
      <c r="P79" s="1052"/>
      <c r="Q79" s="1052"/>
      <c r="R79" s="1052"/>
      <c r="S79" s="1052"/>
      <c r="T79" s="1052"/>
      <c r="U79" s="1052"/>
      <c r="V79" s="1052"/>
      <c r="W79" s="1052"/>
      <c r="X79" s="1052"/>
      <c r="Y79" s="1052"/>
      <c r="Z79" s="1052"/>
      <c r="AA79" s="1052"/>
      <c r="AB79" s="1052"/>
      <c r="AC79" s="1052"/>
      <c r="AD79" s="1052"/>
      <c r="AE79" s="1052"/>
      <c r="AF79" s="1052"/>
      <c r="AG79" s="1052"/>
      <c r="AH79" s="1052"/>
      <c r="AI79" s="1052"/>
      <c r="AJ79" s="1052"/>
      <c r="AK79" s="1052"/>
      <c r="AL79" s="1052"/>
      <c r="AM79" s="1052"/>
      <c r="AN79" s="1052"/>
      <c r="AO79" s="1052"/>
      <c r="AP79" s="1052"/>
      <c r="AQ79" s="1052"/>
      <c r="AR79" s="1052"/>
      <c r="AS79" s="1052"/>
      <c r="AT79" s="1052"/>
      <c r="AU79" s="1052"/>
      <c r="AV79" s="1052"/>
      <c r="AW79" s="1053"/>
    </row>
    <row r="80" spans="1:49" ht="18" customHeight="1">
      <c r="A80" s="1054" t="s">
        <v>807</v>
      </c>
      <c r="B80" s="1055"/>
      <c r="C80" s="1056" t="s">
        <v>808</v>
      </c>
      <c r="D80" s="1056"/>
      <c r="E80" s="1056"/>
      <c r="F80" s="1056"/>
      <c r="G80" s="1056"/>
      <c r="H80" s="1056"/>
      <c r="I80" s="1056"/>
      <c r="J80" s="1056"/>
      <c r="K80" s="1056"/>
      <c r="L80" s="1056"/>
      <c r="M80" s="1056"/>
      <c r="N80" s="1056"/>
      <c r="O80" s="1056"/>
      <c r="P80" s="1056"/>
      <c r="Q80" s="1056"/>
      <c r="R80" s="1056"/>
      <c r="S80" s="1056"/>
      <c r="T80" s="1056"/>
      <c r="U80" s="1056"/>
      <c r="V80" s="1056"/>
      <c r="W80" s="1056"/>
      <c r="X80" s="1056"/>
      <c r="Y80" s="1056"/>
      <c r="Z80" s="1056"/>
      <c r="AA80" s="1056"/>
      <c r="AB80" s="1056"/>
      <c r="AC80" s="1056"/>
      <c r="AD80" s="1056"/>
      <c r="AE80" s="1056"/>
      <c r="AF80" s="1056"/>
      <c r="AG80" s="1056"/>
      <c r="AH80" s="1056"/>
      <c r="AI80" s="1056"/>
      <c r="AJ80" s="1056"/>
      <c r="AK80" s="1056"/>
      <c r="AL80" s="1056"/>
      <c r="AM80" s="1056"/>
      <c r="AN80" s="1056"/>
      <c r="AO80" s="1056"/>
      <c r="AP80" s="1056"/>
      <c r="AQ80" s="1056"/>
      <c r="AR80" s="1056"/>
      <c r="AS80" s="1056"/>
      <c r="AT80" s="1056"/>
      <c r="AU80" s="1056"/>
      <c r="AV80" s="1056"/>
      <c r="AW80" s="1057"/>
    </row>
    <row r="81" spans="1:49" ht="15" customHeight="1">
      <c r="A81" s="1058" t="s">
        <v>809</v>
      </c>
      <c r="B81" s="1059"/>
      <c r="C81" s="1059"/>
      <c r="D81" s="1059"/>
      <c r="E81" s="1059"/>
      <c r="F81" s="1059"/>
      <c r="G81" s="1059"/>
      <c r="H81" s="1059"/>
      <c r="I81" s="1059"/>
      <c r="J81" s="1059"/>
      <c r="K81" s="1059"/>
      <c r="L81" s="1059"/>
      <c r="M81" s="1059"/>
      <c r="N81" s="1059"/>
      <c r="O81" s="1059"/>
      <c r="P81" s="1059"/>
      <c r="Q81" s="1059"/>
      <c r="R81" s="1059"/>
      <c r="S81" s="1059"/>
      <c r="T81" s="1059"/>
      <c r="U81" s="1059"/>
      <c r="V81" s="1059"/>
      <c r="W81" s="1059"/>
      <c r="X81" s="1059"/>
      <c r="Y81" s="1059"/>
      <c r="Z81" s="1059"/>
      <c r="AA81" s="1059"/>
      <c r="AB81" s="1059"/>
      <c r="AC81" s="1059"/>
      <c r="AD81" s="1059"/>
      <c r="AE81" s="1059"/>
      <c r="AF81" s="1059"/>
      <c r="AG81" s="1059"/>
      <c r="AH81" s="1059"/>
      <c r="AI81" s="1059"/>
      <c r="AJ81" s="1059"/>
      <c r="AK81" s="1059"/>
      <c r="AL81" s="1059"/>
      <c r="AM81" s="1059"/>
      <c r="AN81" s="1059"/>
      <c r="AO81" s="1059"/>
      <c r="AP81" s="1059"/>
      <c r="AQ81" s="1059"/>
      <c r="AR81" s="1059"/>
      <c r="AS81" s="1059"/>
      <c r="AT81" s="1059"/>
      <c r="AU81" s="1059"/>
      <c r="AV81" s="1059"/>
      <c r="AW81" s="1060"/>
    </row>
    <row r="82" spans="1:49" ht="21" customHeight="1">
      <c r="A82" s="1061" t="s">
        <v>810</v>
      </c>
      <c r="B82" s="1062"/>
      <c r="C82" s="1062"/>
      <c r="D82" s="1062"/>
      <c r="E82" s="1062"/>
      <c r="F82" s="1062"/>
      <c r="G82" s="1062"/>
      <c r="H82" s="1062"/>
      <c r="I82" s="1062"/>
      <c r="J82" s="1062"/>
      <c r="K82" s="1062"/>
      <c r="L82" s="1062"/>
      <c r="M82" s="1062"/>
      <c r="N82" s="1062"/>
      <c r="O82" s="1062"/>
      <c r="P82" s="1062"/>
      <c r="Q82" s="1062"/>
      <c r="R82" s="1062"/>
      <c r="S82" s="1062"/>
      <c r="T82" s="1062"/>
      <c r="U82" s="1062"/>
      <c r="V82" s="1062"/>
      <c r="W82" s="1062"/>
      <c r="X82" s="1062"/>
      <c r="Y82" s="1062"/>
      <c r="Z82" s="1062"/>
      <c r="AA82" s="1062"/>
      <c r="AB82" s="1062"/>
      <c r="AC82" s="1062"/>
      <c r="AD82" s="1062"/>
      <c r="AE82" s="1062"/>
      <c r="AF82" s="1062"/>
      <c r="AG82" s="1062"/>
      <c r="AH82" s="1062"/>
      <c r="AI82" s="582">
        <v>25</v>
      </c>
      <c r="AJ82" s="1063">
        <f>C83</f>
        <v>4309856.7652173908</v>
      </c>
      <c r="AK82" s="972"/>
      <c r="AL82" s="972"/>
      <c r="AM82" s="972"/>
      <c r="AN82" s="972"/>
      <c r="AO82" s="972"/>
      <c r="AP82" s="972"/>
      <c r="AQ82" s="972"/>
      <c r="AR82" s="972"/>
      <c r="AS82" s="972"/>
      <c r="AT82" s="972"/>
      <c r="AU82" s="972"/>
      <c r="AV82" s="973"/>
      <c r="AW82" s="563"/>
    </row>
    <row r="83" spans="1:49" ht="21" customHeight="1">
      <c r="A83" s="583"/>
      <c r="B83" s="584">
        <v>24</v>
      </c>
      <c r="C83" s="1046">
        <f>Razão!G149</f>
        <v>4309856.7652173908</v>
      </c>
      <c r="D83" s="1047"/>
      <c r="E83" s="1047"/>
      <c r="F83" s="1047"/>
      <c r="G83" s="1047"/>
      <c r="H83" s="1047"/>
      <c r="I83" s="1048"/>
      <c r="J83" s="1003"/>
      <c r="K83" s="1001"/>
      <c r="L83" s="1001"/>
      <c r="M83" s="1001"/>
      <c r="N83" s="1001"/>
      <c r="O83" s="1001"/>
      <c r="P83" s="1001"/>
      <c r="Q83" s="1001"/>
      <c r="R83" s="1001"/>
      <c r="S83" s="1001"/>
      <c r="T83" s="1001"/>
      <c r="U83" s="1001"/>
      <c r="V83" s="1001"/>
      <c r="W83" s="1001"/>
      <c r="X83" s="1001"/>
      <c r="Y83" s="1001"/>
      <c r="Z83" s="1001"/>
      <c r="AA83" s="1001"/>
      <c r="AB83" s="1001"/>
      <c r="AC83" s="1001"/>
      <c r="AD83" s="1001"/>
      <c r="AE83" s="1001"/>
      <c r="AF83" s="1001"/>
      <c r="AG83" s="1001"/>
      <c r="AH83" s="1001"/>
      <c r="AI83" s="1001"/>
      <c r="AJ83" s="1001"/>
      <c r="AK83" s="1001"/>
      <c r="AL83" s="1001"/>
      <c r="AM83" s="1001"/>
      <c r="AN83" s="1001"/>
      <c r="AO83" s="1001"/>
      <c r="AP83" s="1001"/>
      <c r="AQ83" s="1001"/>
      <c r="AR83" s="1001"/>
      <c r="AS83" s="1001"/>
      <c r="AT83" s="1001"/>
      <c r="AU83" s="1001"/>
      <c r="AV83" s="1001"/>
      <c r="AW83" s="1004"/>
    </row>
    <row r="84" spans="1:49" ht="21" customHeight="1">
      <c r="A84" s="1049" t="s">
        <v>811</v>
      </c>
      <c r="B84" s="1050"/>
      <c r="C84" s="1050"/>
      <c r="D84" s="1050"/>
      <c r="E84" s="1050"/>
      <c r="F84" s="1050"/>
      <c r="G84" s="1050"/>
      <c r="H84" s="1050"/>
      <c r="I84" s="1050"/>
      <c r="J84" s="1050"/>
      <c r="K84" s="1050"/>
      <c r="L84" s="1050"/>
      <c r="M84" s="1050"/>
      <c r="N84" s="1050"/>
      <c r="O84" s="1050"/>
      <c r="P84" s="1050"/>
      <c r="Q84" s="1050"/>
      <c r="R84" s="1050"/>
      <c r="S84" s="1050"/>
      <c r="T84" s="1050"/>
      <c r="U84" s="1050"/>
      <c r="V84" s="1050"/>
      <c r="W84" s="1050"/>
      <c r="X84" s="1050"/>
      <c r="Y84" s="1050"/>
      <c r="Z84" s="1050"/>
      <c r="AA84" s="1050"/>
      <c r="AB84" s="1050"/>
      <c r="AC84" s="1050"/>
      <c r="AD84" s="1050"/>
      <c r="AE84" s="1050"/>
      <c r="AF84" s="1050"/>
      <c r="AG84" s="1050"/>
      <c r="AH84" s="1050"/>
      <c r="AI84" s="582">
        <v>26</v>
      </c>
      <c r="AJ84" s="971"/>
      <c r="AK84" s="972"/>
      <c r="AL84" s="972"/>
      <c r="AM84" s="972"/>
      <c r="AN84" s="972"/>
      <c r="AO84" s="972"/>
      <c r="AP84" s="972"/>
      <c r="AQ84" s="972"/>
      <c r="AR84" s="972"/>
      <c r="AS84" s="972"/>
      <c r="AT84" s="972"/>
      <c r="AU84" s="972"/>
      <c r="AV84" s="973"/>
      <c r="AW84" s="563"/>
    </row>
    <row r="85" spans="1:49">
      <c r="A85" s="1029" t="s">
        <v>812</v>
      </c>
      <c r="B85" s="1030"/>
      <c r="C85" s="1030"/>
      <c r="D85" s="1030"/>
      <c r="E85" s="1030"/>
      <c r="F85" s="1030"/>
      <c r="G85" s="1030"/>
      <c r="H85" s="1030"/>
      <c r="I85" s="1030"/>
      <c r="J85" s="1030"/>
      <c r="K85" s="1030"/>
      <c r="L85" s="1030"/>
      <c r="M85" s="1030"/>
      <c r="N85" s="1030"/>
      <c r="O85" s="1030"/>
      <c r="P85" s="1030"/>
      <c r="Q85" s="1030"/>
      <c r="R85" s="1030"/>
      <c r="S85" s="1030"/>
      <c r="T85" s="1030"/>
      <c r="U85" s="1030"/>
      <c r="V85" s="1030"/>
      <c r="W85" s="1030"/>
      <c r="X85" s="1030"/>
      <c r="Y85" s="1030"/>
      <c r="Z85" s="1030"/>
      <c r="AA85" s="1030"/>
      <c r="AB85" s="1030"/>
      <c r="AC85" s="1030"/>
      <c r="AD85" s="1030"/>
      <c r="AE85" s="1030"/>
      <c r="AF85" s="1030"/>
      <c r="AG85" s="1030"/>
      <c r="AH85" s="1030"/>
      <c r="AI85" s="1030"/>
      <c r="AJ85" s="1030"/>
      <c r="AK85" s="1030"/>
      <c r="AL85" s="1030"/>
      <c r="AM85" s="1030"/>
      <c r="AN85" s="1030"/>
      <c r="AO85" s="1030"/>
      <c r="AP85" s="1030"/>
      <c r="AQ85" s="1030"/>
      <c r="AR85" s="1030"/>
      <c r="AS85" s="1030"/>
      <c r="AT85" s="1030"/>
      <c r="AU85" s="1030"/>
      <c r="AV85" s="1030"/>
      <c r="AW85" s="1031"/>
    </row>
    <row r="86" spans="1:49">
      <c r="A86" s="1029" t="s">
        <v>813</v>
      </c>
      <c r="B86" s="1030"/>
      <c r="C86" s="1030"/>
      <c r="D86" s="1030"/>
      <c r="E86" s="1030"/>
      <c r="F86" s="1030"/>
      <c r="G86" s="1030"/>
      <c r="H86" s="1030"/>
      <c r="I86" s="1030"/>
      <c r="J86" s="1030"/>
      <c r="K86" s="1030"/>
      <c r="L86" s="1030"/>
      <c r="M86" s="1030"/>
      <c r="N86" s="1030"/>
      <c r="O86" s="1030"/>
      <c r="P86" s="1030"/>
      <c r="Q86" s="1030"/>
      <c r="R86" s="1030"/>
      <c r="S86" s="1030"/>
      <c r="T86" s="1030"/>
      <c r="U86" s="1030"/>
      <c r="V86" s="1030"/>
      <c r="W86" s="1030"/>
      <c r="X86" s="1030"/>
      <c r="Y86" s="1030"/>
      <c r="Z86" s="1030"/>
      <c r="AA86" s="1030"/>
      <c r="AB86" s="1030"/>
      <c r="AC86" s="1030"/>
      <c r="AD86" s="1030"/>
      <c r="AE86" s="1030"/>
      <c r="AF86" s="1030"/>
      <c r="AG86" s="1030"/>
      <c r="AH86" s="1030"/>
      <c r="AI86" s="1030"/>
      <c r="AJ86" s="1030"/>
      <c r="AK86" s="1030"/>
      <c r="AL86" s="1030"/>
      <c r="AM86" s="1030"/>
      <c r="AN86" s="1030"/>
      <c r="AO86" s="1030"/>
      <c r="AP86" s="1030"/>
      <c r="AQ86" s="1030"/>
      <c r="AR86" s="1030"/>
      <c r="AS86" s="1030"/>
      <c r="AT86" s="1030"/>
      <c r="AU86" s="1030"/>
      <c r="AV86" s="1030"/>
      <c r="AW86" s="1031"/>
    </row>
    <row r="87" spans="1:49">
      <c r="A87" s="585" t="s">
        <v>814</v>
      </c>
      <c r="B87" s="586"/>
      <c r="C87" s="587"/>
      <c r="D87" s="587"/>
      <c r="E87" s="587"/>
      <c r="F87" s="587"/>
      <c r="G87" s="587"/>
      <c r="H87" s="587"/>
      <c r="I87" s="587"/>
      <c r="J87" s="587"/>
      <c r="K87" s="587"/>
      <c r="L87" s="587"/>
      <c r="M87" s="587"/>
      <c r="N87" s="587"/>
      <c r="O87" s="587"/>
      <c r="P87" s="587"/>
      <c r="Q87" s="587"/>
      <c r="R87" s="587"/>
      <c r="S87" s="587"/>
      <c r="T87" s="587"/>
      <c r="U87" s="587"/>
      <c r="V87" s="587"/>
      <c r="W87" s="587"/>
      <c r="X87" s="587"/>
      <c r="Y87" s="587"/>
      <c r="Z87" s="587"/>
      <c r="AA87" s="587"/>
      <c r="AB87" s="587"/>
      <c r="AC87" s="587"/>
      <c r="AD87" s="587"/>
      <c r="AE87" s="587"/>
      <c r="AF87" s="568"/>
      <c r="AG87" s="568"/>
      <c r="AH87" s="568"/>
      <c r="AI87" s="568"/>
      <c r="AJ87" s="568"/>
      <c r="AK87" s="568"/>
      <c r="AL87" s="568"/>
      <c r="AM87" s="568"/>
      <c r="AN87" s="568"/>
      <c r="AO87" s="568"/>
      <c r="AP87" s="568"/>
      <c r="AQ87" s="568"/>
      <c r="AR87" s="568"/>
      <c r="AS87" s="568"/>
      <c r="AT87" s="568"/>
      <c r="AU87" s="568"/>
      <c r="AV87" s="568"/>
      <c r="AW87" s="563"/>
    </row>
    <row r="88" spans="1:49">
      <c r="A88" s="1029" t="s">
        <v>815</v>
      </c>
      <c r="B88" s="1030"/>
      <c r="C88" s="1030"/>
      <c r="D88" s="1030"/>
      <c r="E88" s="1030"/>
      <c r="F88" s="1030"/>
      <c r="G88" s="1030"/>
      <c r="H88" s="1030"/>
      <c r="I88" s="1030"/>
      <c r="J88" s="1030"/>
      <c r="K88" s="1030"/>
      <c r="L88" s="1030"/>
      <c r="M88" s="1030"/>
      <c r="N88" s="1030"/>
      <c r="O88" s="1030"/>
      <c r="P88" s="1030"/>
      <c r="Q88" s="1030"/>
      <c r="R88" s="1030"/>
      <c r="S88" s="1030"/>
      <c r="T88" s="1030"/>
      <c r="U88" s="1030"/>
      <c r="V88" s="1030"/>
      <c r="W88" s="1030"/>
      <c r="X88" s="1030"/>
      <c r="Y88" s="1030"/>
      <c r="Z88" s="1030"/>
      <c r="AA88" s="1030"/>
      <c r="AB88" s="1030"/>
      <c r="AC88" s="1030"/>
      <c r="AD88" s="1030"/>
      <c r="AE88" s="1030"/>
      <c r="AF88" s="1030"/>
      <c r="AG88" s="1030"/>
      <c r="AH88" s="1030"/>
      <c r="AI88" s="1030"/>
      <c r="AJ88" s="1030"/>
      <c r="AK88" s="1030"/>
      <c r="AL88" s="1030"/>
      <c r="AM88" s="1030"/>
      <c r="AN88" s="1030"/>
      <c r="AO88" s="1030"/>
      <c r="AP88" s="1030"/>
      <c r="AQ88" s="1030"/>
      <c r="AR88" s="1030"/>
      <c r="AS88" s="1030"/>
      <c r="AT88" s="1030"/>
      <c r="AU88" s="1030"/>
      <c r="AV88" s="1030"/>
      <c r="AW88" s="1031"/>
    </row>
    <row r="89" spans="1:49" ht="9.75" customHeight="1" thickBot="1">
      <c r="A89" s="1032"/>
      <c r="B89" s="1033"/>
      <c r="C89" s="1034" t="s">
        <v>816</v>
      </c>
      <c r="D89" s="1034"/>
      <c r="E89" s="1034"/>
      <c r="F89" s="1034"/>
      <c r="G89" s="1034"/>
      <c r="H89" s="1034"/>
      <c r="I89" s="1034"/>
      <c r="J89" s="1034"/>
      <c r="K89" s="1034"/>
      <c r="L89" s="1034"/>
      <c r="M89" s="1034"/>
      <c r="N89" s="1034"/>
      <c r="O89" s="1034"/>
      <c r="P89" s="1034"/>
      <c r="Q89" s="1034"/>
      <c r="R89" s="1035"/>
      <c r="S89" s="1038" t="s">
        <v>817</v>
      </c>
      <c r="T89" s="1039"/>
      <c r="U89" s="1039"/>
      <c r="V89" s="1039"/>
      <c r="W89" s="1039"/>
      <c r="X89" s="1039"/>
      <c r="Y89" s="1039"/>
      <c r="Z89" s="1039"/>
      <c r="AA89" s="1039"/>
      <c r="AB89" s="1039"/>
      <c r="AC89" s="1039"/>
      <c r="AD89" s="1039"/>
      <c r="AE89" s="1039"/>
      <c r="AF89" s="1039"/>
      <c r="AG89" s="1039"/>
      <c r="AH89" s="1039"/>
      <c r="AI89" s="1039"/>
      <c r="AJ89" s="1039"/>
      <c r="AK89" s="1039"/>
      <c r="AL89" s="1039"/>
      <c r="AM89" s="1039"/>
      <c r="AN89" s="1039"/>
      <c r="AO89" s="1039"/>
      <c r="AP89" s="1039"/>
      <c r="AQ89" s="1039"/>
      <c r="AR89" s="1039"/>
      <c r="AS89" s="1039"/>
      <c r="AT89" s="1039"/>
      <c r="AU89" s="1039"/>
      <c r="AV89" s="1039"/>
      <c r="AW89" s="1040"/>
    </row>
    <row r="90" spans="1:49" ht="13.5" thickTop="1">
      <c r="A90" s="1041" t="s">
        <v>818</v>
      </c>
      <c r="B90" s="1042"/>
      <c r="C90" s="1036"/>
      <c r="D90" s="1036"/>
      <c r="E90" s="1036"/>
      <c r="F90" s="1036"/>
      <c r="G90" s="1036"/>
      <c r="H90" s="1036"/>
      <c r="I90" s="1036"/>
      <c r="J90" s="1036"/>
      <c r="K90" s="1036"/>
      <c r="L90" s="1036"/>
      <c r="M90" s="1036"/>
      <c r="N90" s="1036"/>
      <c r="O90" s="1036"/>
      <c r="P90" s="1036"/>
      <c r="Q90" s="1036"/>
      <c r="R90" s="1037"/>
      <c r="S90" s="1043" t="s">
        <v>819</v>
      </c>
      <c r="T90" s="1044"/>
      <c r="U90" s="1044"/>
      <c r="V90" s="1036" t="s">
        <v>820</v>
      </c>
      <c r="W90" s="1036"/>
      <c r="X90" s="1036"/>
      <c r="Y90" s="1036"/>
      <c r="Z90" s="1036"/>
      <c r="AA90" s="1036"/>
      <c r="AB90" s="1036"/>
      <c r="AC90" s="1036"/>
      <c r="AD90" s="1036"/>
      <c r="AE90" s="1036"/>
      <c r="AF90" s="1036"/>
      <c r="AG90" s="1036"/>
      <c r="AH90" s="1036"/>
      <c r="AI90" s="1036"/>
      <c r="AJ90" s="1036"/>
      <c r="AK90" s="1036"/>
      <c r="AL90" s="1036"/>
      <c r="AM90" s="1036"/>
      <c r="AN90" s="1036"/>
      <c r="AO90" s="1036"/>
      <c r="AP90" s="1036"/>
      <c r="AQ90" s="1036"/>
      <c r="AR90" s="1036"/>
      <c r="AS90" s="1036"/>
      <c r="AT90" s="1036"/>
      <c r="AU90" s="1036"/>
      <c r="AV90" s="1036"/>
      <c r="AW90" s="1045"/>
    </row>
    <row r="91" spans="1:49" ht="6" customHeight="1">
      <c r="A91" s="1000"/>
      <c r="B91" s="1001"/>
      <c r="C91" s="1001"/>
      <c r="D91" s="1001"/>
      <c r="E91" s="1001"/>
      <c r="F91" s="1001"/>
      <c r="G91" s="1001"/>
      <c r="H91" s="1001"/>
      <c r="I91" s="1001"/>
      <c r="J91" s="1001"/>
      <c r="K91" s="1001"/>
      <c r="L91" s="1001"/>
      <c r="M91" s="1001"/>
      <c r="N91" s="1001"/>
      <c r="O91" s="1001"/>
      <c r="P91" s="1001"/>
      <c r="Q91" s="1001"/>
      <c r="R91" s="1002"/>
      <c r="S91" s="1003"/>
      <c r="T91" s="1001"/>
      <c r="U91" s="1001"/>
      <c r="V91" s="1001"/>
      <c r="W91" s="1001"/>
      <c r="X91" s="1001"/>
      <c r="Y91" s="1001"/>
      <c r="Z91" s="1001"/>
      <c r="AA91" s="1001"/>
      <c r="AB91" s="1001"/>
      <c r="AC91" s="1001"/>
      <c r="AD91" s="1001"/>
      <c r="AE91" s="1001"/>
      <c r="AF91" s="1001"/>
      <c r="AG91" s="1001"/>
      <c r="AH91" s="1001"/>
      <c r="AI91" s="1001"/>
      <c r="AJ91" s="1001"/>
      <c r="AK91" s="1001"/>
      <c r="AL91" s="1001"/>
      <c r="AM91" s="1001"/>
      <c r="AN91" s="1001"/>
      <c r="AO91" s="1001"/>
      <c r="AP91" s="1001"/>
      <c r="AQ91" s="1001"/>
      <c r="AR91" s="1001"/>
      <c r="AS91" s="1001"/>
      <c r="AT91" s="1001"/>
      <c r="AU91" s="1001"/>
      <c r="AV91" s="1001"/>
      <c r="AW91" s="1004"/>
    </row>
    <row r="92" spans="1:49" ht="15.75">
      <c r="A92" s="1017" t="s">
        <v>821</v>
      </c>
      <c r="B92" s="1018"/>
      <c r="C92" s="1018"/>
      <c r="D92" s="1018"/>
      <c r="E92" s="1018"/>
      <c r="F92" s="1018"/>
      <c r="G92" s="1018"/>
      <c r="H92" s="1018"/>
      <c r="I92" s="1018"/>
      <c r="J92" s="1018"/>
      <c r="K92" s="1018"/>
      <c r="L92" s="1018"/>
      <c r="M92" s="1018"/>
      <c r="N92" s="1018"/>
      <c r="O92" s="1018"/>
      <c r="P92" s="1018"/>
      <c r="Q92" s="1018"/>
      <c r="R92" s="1019"/>
      <c r="S92" s="713" t="s">
        <v>822</v>
      </c>
      <c r="T92" s="714"/>
      <c r="U92" s="714"/>
      <c r="V92" s="714"/>
      <c r="W92" s="714"/>
      <c r="X92" s="714"/>
      <c r="Y92" s="714"/>
      <c r="Z92" s="714"/>
      <c r="AA92" s="714"/>
      <c r="AB92" s="714"/>
      <c r="AC92" s="714"/>
      <c r="AD92" s="714"/>
      <c r="AE92" s="714"/>
      <c r="AF92" s="714"/>
      <c r="AG92" s="714"/>
      <c r="AH92" s="715"/>
      <c r="AI92" s="1026"/>
      <c r="AJ92" s="1027"/>
      <c r="AK92" s="1027"/>
      <c r="AL92" s="1027"/>
      <c r="AM92" s="1027"/>
      <c r="AN92" s="1027"/>
      <c r="AO92" s="1027"/>
      <c r="AP92" s="1027"/>
      <c r="AQ92" s="1027"/>
      <c r="AR92" s="1028"/>
      <c r="AS92" s="713"/>
      <c r="AT92" s="714"/>
      <c r="AU92" s="714"/>
      <c r="AV92" s="714"/>
      <c r="AW92" s="990"/>
    </row>
    <row r="93" spans="1:49">
      <c r="A93" s="1017" t="s">
        <v>823</v>
      </c>
      <c r="B93" s="1018"/>
      <c r="C93" s="1018"/>
      <c r="D93" s="1018"/>
      <c r="E93" s="1018"/>
      <c r="F93" s="1018"/>
      <c r="G93" s="1018"/>
      <c r="H93" s="1018"/>
      <c r="I93" s="1018"/>
      <c r="J93" s="1018"/>
      <c r="K93" s="1018"/>
      <c r="L93" s="1018"/>
      <c r="M93" s="1018"/>
      <c r="N93" s="1018"/>
      <c r="O93" s="1018"/>
      <c r="P93" s="1018"/>
      <c r="Q93" s="1018"/>
      <c r="R93" s="1019"/>
      <c r="S93" s="713"/>
      <c r="T93" s="714"/>
      <c r="U93" s="714"/>
      <c r="V93" s="714"/>
      <c r="W93" s="714"/>
      <c r="X93" s="714"/>
      <c r="Y93" s="714"/>
      <c r="Z93" s="714"/>
      <c r="AA93" s="714"/>
      <c r="AB93" s="714"/>
      <c r="AC93" s="714"/>
      <c r="AD93" s="714"/>
      <c r="AE93" s="714"/>
      <c r="AF93" s="714"/>
      <c r="AG93" s="714"/>
      <c r="AH93" s="714"/>
      <c r="AI93" s="714"/>
      <c r="AJ93" s="714"/>
      <c r="AK93" s="714"/>
      <c r="AL93" s="714"/>
      <c r="AM93" s="714"/>
      <c r="AN93" s="714"/>
      <c r="AO93" s="714"/>
      <c r="AP93" s="714"/>
      <c r="AQ93" s="714"/>
      <c r="AR93" s="714"/>
      <c r="AS93" s="714"/>
      <c r="AT93" s="714"/>
      <c r="AU93" s="714"/>
      <c r="AV93" s="714"/>
      <c r="AW93" s="990"/>
    </row>
    <row r="94" spans="1:49" ht="16.5" customHeight="1">
      <c r="A94" s="1000"/>
      <c r="B94" s="1001"/>
      <c r="C94" s="1001"/>
      <c r="D94" s="1001"/>
      <c r="E94" s="1001"/>
      <c r="F94" s="1001"/>
      <c r="G94" s="1001"/>
      <c r="H94" s="1001"/>
      <c r="I94" s="1001"/>
      <c r="J94" s="1001"/>
      <c r="K94" s="1001"/>
      <c r="L94" s="1001"/>
      <c r="M94" s="1001"/>
      <c r="N94" s="1001"/>
      <c r="O94" s="1001"/>
      <c r="P94" s="1001"/>
      <c r="Q94" s="1001"/>
      <c r="R94" s="1002"/>
      <c r="S94" s="713" t="s">
        <v>824</v>
      </c>
      <c r="T94" s="714"/>
      <c r="U94" s="714"/>
      <c r="V94" s="714"/>
      <c r="W94" s="714"/>
      <c r="X94" s="714"/>
      <c r="Y94" s="714"/>
      <c r="Z94" s="714"/>
      <c r="AA94" s="714"/>
      <c r="AB94" s="714"/>
      <c r="AC94" s="714"/>
      <c r="AD94" s="714"/>
      <c r="AE94" s="714"/>
      <c r="AF94" s="715"/>
      <c r="AG94" s="971"/>
      <c r="AH94" s="972"/>
      <c r="AI94" s="972"/>
      <c r="AJ94" s="972"/>
      <c r="AK94" s="972"/>
      <c r="AL94" s="972"/>
      <c r="AM94" s="972"/>
      <c r="AN94" s="972"/>
      <c r="AO94" s="972"/>
      <c r="AP94" s="972"/>
      <c r="AQ94" s="972"/>
      <c r="AR94" s="972"/>
      <c r="AS94" s="972"/>
      <c r="AT94" s="972"/>
      <c r="AU94" s="972"/>
      <c r="AV94" s="973"/>
      <c r="AW94" s="588"/>
    </row>
    <row r="95" spans="1:49" ht="16.5" customHeight="1">
      <c r="A95" s="1010" t="s">
        <v>825</v>
      </c>
      <c r="B95" s="714"/>
      <c r="C95" s="714"/>
      <c r="D95" s="715"/>
      <c r="E95" s="1020">
        <v>41364</v>
      </c>
      <c r="F95" s="1021"/>
      <c r="G95" s="1021"/>
      <c r="H95" s="1021"/>
      <c r="I95" s="1021"/>
      <c r="J95" s="1021"/>
      <c r="K95" s="1021"/>
      <c r="L95" s="1021"/>
      <c r="M95" s="1021"/>
      <c r="N95" s="1022"/>
      <c r="O95" s="713"/>
      <c r="P95" s="714"/>
      <c r="Q95" s="714"/>
      <c r="R95" s="715"/>
      <c r="S95" s="1023"/>
      <c r="T95" s="1024"/>
      <c r="U95" s="1024"/>
      <c r="V95" s="1024"/>
      <c r="W95" s="1024"/>
      <c r="X95" s="1024"/>
      <c r="Y95" s="1024"/>
      <c r="Z95" s="1024"/>
      <c r="AA95" s="1024"/>
      <c r="AB95" s="1024"/>
      <c r="AC95" s="1024"/>
      <c r="AD95" s="1024"/>
      <c r="AE95" s="1024"/>
      <c r="AF95" s="1024"/>
      <c r="AG95" s="1024"/>
      <c r="AH95" s="1024"/>
      <c r="AI95" s="1024"/>
      <c r="AJ95" s="1024"/>
      <c r="AK95" s="1024"/>
      <c r="AL95" s="1024"/>
      <c r="AM95" s="1024"/>
      <c r="AN95" s="1024"/>
      <c r="AO95" s="1024"/>
      <c r="AP95" s="1024"/>
      <c r="AQ95" s="1024"/>
      <c r="AR95" s="1024"/>
      <c r="AS95" s="1024"/>
      <c r="AT95" s="1024"/>
      <c r="AU95" s="1024"/>
      <c r="AV95" s="1024"/>
      <c r="AW95" s="1025"/>
    </row>
    <row r="96" spans="1:49">
      <c r="A96" s="1010"/>
      <c r="B96" s="714"/>
      <c r="C96" s="714"/>
      <c r="D96" s="714"/>
      <c r="E96" s="714"/>
      <c r="F96" s="714"/>
      <c r="G96" s="714"/>
      <c r="H96" s="714"/>
      <c r="I96" s="714"/>
      <c r="J96" s="714"/>
      <c r="K96" s="714"/>
      <c r="L96" s="714"/>
      <c r="M96" s="714"/>
      <c r="N96" s="714"/>
      <c r="O96" s="714"/>
      <c r="P96" s="714"/>
      <c r="Q96" s="714"/>
      <c r="R96" s="715"/>
      <c r="S96" s="1011"/>
      <c r="T96" s="1012"/>
      <c r="U96" s="1012"/>
      <c r="V96" s="1012"/>
      <c r="W96" s="1012"/>
      <c r="X96" s="1012"/>
      <c r="Y96" s="1012"/>
      <c r="Z96" s="1012"/>
      <c r="AA96" s="1012"/>
      <c r="AB96" s="1012"/>
      <c r="AC96" s="1012"/>
      <c r="AD96" s="1012"/>
      <c r="AE96" s="1012"/>
      <c r="AF96" s="1012"/>
      <c r="AG96" s="1012"/>
      <c r="AH96" s="1012"/>
      <c r="AI96" s="1012"/>
      <c r="AJ96" s="1012"/>
      <c r="AK96" s="1012"/>
      <c r="AL96" s="1012"/>
      <c r="AM96" s="1012"/>
      <c r="AN96" s="1012"/>
      <c r="AO96" s="1012"/>
      <c r="AP96" s="1012"/>
      <c r="AQ96" s="1012"/>
      <c r="AR96" s="1012"/>
      <c r="AS96" s="1012"/>
      <c r="AT96" s="1012"/>
      <c r="AU96" s="1012"/>
      <c r="AV96" s="1012"/>
      <c r="AW96" s="1013"/>
    </row>
    <row r="97" spans="1:49" ht="18" customHeight="1">
      <c r="A97" s="1010" t="s">
        <v>826</v>
      </c>
      <c r="B97" s="714"/>
      <c r="C97" s="714"/>
      <c r="D97" s="715"/>
      <c r="E97" s="1014" t="s">
        <v>845</v>
      </c>
      <c r="F97" s="1015"/>
      <c r="G97" s="1015"/>
      <c r="H97" s="1015"/>
      <c r="I97" s="1015"/>
      <c r="J97" s="1015"/>
      <c r="K97" s="1015"/>
      <c r="L97" s="1015"/>
      <c r="M97" s="1015"/>
      <c r="N97" s="1016"/>
      <c r="O97" s="713"/>
      <c r="P97" s="714"/>
      <c r="Q97" s="714"/>
      <c r="R97" s="715"/>
      <c r="S97" s="713" t="s">
        <v>827</v>
      </c>
      <c r="T97" s="714"/>
      <c r="U97" s="714"/>
      <c r="V97" s="714"/>
      <c r="W97" s="714"/>
      <c r="X97" s="714"/>
      <c r="Y97" s="714"/>
      <c r="Z97" s="714"/>
      <c r="AA97" s="714"/>
      <c r="AB97" s="714"/>
      <c r="AC97" s="714"/>
      <c r="AD97" s="714"/>
      <c r="AE97" s="714"/>
      <c r="AF97" s="714"/>
      <c r="AG97" s="714"/>
      <c r="AH97" s="714"/>
      <c r="AI97" s="714"/>
      <c r="AJ97" s="714"/>
      <c r="AK97" s="714"/>
      <c r="AL97" s="714"/>
      <c r="AM97" s="714"/>
      <c r="AN97" s="714"/>
      <c r="AO97" s="714"/>
      <c r="AP97" s="714"/>
      <c r="AQ97" s="714"/>
      <c r="AR97" s="714"/>
      <c r="AS97" s="714"/>
      <c r="AT97" s="714"/>
      <c r="AU97" s="714"/>
      <c r="AV97" s="714"/>
      <c r="AW97" s="990"/>
    </row>
    <row r="98" spans="1:49" ht="14.25" customHeight="1">
      <c r="A98" s="994" t="s">
        <v>828</v>
      </c>
      <c r="B98" s="995"/>
      <c r="C98" s="995"/>
      <c r="D98" s="995"/>
      <c r="E98" s="995"/>
      <c r="F98" s="995"/>
      <c r="G98" s="995"/>
      <c r="H98" s="995"/>
      <c r="I98" s="995"/>
      <c r="J98" s="995"/>
      <c r="K98" s="995"/>
      <c r="L98" s="995"/>
      <c r="M98" s="995"/>
      <c r="N98" s="995"/>
      <c r="O98" s="995"/>
      <c r="P98" s="995"/>
      <c r="Q98" s="995"/>
      <c r="R98" s="996"/>
      <c r="S98" s="997" t="s">
        <v>829</v>
      </c>
      <c r="T98" s="998"/>
      <c r="U98" s="998"/>
      <c r="V98" s="998"/>
      <c r="W98" s="998"/>
      <c r="X98" s="998"/>
      <c r="Y98" s="998"/>
      <c r="Z98" s="998"/>
      <c r="AA98" s="998"/>
      <c r="AB98" s="998"/>
      <c r="AC98" s="998"/>
      <c r="AD98" s="998"/>
      <c r="AE98" s="998"/>
      <c r="AF98" s="998"/>
      <c r="AG98" s="998"/>
      <c r="AH98" s="998"/>
      <c r="AI98" s="998"/>
      <c r="AJ98" s="998"/>
      <c r="AK98" s="998"/>
      <c r="AL98" s="998"/>
      <c r="AM98" s="998"/>
      <c r="AN98" s="998"/>
      <c r="AO98" s="998"/>
      <c r="AP98" s="998"/>
      <c r="AQ98" s="998"/>
      <c r="AR98" s="998"/>
      <c r="AS98" s="998"/>
      <c r="AT98" s="998"/>
      <c r="AU98" s="998"/>
      <c r="AV98" s="998"/>
      <c r="AW98" s="999"/>
    </row>
    <row r="99" spans="1:49">
      <c r="A99" s="1000"/>
      <c r="B99" s="1001"/>
      <c r="C99" s="1001"/>
      <c r="D99" s="1001"/>
      <c r="E99" s="1001"/>
      <c r="F99" s="1001"/>
      <c r="G99" s="1001"/>
      <c r="H99" s="1001"/>
      <c r="I99" s="1001"/>
      <c r="J99" s="1001"/>
      <c r="K99" s="1001"/>
      <c r="L99" s="1001"/>
      <c r="M99" s="1001"/>
      <c r="N99" s="1001"/>
      <c r="O99" s="1001"/>
      <c r="P99" s="1001"/>
      <c r="Q99" s="1001"/>
      <c r="R99" s="1002"/>
      <c r="S99" s="1003"/>
      <c r="T99" s="1001"/>
      <c r="U99" s="1001"/>
      <c r="V99" s="1001"/>
      <c r="W99" s="1001"/>
      <c r="X99" s="1001"/>
      <c r="Y99" s="1001"/>
      <c r="Z99" s="1001"/>
      <c r="AA99" s="1001"/>
      <c r="AB99" s="1001"/>
      <c r="AC99" s="1001"/>
      <c r="AD99" s="1001"/>
      <c r="AE99" s="1001"/>
      <c r="AF99" s="1001"/>
      <c r="AG99" s="1001"/>
      <c r="AH99" s="1001"/>
      <c r="AI99" s="1001"/>
      <c r="AJ99" s="1001"/>
      <c r="AK99" s="1001"/>
      <c r="AL99" s="1001"/>
      <c r="AM99" s="1001"/>
      <c r="AN99" s="1001"/>
      <c r="AO99" s="1001"/>
      <c r="AP99" s="1001"/>
      <c r="AQ99" s="1001"/>
      <c r="AR99" s="1001"/>
      <c r="AS99" s="1001"/>
      <c r="AT99" s="1001"/>
      <c r="AU99" s="1001"/>
      <c r="AV99" s="1001"/>
      <c r="AW99" s="1004"/>
    </row>
    <row r="100" spans="1:49">
      <c r="A100" s="583" t="s">
        <v>830</v>
      </c>
      <c r="B100" s="587"/>
      <c r="C100" s="587"/>
      <c r="D100" s="587"/>
      <c r="E100" s="587"/>
      <c r="F100" s="587"/>
      <c r="G100" s="587"/>
      <c r="H100" s="587"/>
      <c r="I100" s="587"/>
      <c r="J100" s="587"/>
      <c r="K100" s="587"/>
      <c r="L100" s="587"/>
      <c r="M100" s="587"/>
      <c r="N100" s="587"/>
      <c r="O100" s="587"/>
      <c r="P100" s="587"/>
      <c r="Q100" s="587"/>
      <c r="R100" s="589"/>
      <c r="S100" s="590" t="s">
        <v>831</v>
      </c>
      <c r="T100" s="587"/>
      <c r="U100" s="587"/>
      <c r="V100" s="587"/>
      <c r="W100" s="587"/>
      <c r="X100" s="587"/>
      <c r="Y100" s="587"/>
      <c r="Z100" s="587"/>
      <c r="AA100" s="587"/>
      <c r="AB100" s="587"/>
      <c r="AC100" s="587"/>
      <c r="AD100" s="587"/>
      <c r="AE100" s="587"/>
      <c r="AF100" s="568"/>
      <c r="AG100" s="568"/>
      <c r="AH100" s="568"/>
      <c r="AI100" s="568"/>
      <c r="AJ100" s="568"/>
      <c r="AK100" s="568"/>
      <c r="AL100" s="568"/>
      <c r="AM100" s="568"/>
      <c r="AN100" s="568"/>
      <c r="AO100" s="568"/>
      <c r="AP100" s="568"/>
      <c r="AQ100" s="568"/>
      <c r="AR100" s="568"/>
      <c r="AS100" s="568"/>
      <c r="AT100" s="568"/>
      <c r="AU100" s="568"/>
      <c r="AV100" s="568"/>
      <c r="AW100" s="563"/>
    </row>
    <row r="101" spans="1:49">
      <c r="A101" s="1005" t="s">
        <v>832</v>
      </c>
      <c r="B101" s="1006"/>
      <c r="C101" s="1006"/>
      <c r="D101" s="1006"/>
      <c r="E101" s="1006"/>
      <c r="F101" s="1006"/>
      <c r="G101" s="1006"/>
      <c r="H101" s="1006"/>
      <c r="I101" s="1006"/>
      <c r="J101" s="1006"/>
      <c r="K101" s="1006"/>
      <c r="L101" s="1006"/>
      <c r="M101" s="1006"/>
      <c r="N101" s="1006"/>
      <c r="O101" s="1006"/>
      <c r="P101" s="1006"/>
      <c r="Q101" s="1006"/>
      <c r="R101" s="1007"/>
      <c r="S101" s="1008" t="s">
        <v>833</v>
      </c>
      <c r="T101" s="1006"/>
      <c r="U101" s="1006"/>
      <c r="V101" s="1006"/>
      <c r="W101" s="1006"/>
      <c r="X101" s="1006"/>
      <c r="Y101" s="1006"/>
      <c r="Z101" s="1006"/>
      <c r="AA101" s="1006"/>
      <c r="AB101" s="1006"/>
      <c r="AC101" s="1006"/>
      <c r="AD101" s="1006"/>
      <c r="AE101" s="1006"/>
      <c r="AF101" s="1006"/>
      <c r="AG101" s="1006"/>
      <c r="AH101" s="1006"/>
      <c r="AI101" s="1006"/>
      <c r="AJ101" s="1006"/>
      <c r="AK101" s="1006"/>
      <c r="AL101" s="1006"/>
      <c r="AM101" s="1006"/>
      <c r="AN101" s="1006"/>
      <c r="AO101" s="1006"/>
      <c r="AP101" s="1006"/>
      <c r="AQ101" s="1006"/>
      <c r="AR101" s="1006"/>
      <c r="AS101" s="1006"/>
      <c r="AT101" s="1006"/>
      <c r="AU101" s="1006"/>
      <c r="AV101" s="1006"/>
      <c r="AW101" s="1009"/>
    </row>
    <row r="102" spans="1:49">
      <c r="A102" s="989" t="s">
        <v>834</v>
      </c>
      <c r="B102" s="714"/>
      <c r="C102" s="714"/>
      <c r="D102" s="714"/>
      <c r="E102" s="714"/>
      <c r="F102" s="714"/>
      <c r="G102" s="714"/>
      <c r="H102" s="714"/>
      <c r="I102" s="714"/>
      <c r="J102" s="714"/>
      <c r="K102" s="714"/>
      <c r="L102" s="714"/>
      <c r="M102" s="714"/>
      <c r="N102" s="714"/>
      <c r="O102" s="714"/>
      <c r="P102" s="714"/>
      <c r="Q102" s="714"/>
      <c r="R102" s="714"/>
      <c r="S102" s="714"/>
      <c r="T102" s="714"/>
      <c r="U102" s="714"/>
      <c r="V102" s="714"/>
      <c r="W102" s="714"/>
      <c r="X102" s="714"/>
      <c r="Y102" s="714"/>
      <c r="Z102" s="714"/>
      <c r="AA102" s="714"/>
      <c r="AB102" s="714"/>
      <c r="AC102" s="714"/>
      <c r="AD102" s="714"/>
      <c r="AE102" s="714"/>
      <c r="AF102" s="714"/>
      <c r="AG102" s="714"/>
      <c r="AH102" s="714"/>
      <c r="AI102" s="714"/>
      <c r="AJ102" s="714"/>
      <c r="AK102" s="714"/>
      <c r="AL102" s="714"/>
      <c r="AM102" s="714"/>
      <c r="AN102" s="714"/>
      <c r="AO102" s="714"/>
      <c r="AP102" s="714"/>
      <c r="AQ102" s="714"/>
      <c r="AR102" s="714"/>
      <c r="AS102" s="714"/>
      <c r="AT102" s="714"/>
      <c r="AU102" s="714"/>
      <c r="AV102" s="714"/>
      <c r="AW102" s="990"/>
    </row>
    <row r="103" spans="1:49">
      <c r="A103" s="991"/>
      <c r="B103" s="992"/>
      <c r="C103" s="992"/>
      <c r="D103" s="992"/>
      <c r="E103" s="992"/>
      <c r="F103" s="992"/>
      <c r="G103" s="992"/>
      <c r="H103" s="992"/>
      <c r="I103" s="992"/>
      <c r="J103" s="992"/>
      <c r="K103" s="992"/>
      <c r="L103" s="992"/>
      <c r="M103" s="992"/>
      <c r="N103" s="992"/>
      <c r="O103" s="992"/>
      <c r="P103" s="992"/>
      <c r="Q103" s="992"/>
      <c r="R103" s="992"/>
      <c r="S103" s="992"/>
      <c r="T103" s="992"/>
      <c r="U103" s="992"/>
      <c r="V103" s="992"/>
      <c r="W103" s="992"/>
      <c r="X103" s="992"/>
      <c r="Y103" s="992"/>
      <c r="Z103" s="992"/>
      <c r="AA103" s="992"/>
      <c r="AB103" s="992"/>
      <c r="AC103" s="992"/>
      <c r="AD103" s="992"/>
      <c r="AE103" s="992"/>
      <c r="AF103" s="992"/>
      <c r="AG103" s="992"/>
      <c r="AH103" s="992"/>
      <c r="AI103" s="992"/>
      <c r="AJ103" s="992"/>
      <c r="AK103" s="992"/>
      <c r="AL103" s="992"/>
      <c r="AM103" s="992"/>
      <c r="AN103" s="992"/>
      <c r="AO103" s="992"/>
      <c r="AP103" s="992"/>
      <c r="AQ103" s="992"/>
      <c r="AR103" s="992"/>
      <c r="AS103" s="992"/>
      <c r="AT103" s="992"/>
      <c r="AU103" s="992"/>
      <c r="AV103" s="992"/>
      <c r="AW103" s="993"/>
    </row>
    <row r="104" spans="1:49">
      <c r="A104" s="977"/>
      <c r="B104" s="978"/>
      <c r="C104" s="978"/>
      <c r="D104" s="978"/>
      <c r="E104" s="978"/>
      <c r="F104" s="978"/>
      <c r="G104" s="978"/>
      <c r="H104" s="978"/>
      <c r="I104" s="978"/>
      <c r="J104" s="978"/>
      <c r="K104" s="978"/>
      <c r="L104" s="978"/>
      <c r="M104" s="978"/>
      <c r="N104" s="978"/>
      <c r="O104" s="978"/>
      <c r="P104" s="978"/>
      <c r="Q104" s="978"/>
      <c r="R104" s="978"/>
      <c r="S104" s="978"/>
      <c r="T104" s="978"/>
      <c r="U104" s="978"/>
      <c r="V104" s="978"/>
      <c r="W104" s="978"/>
      <c r="X104" s="978"/>
      <c r="Y104" s="978"/>
      <c r="Z104" s="978"/>
      <c r="AA104" s="978"/>
      <c r="AB104" s="978"/>
      <c r="AC104" s="978"/>
      <c r="AD104" s="978"/>
      <c r="AE104" s="978"/>
      <c r="AF104" s="978"/>
      <c r="AG104" s="978"/>
      <c r="AH104" s="978"/>
      <c r="AI104" s="978"/>
      <c r="AJ104" s="978"/>
      <c r="AK104" s="978"/>
      <c r="AL104" s="978"/>
      <c r="AM104" s="978"/>
      <c r="AN104" s="978"/>
      <c r="AO104" s="978"/>
      <c r="AP104" s="978"/>
      <c r="AQ104" s="978"/>
      <c r="AR104" s="978"/>
      <c r="AS104" s="978"/>
      <c r="AT104" s="978"/>
      <c r="AU104" s="978"/>
      <c r="AV104" s="978"/>
      <c r="AW104" s="979"/>
    </row>
    <row r="105" spans="1:49">
      <c r="A105" s="977"/>
      <c r="B105" s="978"/>
      <c r="C105" s="978"/>
      <c r="D105" s="978"/>
      <c r="E105" s="978"/>
      <c r="F105" s="978"/>
      <c r="G105" s="978"/>
      <c r="H105" s="978"/>
      <c r="I105" s="978"/>
      <c r="J105" s="978"/>
      <c r="K105" s="978"/>
      <c r="L105" s="978"/>
      <c r="M105" s="978"/>
      <c r="N105" s="978"/>
      <c r="O105" s="978"/>
      <c r="P105" s="978"/>
      <c r="Q105" s="978"/>
      <c r="R105" s="978"/>
      <c r="S105" s="978"/>
      <c r="T105" s="978"/>
      <c r="U105" s="978"/>
      <c r="V105" s="978"/>
      <c r="W105" s="978"/>
      <c r="X105" s="978"/>
      <c r="Y105" s="978"/>
      <c r="Z105" s="978"/>
      <c r="AA105" s="978"/>
      <c r="AB105" s="978"/>
      <c r="AC105" s="978"/>
      <c r="AD105" s="978"/>
      <c r="AE105" s="978"/>
      <c r="AF105" s="978"/>
      <c r="AG105" s="978"/>
      <c r="AH105" s="978"/>
      <c r="AI105" s="978"/>
      <c r="AJ105" s="978"/>
      <c r="AK105" s="978"/>
      <c r="AL105" s="978"/>
      <c r="AM105" s="978"/>
      <c r="AN105" s="978"/>
      <c r="AO105" s="978"/>
      <c r="AP105" s="978"/>
      <c r="AQ105" s="978"/>
      <c r="AR105" s="978"/>
      <c r="AS105" s="978"/>
      <c r="AT105" s="978"/>
      <c r="AU105" s="978"/>
      <c r="AV105" s="978"/>
      <c r="AW105" s="979"/>
    </row>
    <row r="106" spans="1:49">
      <c r="A106" s="977"/>
      <c r="B106" s="978"/>
      <c r="C106" s="978"/>
      <c r="D106" s="978"/>
      <c r="E106" s="978"/>
      <c r="F106" s="978"/>
      <c r="G106" s="978"/>
      <c r="H106" s="978"/>
      <c r="I106" s="978"/>
      <c r="J106" s="978"/>
      <c r="K106" s="978"/>
      <c r="L106" s="978"/>
      <c r="M106" s="978"/>
      <c r="N106" s="978"/>
      <c r="O106" s="978"/>
      <c r="P106" s="978"/>
      <c r="Q106" s="978"/>
      <c r="R106" s="978"/>
      <c r="S106" s="978"/>
      <c r="T106" s="978"/>
      <c r="U106" s="978"/>
      <c r="V106" s="978"/>
      <c r="W106" s="978"/>
      <c r="X106" s="978"/>
      <c r="Y106" s="978"/>
      <c r="Z106" s="978"/>
      <c r="AA106" s="978"/>
      <c r="AB106" s="978"/>
      <c r="AC106" s="978"/>
      <c r="AD106" s="978"/>
      <c r="AE106" s="978"/>
      <c r="AF106" s="978"/>
      <c r="AG106" s="978"/>
      <c r="AH106" s="978"/>
      <c r="AI106" s="978"/>
      <c r="AJ106" s="978"/>
      <c r="AK106" s="978"/>
      <c r="AL106" s="978"/>
      <c r="AM106" s="978"/>
      <c r="AN106" s="978"/>
      <c r="AO106" s="978"/>
      <c r="AP106" s="978"/>
      <c r="AQ106" s="978"/>
      <c r="AR106" s="978"/>
      <c r="AS106" s="978"/>
      <c r="AT106" s="978"/>
      <c r="AU106" s="978"/>
      <c r="AV106" s="978"/>
      <c r="AW106" s="979"/>
    </row>
    <row r="107" spans="1:49">
      <c r="A107" s="977"/>
      <c r="B107" s="978"/>
      <c r="C107" s="978"/>
      <c r="D107" s="978"/>
      <c r="E107" s="978"/>
      <c r="F107" s="978"/>
      <c r="G107" s="978"/>
      <c r="H107" s="978"/>
      <c r="I107" s="978"/>
      <c r="J107" s="978"/>
      <c r="K107" s="978"/>
      <c r="L107" s="978"/>
      <c r="M107" s="978"/>
      <c r="N107" s="978"/>
      <c r="O107" s="978"/>
      <c r="P107" s="978"/>
      <c r="Q107" s="978"/>
      <c r="R107" s="978"/>
      <c r="S107" s="978"/>
      <c r="T107" s="978"/>
      <c r="U107" s="978"/>
      <c r="V107" s="978"/>
      <c r="W107" s="978"/>
      <c r="X107" s="978"/>
      <c r="Y107" s="978"/>
      <c r="Z107" s="978"/>
      <c r="AA107" s="978"/>
      <c r="AB107" s="978"/>
      <c r="AC107" s="978"/>
      <c r="AD107" s="978"/>
      <c r="AE107" s="978"/>
      <c r="AF107" s="978"/>
      <c r="AG107" s="978"/>
      <c r="AH107" s="978"/>
      <c r="AI107" s="978"/>
      <c r="AJ107" s="978"/>
      <c r="AK107" s="978"/>
      <c r="AL107" s="978"/>
      <c r="AM107" s="978"/>
      <c r="AN107" s="978"/>
      <c r="AO107" s="978"/>
      <c r="AP107" s="978"/>
      <c r="AQ107" s="978"/>
      <c r="AR107" s="978"/>
      <c r="AS107" s="978"/>
      <c r="AT107" s="978"/>
      <c r="AU107" s="978"/>
      <c r="AV107" s="978"/>
      <c r="AW107" s="979"/>
    </row>
    <row r="108" spans="1:49">
      <c r="A108" s="977"/>
      <c r="B108" s="978"/>
      <c r="C108" s="978"/>
      <c r="D108" s="978"/>
      <c r="E108" s="978"/>
      <c r="F108" s="978"/>
      <c r="G108" s="978"/>
      <c r="H108" s="978"/>
      <c r="I108" s="978"/>
      <c r="J108" s="978"/>
      <c r="K108" s="978"/>
      <c r="L108" s="978"/>
      <c r="M108" s="978"/>
      <c r="N108" s="978"/>
      <c r="O108" s="978"/>
      <c r="P108" s="978"/>
      <c r="Q108" s="978"/>
      <c r="R108" s="978"/>
      <c r="S108" s="978"/>
      <c r="T108" s="978"/>
      <c r="U108" s="978"/>
      <c r="V108" s="978"/>
      <c r="W108" s="978"/>
      <c r="X108" s="978"/>
      <c r="Y108" s="978"/>
      <c r="Z108" s="978"/>
      <c r="AA108" s="978"/>
      <c r="AB108" s="978"/>
      <c r="AC108" s="978"/>
      <c r="AD108" s="978"/>
      <c r="AE108" s="978"/>
      <c r="AF108" s="978"/>
      <c r="AG108" s="978"/>
      <c r="AH108" s="978"/>
      <c r="AI108" s="978"/>
      <c r="AJ108" s="978"/>
      <c r="AK108" s="978"/>
      <c r="AL108" s="978"/>
      <c r="AM108" s="978"/>
      <c r="AN108" s="978"/>
      <c r="AO108" s="978"/>
      <c r="AP108" s="978"/>
      <c r="AQ108" s="978"/>
      <c r="AR108" s="978"/>
      <c r="AS108" s="978"/>
      <c r="AT108" s="978"/>
      <c r="AU108" s="978"/>
      <c r="AV108" s="978"/>
      <c r="AW108" s="979"/>
    </row>
    <row r="109" spans="1:49">
      <c r="A109" s="977"/>
      <c r="B109" s="978"/>
      <c r="C109" s="978"/>
      <c r="D109" s="978"/>
      <c r="E109" s="978"/>
      <c r="F109" s="978"/>
      <c r="G109" s="978"/>
      <c r="H109" s="978"/>
      <c r="I109" s="978"/>
      <c r="J109" s="978"/>
      <c r="K109" s="978"/>
      <c r="L109" s="978"/>
      <c r="M109" s="978"/>
      <c r="N109" s="978"/>
      <c r="O109" s="978"/>
      <c r="P109" s="978"/>
      <c r="Q109" s="978"/>
      <c r="R109" s="978"/>
      <c r="S109" s="978"/>
      <c r="T109" s="978"/>
      <c r="U109" s="978"/>
      <c r="V109" s="978"/>
      <c r="W109" s="978"/>
      <c r="X109" s="978"/>
      <c r="Y109" s="978"/>
      <c r="Z109" s="978"/>
      <c r="AA109" s="978"/>
      <c r="AB109" s="978"/>
      <c r="AC109" s="978"/>
      <c r="AD109" s="978"/>
      <c r="AE109" s="978"/>
      <c r="AF109" s="978"/>
      <c r="AG109" s="978"/>
      <c r="AH109" s="978"/>
      <c r="AI109" s="978"/>
      <c r="AJ109" s="978"/>
      <c r="AK109" s="978"/>
      <c r="AL109" s="978"/>
      <c r="AM109" s="978"/>
      <c r="AN109" s="978"/>
      <c r="AO109" s="978"/>
      <c r="AP109" s="978"/>
      <c r="AQ109" s="978"/>
      <c r="AR109" s="978"/>
      <c r="AS109" s="978"/>
      <c r="AT109" s="978"/>
      <c r="AU109" s="978"/>
      <c r="AV109" s="978"/>
      <c r="AW109" s="979"/>
    </row>
    <row r="110" spans="1:49">
      <c r="A110" s="977"/>
      <c r="B110" s="978"/>
      <c r="C110" s="978"/>
      <c r="D110" s="978"/>
      <c r="E110" s="978"/>
      <c r="F110" s="978"/>
      <c r="G110" s="978"/>
      <c r="H110" s="978"/>
      <c r="I110" s="978"/>
      <c r="J110" s="978"/>
      <c r="K110" s="978"/>
      <c r="L110" s="978"/>
      <c r="M110" s="978"/>
      <c r="N110" s="978"/>
      <c r="O110" s="978"/>
      <c r="P110" s="978"/>
      <c r="Q110" s="978"/>
      <c r="R110" s="978"/>
      <c r="S110" s="978"/>
      <c r="T110" s="978"/>
      <c r="U110" s="978"/>
      <c r="V110" s="978"/>
      <c r="W110" s="978"/>
      <c r="X110" s="978"/>
      <c r="Y110" s="978"/>
      <c r="Z110" s="978"/>
      <c r="AA110" s="978"/>
      <c r="AB110" s="978"/>
      <c r="AC110" s="978"/>
      <c r="AD110" s="978"/>
      <c r="AE110" s="978"/>
      <c r="AF110" s="978"/>
      <c r="AG110" s="978"/>
      <c r="AH110" s="978"/>
      <c r="AI110" s="978"/>
      <c r="AJ110" s="978"/>
      <c r="AK110" s="978"/>
      <c r="AL110" s="978"/>
      <c r="AM110" s="978"/>
      <c r="AN110" s="978"/>
      <c r="AO110" s="978"/>
      <c r="AP110" s="978"/>
      <c r="AQ110" s="978"/>
      <c r="AR110" s="978"/>
      <c r="AS110" s="978"/>
      <c r="AT110" s="978"/>
      <c r="AU110" s="978"/>
      <c r="AV110" s="978"/>
      <c r="AW110" s="979"/>
    </row>
    <row r="111" spans="1:49" ht="9.6" customHeight="1">
      <c r="A111" s="980"/>
      <c r="B111" s="981"/>
      <c r="C111" s="981"/>
      <c r="D111" s="981"/>
      <c r="E111" s="981"/>
      <c r="F111" s="981"/>
      <c r="G111" s="981"/>
      <c r="H111" s="981"/>
      <c r="I111" s="981"/>
      <c r="J111" s="981"/>
      <c r="K111" s="981"/>
      <c r="L111" s="981"/>
      <c r="M111" s="981"/>
      <c r="N111" s="981"/>
      <c r="O111" s="981"/>
      <c r="P111" s="981"/>
      <c r="Q111" s="981"/>
      <c r="R111" s="981"/>
      <c r="S111" s="981"/>
      <c r="T111" s="981"/>
      <c r="U111" s="981"/>
      <c r="V111" s="981"/>
      <c r="W111" s="981"/>
      <c r="X111" s="981"/>
      <c r="Y111" s="981"/>
      <c r="Z111" s="981"/>
      <c r="AA111" s="981"/>
      <c r="AB111" s="981"/>
      <c r="AC111" s="981"/>
      <c r="AD111" s="981"/>
      <c r="AE111" s="981"/>
      <c r="AF111" s="981"/>
      <c r="AG111" s="981"/>
      <c r="AH111" s="981"/>
      <c r="AI111" s="981"/>
      <c r="AJ111" s="981"/>
      <c r="AK111" s="981"/>
      <c r="AL111" s="981"/>
      <c r="AM111" s="981"/>
      <c r="AN111" s="981"/>
      <c r="AO111" s="981"/>
      <c r="AP111" s="981"/>
      <c r="AQ111" s="981"/>
      <c r="AR111" s="981"/>
      <c r="AS111" s="981"/>
      <c r="AT111" s="981"/>
      <c r="AU111" s="981"/>
      <c r="AV111" s="981"/>
      <c r="AW111" s="982"/>
    </row>
    <row r="112" spans="1:49" ht="6" customHeight="1">
      <c r="A112" s="983"/>
      <c r="B112" s="984"/>
      <c r="C112" s="984"/>
      <c r="D112" s="984"/>
      <c r="E112" s="984"/>
      <c r="F112" s="984"/>
      <c r="G112" s="984"/>
      <c r="H112" s="984"/>
      <c r="I112" s="984"/>
      <c r="J112" s="984"/>
      <c r="K112" s="984"/>
      <c r="L112" s="984"/>
      <c r="M112" s="984"/>
      <c r="N112" s="984"/>
      <c r="O112" s="984"/>
      <c r="P112" s="984"/>
      <c r="Q112" s="984"/>
      <c r="R112" s="984"/>
      <c r="S112" s="984"/>
      <c r="T112" s="984"/>
      <c r="U112" s="984"/>
      <c r="V112" s="984"/>
      <c r="W112" s="984"/>
      <c r="X112" s="984"/>
      <c r="Y112" s="984"/>
      <c r="Z112" s="984"/>
      <c r="AA112" s="984"/>
      <c r="AB112" s="984"/>
      <c r="AC112" s="984"/>
      <c r="AD112" s="984"/>
      <c r="AE112" s="984"/>
      <c r="AF112" s="984"/>
      <c r="AG112" s="984"/>
      <c r="AH112" s="984"/>
      <c r="AI112" s="984"/>
      <c r="AJ112" s="984"/>
      <c r="AK112" s="984"/>
      <c r="AL112" s="984"/>
      <c r="AM112" s="984"/>
      <c r="AN112" s="984"/>
      <c r="AO112" s="984"/>
      <c r="AP112" s="984"/>
      <c r="AQ112" s="984"/>
      <c r="AR112" s="984"/>
      <c r="AS112" s="984"/>
      <c r="AT112" s="984"/>
      <c r="AU112" s="984"/>
      <c r="AV112" s="984"/>
      <c r="AW112" s="985"/>
    </row>
    <row r="113" spans="1:49">
      <c r="A113" s="986"/>
      <c r="B113" s="987" t="s">
        <v>835</v>
      </c>
      <c r="C113" s="987"/>
      <c r="D113" s="987"/>
      <c r="E113" s="987"/>
      <c r="F113" s="987"/>
      <c r="G113" s="987"/>
      <c r="H113" s="987"/>
      <c r="I113" s="987"/>
      <c r="J113" s="987"/>
      <c r="K113" s="987"/>
      <c r="L113" s="987"/>
      <c r="M113" s="987"/>
      <c r="N113" s="987"/>
      <c r="O113" s="987"/>
      <c r="P113" s="987"/>
      <c r="Q113" s="987"/>
      <c r="R113" s="987"/>
      <c r="S113" s="987"/>
      <c r="T113" s="987"/>
      <c r="U113" s="987"/>
      <c r="V113" s="987"/>
      <c r="W113" s="987"/>
      <c r="X113" s="987"/>
      <c r="Y113" s="987"/>
      <c r="Z113" s="987"/>
      <c r="AA113" s="987"/>
      <c r="AB113" s="987"/>
      <c r="AC113" s="987"/>
      <c r="AD113" s="987"/>
      <c r="AE113" s="987"/>
      <c r="AF113" s="987"/>
      <c r="AG113" s="987"/>
      <c r="AH113" s="987"/>
      <c r="AI113" s="987"/>
      <c r="AJ113" s="987"/>
      <c r="AK113" s="987"/>
      <c r="AL113" s="987"/>
      <c r="AM113" s="987"/>
      <c r="AN113" s="987"/>
      <c r="AO113" s="987"/>
      <c r="AP113" s="987"/>
      <c r="AQ113" s="987"/>
      <c r="AR113" s="987"/>
      <c r="AS113" s="987"/>
      <c r="AT113" s="987"/>
      <c r="AU113" s="987"/>
      <c r="AV113" s="987"/>
      <c r="AW113" s="988"/>
    </row>
    <row r="114" spans="1:49">
      <c r="A114" s="986"/>
      <c r="B114" s="987"/>
      <c r="C114" s="987"/>
      <c r="D114" s="987"/>
      <c r="E114" s="987"/>
      <c r="F114" s="987"/>
      <c r="G114" s="987"/>
      <c r="H114" s="987"/>
      <c r="I114" s="987"/>
      <c r="J114" s="987"/>
      <c r="K114" s="987"/>
      <c r="L114" s="987"/>
      <c r="M114" s="987"/>
      <c r="N114" s="987"/>
      <c r="O114" s="987"/>
      <c r="P114" s="987"/>
      <c r="Q114" s="987"/>
      <c r="R114" s="987"/>
      <c r="S114" s="987"/>
      <c r="T114" s="987"/>
      <c r="U114" s="987"/>
      <c r="V114" s="987"/>
      <c r="W114" s="987"/>
      <c r="X114" s="987"/>
      <c r="Y114" s="987"/>
      <c r="Z114" s="987"/>
      <c r="AA114" s="987"/>
      <c r="AB114" s="987"/>
      <c r="AC114" s="987"/>
      <c r="AD114" s="987"/>
      <c r="AE114" s="987"/>
      <c r="AF114" s="987"/>
      <c r="AG114" s="987"/>
      <c r="AH114" s="987"/>
      <c r="AI114" s="987"/>
      <c r="AJ114" s="987"/>
      <c r="AK114" s="987"/>
      <c r="AL114" s="987"/>
      <c r="AM114" s="987"/>
      <c r="AN114" s="987"/>
      <c r="AO114" s="987"/>
      <c r="AP114" s="987"/>
      <c r="AQ114" s="987"/>
      <c r="AR114" s="987"/>
      <c r="AS114" s="987"/>
      <c r="AT114" s="987"/>
      <c r="AU114" s="987"/>
      <c r="AV114" s="987"/>
      <c r="AW114" s="988"/>
    </row>
    <row r="115" spans="1:49" ht="6" customHeight="1" thickBot="1">
      <c r="A115" s="974"/>
      <c r="B115" s="975"/>
      <c r="C115" s="975"/>
      <c r="D115" s="975"/>
      <c r="E115" s="975"/>
      <c r="F115" s="975"/>
      <c r="G115" s="975"/>
      <c r="H115" s="975"/>
      <c r="I115" s="975"/>
      <c r="J115" s="975"/>
      <c r="K115" s="975"/>
      <c r="L115" s="975"/>
      <c r="M115" s="975"/>
      <c r="N115" s="975"/>
      <c r="O115" s="975"/>
      <c r="P115" s="975"/>
      <c r="Q115" s="975"/>
      <c r="R115" s="975"/>
      <c r="S115" s="975"/>
      <c r="T115" s="975"/>
      <c r="U115" s="975"/>
      <c r="V115" s="975"/>
      <c r="W115" s="975"/>
      <c r="X115" s="975"/>
      <c r="Y115" s="975"/>
      <c r="Z115" s="975"/>
      <c r="AA115" s="975"/>
      <c r="AB115" s="975"/>
      <c r="AC115" s="975"/>
      <c r="AD115" s="975"/>
      <c r="AE115" s="975"/>
      <c r="AF115" s="975"/>
      <c r="AG115" s="975"/>
      <c r="AH115" s="975"/>
      <c r="AI115" s="975"/>
      <c r="AJ115" s="975"/>
      <c r="AK115" s="975"/>
      <c r="AL115" s="975"/>
      <c r="AM115" s="975"/>
      <c r="AN115" s="975"/>
      <c r="AO115" s="975"/>
      <c r="AP115" s="975"/>
      <c r="AQ115" s="975"/>
      <c r="AR115" s="975"/>
      <c r="AS115" s="975"/>
      <c r="AT115" s="975"/>
      <c r="AU115" s="975"/>
      <c r="AV115" s="975"/>
      <c r="AW115" s="976"/>
    </row>
    <row r="116" spans="1:49">
      <c r="A116" s="591"/>
      <c r="B116" s="591"/>
      <c r="C116" s="591"/>
      <c r="D116" s="591"/>
      <c r="E116" s="591"/>
      <c r="F116" s="591"/>
      <c r="G116" s="591"/>
      <c r="H116" s="591"/>
      <c r="I116" s="591"/>
      <c r="J116" s="591"/>
      <c r="K116" s="591"/>
      <c r="L116" s="591"/>
      <c r="M116" s="591"/>
      <c r="N116" s="591"/>
      <c r="O116" s="591"/>
      <c r="P116" s="591"/>
      <c r="Q116" s="591"/>
      <c r="R116" s="591"/>
      <c r="S116" s="591"/>
      <c r="T116" s="591"/>
      <c r="U116" s="591"/>
      <c r="V116" s="591"/>
      <c r="W116" s="591"/>
      <c r="X116" s="591"/>
      <c r="Y116" s="591"/>
      <c r="Z116" s="591"/>
      <c r="AA116" s="591"/>
      <c r="AB116" s="591"/>
      <c r="AC116" s="591"/>
      <c r="AD116" s="591"/>
      <c r="AE116" s="591"/>
    </row>
    <row r="117" spans="1:49">
      <c r="A117" s="591"/>
      <c r="B117" s="591"/>
      <c r="C117" s="591"/>
      <c r="D117" s="591"/>
      <c r="E117" s="591"/>
      <c r="F117" s="591"/>
      <c r="G117" s="591"/>
      <c r="H117" s="591"/>
      <c r="I117" s="591"/>
      <c r="J117" s="591"/>
      <c r="K117" s="591"/>
      <c r="L117" s="591"/>
      <c r="M117" s="591"/>
      <c r="N117" s="591"/>
      <c r="O117" s="591"/>
      <c r="P117" s="591"/>
      <c r="Q117" s="591"/>
      <c r="R117" s="591"/>
      <c r="S117" s="591"/>
      <c r="T117" s="591"/>
      <c r="U117" s="591"/>
      <c r="V117" s="591"/>
      <c r="W117" s="591"/>
      <c r="X117" s="591"/>
      <c r="Y117" s="591"/>
      <c r="Z117" s="591"/>
      <c r="AA117" s="591"/>
      <c r="AB117" s="591"/>
      <c r="AC117" s="591"/>
      <c r="AD117" s="591"/>
      <c r="AE117" s="591"/>
    </row>
    <row r="118" spans="1:49">
      <c r="A118" s="591"/>
      <c r="B118" s="591"/>
      <c r="C118" s="591"/>
      <c r="D118" s="591"/>
      <c r="E118" s="591"/>
      <c r="F118" s="591"/>
      <c r="G118" s="591"/>
      <c r="H118" s="591"/>
      <c r="I118" s="591"/>
      <c r="J118" s="591"/>
      <c r="K118" s="591"/>
      <c r="L118" s="591"/>
      <c r="M118" s="591"/>
      <c r="N118" s="591"/>
      <c r="O118" s="591"/>
      <c r="P118" s="591"/>
      <c r="Q118" s="591"/>
      <c r="R118" s="591"/>
      <c r="S118" s="591"/>
      <c r="T118" s="591"/>
      <c r="U118" s="591"/>
      <c r="V118" s="591"/>
      <c r="W118" s="591"/>
      <c r="X118" s="591"/>
      <c r="Y118" s="591"/>
      <c r="Z118" s="591"/>
      <c r="AA118" s="591"/>
      <c r="AB118" s="591"/>
      <c r="AC118" s="591"/>
      <c r="AD118" s="591"/>
      <c r="AE118" s="591"/>
    </row>
    <row r="119" spans="1:49">
      <c r="A119" s="591"/>
      <c r="B119" s="591"/>
      <c r="C119" s="591"/>
      <c r="D119" s="591"/>
      <c r="E119" s="591"/>
      <c r="F119" s="591"/>
      <c r="G119" s="591"/>
      <c r="H119" s="591"/>
      <c r="I119" s="591"/>
      <c r="J119" s="591"/>
      <c r="K119" s="591"/>
      <c r="L119" s="591"/>
      <c r="M119" s="591"/>
      <c r="N119" s="591"/>
      <c r="O119" s="591"/>
      <c r="P119" s="591"/>
      <c r="Q119" s="591"/>
      <c r="R119" s="591"/>
      <c r="S119" s="591"/>
      <c r="T119" s="591"/>
      <c r="U119" s="591"/>
      <c r="V119" s="591"/>
      <c r="W119" s="591"/>
      <c r="X119" s="591"/>
      <c r="Y119" s="591"/>
      <c r="Z119" s="591"/>
      <c r="AA119" s="591"/>
      <c r="AB119" s="591"/>
      <c r="AC119" s="591"/>
      <c r="AD119" s="591"/>
      <c r="AE119" s="591"/>
    </row>
    <row r="120" spans="1:49">
      <c r="A120" s="591"/>
      <c r="B120" s="591"/>
      <c r="C120" s="591"/>
      <c r="D120" s="591"/>
      <c r="E120" s="591"/>
      <c r="F120" s="591"/>
      <c r="G120" s="591"/>
      <c r="H120" s="591"/>
      <c r="I120" s="591"/>
      <c r="J120" s="591"/>
      <c r="K120" s="591"/>
      <c r="L120" s="591"/>
      <c r="M120" s="591"/>
      <c r="N120" s="591"/>
      <c r="O120" s="591"/>
      <c r="P120" s="591"/>
      <c r="Q120" s="591"/>
      <c r="R120" s="591"/>
      <c r="S120" s="591"/>
      <c r="T120" s="591"/>
      <c r="U120" s="591"/>
      <c r="V120" s="591"/>
      <c r="W120" s="591"/>
      <c r="X120" s="591"/>
      <c r="Y120" s="591"/>
      <c r="Z120" s="591"/>
      <c r="AA120" s="591"/>
      <c r="AB120" s="591"/>
      <c r="AC120" s="591"/>
      <c r="AD120" s="591"/>
      <c r="AE120" s="591"/>
    </row>
    <row r="121" spans="1:49">
      <c r="A121" s="591"/>
      <c r="B121" s="591"/>
      <c r="C121" s="591"/>
      <c r="D121" s="591"/>
      <c r="E121" s="591"/>
      <c r="F121" s="591"/>
      <c r="G121" s="591"/>
      <c r="H121" s="591"/>
      <c r="I121" s="591"/>
      <c r="J121" s="591"/>
      <c r="K121" s="591"/>
      <c r="L121" s="591"/>
      <c r="M121" s="591"/>
      <c r="N121" s="591"/>
      <c r="O121" s="591"/>
      <c r="P121" s="591"/>
      <c r="Q121" s="591"/>
      <c r="R121" s="591"/>
      <c r="S121" s="591"/>
      <c r="T121" s="591"/>
      <c r="U121" s="591"/>
      <c r="V121" s="591"/>
      <c r="W121" s="591"/>
      <c r="X121" s="591"/>
      <c r="Y121" s="591"/>
      <c r="Z121" s="591"/>
      <c r="AA121" s="591"/>
      <c r="AB121" s="591"/>
      <c r="AC121" s="591"/>
      <c r="AD121" s="591"/>
      <c r="AE121" s="591"/>
    </row>
    <row r="122" spans="1:49">
      <c r="A122" s="591"/>
      <c r="B122" s="591"/>
      <c r="C122" s="591"/>
      <c r="D122" s="591"/>
      <c r="E122" s="591"/>
      <c r="F122" s="591"/>
      <c r="G122" s="591"/>
      <c r="H122" s="591"/>
      <c r="I122" s="591"/>
      <c r="J122" s="591"/>
      <c r="K122" s="591"/>
      <c r="L122" s="591"/>
      <c r="M122" s="591"/>
      <c r="N122" s="591"/>
      <c r="O122" s="591"/>
      <c r="P122" s="591"/>
      <c r="Q122" s="591"/>
      <c r="R122" s="591"/>
      <c r="S122" s="591"/>
      <c r="T122" s="591"/>
      <c r="U122" s="591"/>
      <c r="V122" s="591"/>
      <c r="W122" s="591"/>
      <c r="X122" s="591"/>
      <c r="Y122" s="591"/>
      <c r="Z122" s="591"/>
      <c r="AA122" s="591"/>
      <c r="AB122" s="591"/>
      <c r="AC122" s="591"/>
      <c r="AD122" s="591"/>
      <c r="AE122" s="591"/>
    </row>
    <row r="123" spans="1:49">
      <c r="A123" s="591"/>
      <c r="B123" s="591"/>
      <c r="C123" s="591"/>
      <c r="D123" s="591"/>
      <c r="E123" s="591"/>
      <c r="F123" s="591"/>
      <c r="G123" s="591"/>
      <c r="H123" s="591"/>
      <c r="I123" s="591"/>
      <c r="J123" s="591"/>
      <c r="K123" s="591"/>
      <c r="L123" s="591"/>
      <c r="M123" s="591"/>
      <c r="N123" s="591"/>
      <c r="O123" s="591"/>
      <c r="P123" s="591"/>
      <c r="Q123" s="591"/>
      <c r="R123" s="591"/>
      <c r="S123" s="591"/>
      <c r="T123" s="591"/>
      <c r="U123" s="591"/>
      <c r="V123" s="591"/>
      <c r="W123" s="591"/>
      <c r="X123" s="591"/>
      <c r="Y123" s="591"/>
      <c r="Z123" s="591"/>
      <c r="AA123" s="591"/>
      <c r="AB123" s="591"/>
      <c r="AC123" s="591"/>
      <c r="AD123" s="591"/>
      <c r="AE123" s="591"/>
    </row>
    <row r="124" spans="1:49">
      <c r="A124" s="591"/>
      <c r="B124" s="591"/>
      <c r="C124" s="591"/>
      <c r="D124" s="591"/>
      <c r="E124" s="591"/>
      <c r="F124" s="591"/>
      <c r="G124" s="591"/>
      <c r="H124" s="591"/>
      <c r="I124" s="591"/>
      <c r="J124" s="591"/>
      <c r="K124" s="591"/>
      <c r="L124" s="591"/>
      <c r="M124" s="591"/>
      <c r="N124" s="591"/>
      <c r="O124" s="591"/>
      <c r="P124" s="591"/>
      <c r="Q124" s="591"/>
      <c r="R124" s="591"/>
      <c r="S124" s="591"/>
      <c r="T124" s="591"/>
      <c r="U124" s="591"/>
      <c r="V124" s="591"/>
      <c r="W124" s="591"/>
      <c r="X124" s="591"/>
      <c r="Y124" s="591"/>
      <c r="Z124" s="591"/>
      <c r="AA124" s="591"/>
      <c r="AB124" s="591"/>
      <c r="AC124" s="591"/>
      <c r="AD124" s="591"/>
      <c r="AE124" s="591"/>
    </row>
    <row r="125" spans="1:49">
      <c r="A125" s="591"/>
      <c r="B125" s="591"/>
      <c r="C125" s="591"/>
      <c r="D125" s="591"/>
      <c r="E125" s="591"/>
      <c r="F125" s="591"/>
      <c r="G125" s="591"/>
      <c r="H125" s="591"/>
      <c r="I125" s="591"/>
      <c r="J125" s="591"/>
      <c r="K125" s="591"/>
      <c r="L125" s="591"/>
      <c r="M125" s="591"/>
      <c r="N125" s="591"/>
      <c r="O125" s="591"/>
      <c r="P125" s="591"/>
      <c r="Q125" s="591"/>
      <c r="R125" s="591"/>
      <c r="S125" s="591"/>
      <c r="T125" s="591"/>
      <c r="U125" s="591"/>
      <c r="V125" s="591"/>
      <c r="W125" s="591"/>
      <c r="X125" s="591"/>
      <c r="Y125" s="591"/>
      <c r="Z125" s="591"/>
      <c r="AA125" s="591"/>
      <c r="AB125" s="591"/>
      <c r="AC125" s="591"/>
      <c r="AD125" s="591"/>
      <c r="AE125" s="591"/>
    </row>
    <row r="126" spans="1:49">
      <c r="A126" s="591"/>
      <c r="B126" s="591"/>
      <c r="C126" s="591"/>
      <c r="D126" s="591"/>
      <c r="E126" s="591"/>
      <c r="F126" s="591"/>
      <c r="G126" s="591"/>
      <c r="H126" s="591"/>
      <c r="I126" s="591"/>
      <c r="J126" s="591"/>
      <c r="K126" s="591"/>
      <c r="L126" s="591"/>
      <c r="M126" s="591"/>
      <c r="N126" s="591"/>
      <c r="O126" s="591"/>
      <c r="P126" s="591"/>
      <c r="Q126" s="591"/>
      <c r="R126" s="591"/>
      <c r="S126" s="591"/>
      <c r="T126" s="591"/>
      <c r="U126" s="591"/>
      <c r="V126" s="591"/>
      <c r="W126" s="591"/>
      <c r="X126" s="591"/>
      <c r="Y126" s="591"/>
      <c r="Z126" s="591"/>
      <c r="AA126" s="591"/>
      <c r="AB126" s="591"/>
      <c r="AC126" s="591"/>
      <c r="AD126" s="591"/>
      <c r="AE126" s="591"/>
    </row>
    <row r="127" spans="1:49">
      <c r="A127" s="591"/>
      <c r="B127" s="591"/>
      <c r="C127" s="591"/>
      <c r="D127" s="591"/>
      <c r="E127" s="591"/>
      <c r="F127" s="591"/>
      <c r="G127" s="591"/>
      <c r="H127" s="591"/>
      <c r="I127" s="591"/>
      <c r="J127" s="591"/>
      <c r="K127" s="591"/>
      <c r="L127" s="591"/>
      <c r="M127" s="591"/>
      <c r="N127" s="591"/>
      <c r="O127" s="591"/>
      <c r="P127" s="591"/>
      <c r="Q127" s="591"/>
      <c r="R127" s="591"/>
      <c r="S127" s="591"/>
      <c r="T127" s="591"/>
      <c r="U127" s="591"/>
      <c r="V127" s="591"/>
      <c r="W127" s="591"/>
      <c r="X127" s="591"/>
      <c r="Y127" s="591"/>
      <c r="Z127" s="591"/>
      <c r="AA127" s="591"/>
      <c r="AB127" s="591"/>
      <c r="AC127" s="591"/>
      <c r="AD127" s="591"/>
      <c r="AE127" s="591"/>
    </row>
    <row r="128" spans="1:49">
      <c r="A128" s="591"/>
      <c r="B128" s="591"/>
      <c r="C128" s="591"/>
      <c r="D128" s="591"/>
      <c r="E128" s="591"/>
      <c r="F128" s="591"/>
      <c r="G128" s="591"/>
      <c r="H128" s="591"/>
      <c r="I128" s="591"/>
      <c r="J128" s="591"/>
      <c r="K128" s="591"/>
      <c r="L128" s="591"/>
      <c r="M128" s="591"/>
      <c r="N128" s="591"/>
      <c r="O128" s="591"/>
      <c r="P128" s="591"/>
      <c r="Q128" s="591"/>
      <c r="R128" s="591"/>
      <c r="S128" s="591"/>
      <c r="T128" s="591"/>
      <c r="U128" s="591"/>
      <c r="V128" s="591"/>
      <c r="W128" s="591"/>
      <c r="X128" s="591"/>
      <c r="Y128" s="591"/>
      <c r="Z128" s="591"/>
      <c r="AA128" s="591"/>
      <c r="AB128" s="591"/>
      <c r="AC128" s="591"/>
      <c r="AD128" s="591"/>
      <c r="AE128" s="591"/>
    </row>
    <row r="129" spans="1:31">
      <c r="A129" s="591"/>
      <c r="B129" s="591"/>
      <c r="C129" s="591"/>
      <c r="D129" s="591"/>
      <c r="E129" s="591"/>
      <c r="F129" s="591"/>
      <c r="G129" s="591"/>
      <c r="H129" s="591"/>
      <c r="I129" s="591"/>
      <c r="J129" s="591"/>
      <c r="K129" s="591"/>
      <c r="L129" s="591"/>
      <c r="M129" s="591"/>
      <c r="N129" s="591"/>
      <c r="O129" s="591"/>
      <c r="P129" s="591"/>
      <c r="Q129" s="591"/>
      <c r="R129" s="591"/>
      <c r="S129" s="591"/>
      <c r="T129" s="591"/>
      <c r="U129" s="591"/>
      <c r="V129" s="591"/>
      <c r="W129" s="591"/>
      <c r="X129" s="591"/>
      <c r="Y129" s="591"/>
      <c r="Z129" s="591"/>
      <c r="AA129" s="591"/>
      <c r="AB129" s="591"/>
      <c r="AC129" s="591"/>
      <c r="AD129" s="591"/>
      <c r="AE129" s="591"/>
    </row>
    <row r="130" spans="1:31">
      <c r="A130" s="591"/>
      <c r="B130" s="591"/>
      <c r="C130" s="591"/>
      <c r="D130" s="591"/>
      <c r="E130" s="591"/>
      <c r="F130" s="591"/>
      <c r="G130" s="591"/>
      <c r="H130" s="591"/>
      <c r="I130" s="591"/>
      <c r="J130" s="591"/>
      <c r="K130" s="591"/>
      <c r="L130" s="591"/>
      <c r="M130" s="591"/>
      <c r="N130" s="591"/>
      <c r="O130" s="591"/>
      <c r="P130" s="591"/>
      <c r="Q130" s="591"/>
      <c r="R130" s="591"/>
      <c r="S130" s="591"/>
      <c r="T130" s="591"/>
      <c r="U130" s="591"/>
      <c r="V130" s="591"/>
      <c r="W130" s="591"/>
      <c r="X130" s="591"/>
      <c r="Y130" s="591"/>
      <c r="Z130" s="591"/>
      <c r="AA130" s="591"/>
      <c r="AB130" s="591"/>
      <c r="AC130" s="591"/>
      <c r="AD130" s="591"/>
      <c r="AE130" s="591"/>
    </row>
    <row r="131" spans="1:31">
      <c r="A131" s="591"/>
      <c r="B131" s="591"/>
      <c r="C131" s="591"/>
      <c r="D131" s="591"/>
      <c r="E131" s="591"/>
      <c r="F131" s="591"/>
      <c r="G131" s="591"/>
      <c r="H131" s="591"/>
      <c r="I131" s="591"/>
      <c r="J131" s="591"/>
      <c r="K131" s="591"/>
      <c r="L131" s="591"/>
      <c r="M131" s="591"/>
      <c r="N131" s="591"/>
      <c r="O131" s="591"/>
      <c r="P131" s="591"/>
      <c r="Q131" s="591"/>
      <c r="R131" s="591"/>
      <c r="S131" s="591"/>
      <c r="T131" s="591"/>
      <c r="U131" s="591"/>
      <c r="V131" s="591"/>
      <c r="W131" s="591"/>
      <c r="X131" s="591"/>
      <c r="Y131" s="591"/>
      <c r="Z131" s="591"/>
      <c r="AA131" s="591"/>
      <c r="AB131" s="591"/>
      <c r="AC131" s="591"/>
      <c r="AD131" s="591"/>
      <c r="AE131" s="591"/>
    </row>
    <row r="132" spans="1:31">
      <c r="A132" s="591"/>
      <c r="B132" s="591"/>
      <c r="C132" s="591"/>
      <c r="D132" s="591"/>
      <c r="E132" s="591"/>
      <c r="F132" s="591"/>
      <c r="G132" s="591"/>
      <c r="H132" s="591"/>
      <c r="I132" s="591"/>
      <c r="J132" s="591"/>
      <c r="K132" s="591"/>
      <c r="L132" s="591"/>
      <c r="M132" s="591"/>
      <c r="N132" s="591"/>
      <c r="O132" s="591"/>
      <c r="P132" s="591"/>
      <c r="Q132" s="591"/>
      <c r="R132" s="591"/>
      <c r="S132" s="591"/>
      <c r="T132" s="591"/>
      <c r="U132" s="591"/>
      <c r="V132" s="591"/>
      <c r="W132" s="591"/>
      <c r="X132" s="591"/>
      <c r="Y132" s="591"/>
      <c r="Z132" s="591"/>
      <c r="AA132" s="591"/>
      <c r="AB132" s="591"/>
      <c r="AC132" s="591"/>
      <c r="AD132" s="591"/>
      <c r="AE132" s="591"/>
    </row>
    <row r="133" spans="1:31">
      <c r="A133" s="591"/>
      <c r="B133" s="591"/>
      <c r="C133" s="591"/>
      <c r="D133" s="591"/>
      <c r="E133" s="591"/>
      <c r="F133" s="591"/>
      <c r="G133" s="591"/>
      <c r="H133" s="591"/>
      <c r="I133" s="591"/>
      <c r="J133" s="591"/>
      <c r="K133" s="591"/>
      <c r="L133" s="591"/>
      <c r="M133" s="591"/>
      <c r="N133" s="591"/>
      <c r="O133" s="591"/>
      <c r="P133" s="591"/>
      <c r="Q133" s="591"/>
      <c r="R133" s="591"/>
      <c r="S133" s="591"/>
      <c r="T133" s="591"/>
      <c r="U133" s="591"/>
      <c r="V133" s="591"/>
      <c r="W133" s="591"/>
      <c r="X133" s="591"/>
      <c r="Y133" s="591"/>
      <c r="Z133" s="591"/>
      <c r="AA133" s="591"/>
      <c r="AB133" s="591"/>
      <c r="AC133" s="591"/>
      <c r="AD133" s="591"/>
      <c r="AE133" s="591"/>
    </row>
    <row r="134" spans="1:31">
      <c r="A134" s="591"/>
      <c r="B134" s="591"/>
      <c r="C134" s="591"/>
      <c r="D134" s="591"/>
      <c r="E134" s="591"/>
      <c r="F134" s="591"/>
      <c r="G134" s="591"/>
      <c r="H134" s="591"/>
      <c r="I134" s="591"/>
      <c r="J134" s="591"/>
      <c r="K134" s="591"/>
      <c r="L134" s="591"/>
      <c r="M134" s="591"/>
      <c r="N134" s="591"/>
      <c r="O134" s="591"/>
      <c r="P134" s="591"/>
      <c r="Q134" s="591"/>
      <c r="R134" s="591"/>
      <c r="S134" s="591"/>
      <c r="T134" s="591"/>
      <c r="U134" s="591"/>
      <c r="V134" s="591"/>
      <c r="W134" s="591"/>
      <c r="X134" s="591"/>
      <c r="Y134" s="591"/>
      <c r="Z134" s="591"/>
      <c r="AA134" s="591"/>
      <c r="AB134" s="591"/>
      <c r="AC134" s="591"/>
      <c r="AD134" s="591"/>
      <c r="AE134" s="591"/>
    </row>
    <row r="135" spans="1:31">
      <c r="A135" s="591"/>
      <c r="B135" s="591"/>
      <c r="C135" s="591"/>
      <c r="D135" s="591"/>
      <c r="E135" s="591"/>
      <c r="F135" s="591"/>
      <c r="G135" s="591"/>
      <c r="H135" s="591"/>
      <c r="I135" s="591"/>
      <c r="J135" s="591"/>
      <c r="K135" s="591"/>
      <c r="L135" s="591"/>
      <c r="M135" s="591"/>
      <c r="N135" s="591"/>
      <c r="O135" s="591"/>
      <c r="P135" s="591"/>
      <c r="Q135" s="591"/>
      <c r="R135" s="591"/>
      <c r="S135" s="591"/>
      <c r="T135" s="591"/>
      <c r="U135" s="591"/>
      <c r="V135" s="591"/>
      <c r="W135" s="591"/>
      <c r="X135" s="591"/>
      <c r="Y135" s="591"/>
      <c r="Z135" s="591"/>
      <c r="AA135" s="591"/>
      <c r="AB135" s="591"/>
      <c r="AC135" s="591"/>
      <c r="AD135" s="591"/>
      <c r="AE135" s="591"/>
    </row>
    <row r="136" spans="1:31">
      <c r="A136" s="591"/>
      <c r="B136" s="591"/>
      <c r="C136" s="591"/>
      <c r="D136" s="591"/>
      <c r="E136" s="591"/>
      <c r="F136" s="591"/>
      <c r="G136" s="591"/>
      <c r="H136" s="591"/>
      <c r="I136" s="591"/>
      <c r="J136" s="591"/>
      <c r="K136" s="591"/>
      <c r="L136" s="591"/>
      <c r="M136" s="591"/>
      <c r="N136" s="591"/>
      <c r="O136" s="591"/>
      <c r="P136" s="591"/>
      <c r="Q136" s="591"/>
      <c r="R136" s="591"/>
      <c r="S136" s="591"/>
      <c r="T136" s="591"/>
      <c r="U136" s="591"/>
      <c r="V136" s="591"/>
      <c r="W136" s="591"/>
      <c r="X136" s="591"/>
      <c r="Y136" s="591"/>
      <c r="Z136" s="591"/>
      <c r="AA136" s="591"/>
      <c r="AB136" s="591"/>
      <c r="AC136" s="591"/>
      <c r="AD136" s="591"/>
      <c r="AE136" s="591"/>
    </row>
    <row r="137" spans="1:31">
      <c r="A137" s="591"/>
      <c r="B137" s="591"/>
      <c r="C137" s="591"/>
      <c r="D137" s="591"/>
      <c r="E137" s="591"/>
      <c r="F137" s="591"/>
      <c r="G137" s="591"/>
      <c r="H137" s="591"/>
      <c r="I137" s="591"/>
      <c r="J137" s="591"/>
      <c r="K137" s="591"/>
      <c r="L137" s="591"/>
      <c r="M137" s="591"/>
      <c r="N137" s="591"/>
      <c r="O137" s="591"/>
      <c r="P137" s="591"/>
      <c r="Q137" s="591"/>
      <c r="R137" s="591"/>
      <c r="S137" s="591"/>
      <c r="T137" s="591"/>
      <c r="U137" s="591"/>
      <c r="V137" s="591"/>
      <c r="W137" s="591"/>
      <c r="X137" s="591"/>
      <c r="Y137" s="591"/>
      <c r="Z137" s="591"/>
      <c r="AA137" s="591"/>
      <c r="AB137" s="591"/>
      <c r="AC137" s="591"/>
      <c r="AD137" s="591"/>
      <c r="AE137" s="591"/>
    </row>
    <row r="138" spans="1:31">
      <c r="A138" s="591"/>
      <c r="B138" s="591"/>
      <c r="C138" s="591"/>
      <c r="D138" s="591"/>
      <c r="E138" s="591"/>
      <c r="F138" s="591"/>
      <c r="G138" s="591"/>
      <c r="H138" s="591"/>
      <c r="I138" s="591"/>
      <c r="J138" s="591"/>
      <c r="K138" s="591"/>
      <c r="L138" s="591"/>
      <c r="M138" s="591"/>
      <c r="N138" s="591"/>
      <c r="O138" s="591"/>
      <c r="P138" s="591"/>
      <c r="Q138" s="591"/>
      <c r="R138" s="591"/>
      <c r="S138" s="591"/>
      <c r="T138" s="591"/>
      <c r="U138" s="591"/>
      <c r="V138" s="591"/>
      <c r="W138" s="591"/>
      <c r="X138" s="591"/>
      <c r="Y138" s="591"/>
      <c r="Z138" s="591"/>
      <c r="AA138" s="591"/>
      <c r="AB138" s="591"/>
      <c r="AC138" s="591"/>
      <c r="AD138" s="591"/>
      <c r="AE138" s="591"/>
    </row>
    <row r="139" spans="1:31">
      <c r="A139" s="591"/>
      <c r="B139" s="591"/>
      <c r="C139" s="591"/>
      <c r="D139" s="591"/>
      <c r="E139" s="591"/>
      <c r="F139" s="591"/>
      <c r="G139" s="591"/>
      <c r="H139" s="591"/>
      <c r="I139" s="591"/>
      <c r="J139" s="591"/>
      <c r="K139" s="591"/>
      <c r="L139" s="591"/>
      <c r="M139" s="591"/>
      <c r="N139" s="591"/>
      <c r="O139" s="591"/>
      <c r="P139" s="591"/>
      <c r="Q139" s="591"/>
      <c r="R139" s="591"/>
      <c r="S139" s="591"/>
      <c r="T139" s="591"/>
      <c r="U139" s="591"/>
      <c r="V139" s="591"/>
      <c r="W139" s="591"/>
      <c r="X139" s="591"/>
      <c r="Y139" s="591"/>
      <c r="Z139" s="591"/>
      <c r="AA139" s="591"/>
      <c r="AB139" s="591"/>
      <c r="AC139" s="591"/>
      <c r="AD139" s="591"/>
      <c r="AE139" s="591"/>
    </row>
    <row r="140" spans="1:31">
      <c r="A140" s="591"/>
      <c r="B140" s="591"/>
      <c r="C140" s="591"/>
      <c r="D140" s="591"/>
      <c r="E140" s="591"/>
      <c r="F140" s="591"/>
      <c r="G140" s="591"/>
      <c r="H140" s="591"/>
      <c r="I140" s="591"/>
      <c r="J140" s="591"/>
      <c r="K140" s="591"/>
      <c r="L140" s="591"/>
      <c r="M140" s="591"/>
      <c r="N140" s="591"/>
      <c r="O140" s="591"/>
      <c r="P140" s="591"/>
      <c r="Q140" s="591"/>
      <c r="R140" s="591"/>
      <c r="S140" s="591"/>
      <c r="T140" s="591"/>
      <c r="U140" s="591"/>
      <c r="V140" s="591"/>
      <c r="W140" s="591"/>
      <c r="X140" s="591"/>
      <c r="Y140" s="591"/>
      <c r="Z140" s="591"/>
      <c r="AA140" s="591"/>
      <c r="AB140" s="591"/>
      <c r="AC140" s="591"/>
      <c r="AD140" s="591"/>
      <c r="AE140" s="591"/>
    </row>
    <row r="141" spans="1:31">
      <c r="A141" s="591"/>
      <c r="B141" s="591"/>
      <c r="C141" s="591"/>
      <c r="D141" s="591"/>
      <c r="E141" s="591"/>
      <c r="F141" s="591"/>
      <c r="G141" s="591"/>
      <c r="H141" s="591"/>
      <c r="I141" s="591"/>
      <c r="J141" s="591"/>
      <c r="K141" s="591"/>
      <c r="L141" s="591"/>
      <c r="M141" s="591"/>
      <c r="N141" s="591"/>
      <c r="O141" s="591"/>
      <c r="P141" s="591"/>
      <c r="Q141" s="591"/>
      <c r="R141" s="591"/>
      <c r="S141" s="591"/>
      <c r="T141" s="591"/>
      <c r="U141" s="591"/>
      <c r="V141" s="591"/>
      <c r="W141" s="591"/>
      <c r="X141" s="591"/>
      <c r="Y141" s="591"/>
      <c r="Z141" s="591"/>
      <c r="AA141" s="591"/>
      <c r="AB141" s="591"/>
      <c r="AC141" s="591"/>
      <c r="AD141" s="591"/>
      <c r="AE141" s="591"/>
    </row>
    <row r="142" spans="1:31">
      <c r="A142" s="591"/>
      <c r="B142" s="591"/>
      <c r="C142" s="591"/>
      <c r="D142" s="591"/>
      <c r="E142" s="591"/>
      <c r="F142" s="591"/>
      <c r="G142" s="591"/>
      <c r="H142" s="591"/>
      <c r="I142" s="591"/>
      <c r="J142" s="591"/>
      <c r="K142" s="591"/>
      <c r="L142" s="591"/>
      <c r="M142" s="591"/>
      <c r="N142" s="591"/>
      <c r="O142" s="591"/>
      <c r="P142" s="591"/>
      <c r="Q142" s="591"/>
      <c r="R142" s="591"/>
      <c r="S142" s="591"/>
      <c r="T142" s="591"/>
      <c r="U142" s="591"/>
      <c r="V142" s="591"/>
      <c r="W142" s="591"/>
      <c r="X142" s="591"/>
      <c r="Y142" s="591"/>
      <c r="Z142" s="591"/>
      <c r="AA142" s="591"/>
      <c r="AB142" s="591"/>
      <c r="AC142" s="591"/>
      <c r="AD142" s="591"/>
      <c r="AE142" s="591"/>
    </row>
    <row r="143" spans="1:31">
      <c r="A143" s="591"/>
      <c r="B143" s="591"/>
      <c r="C143" s="591"/>
      <c r="D143" s="591"/>
      <c r="E143" s="591"/>
      <c r="F143" s="591"/>
      <c r="G143" s="591"/>
      <c r="H143" s="591"/>
      <c r="I143" s="591"/>
      <c r="J143" s="591"/>
      <c r="K143" s="591"/>
      <c r="L143" s="591"/>
      <c r="M143" s="591"/>
      <c r="N143" s="591"/>
      <c r="O143" s="591"/>
      <c r="P143" s="591"/>
      <c r="Q143" s="591"/>
      <c r="R143" s="591"/>
      <c r="S143" s="591"/>
      <c r="T143" s="591"/>
      <c r="U143" s="591"/>
      <c r="V143" s="591"/>
      <c r="W143" s="591"/>
      <c r="X143" s="591"/>
      <c r="Y143" s="591"/>
      <c r="Z143" s="591"/>
      <c r="AA143" s="591"/>
      <c r="AB143" s="591"/>
      <c r="AC143" s="591"/>
      <c r="AD143" s="591"/>
      <c r="AE143" s="591"/>
    </row>
    <row r="144" spans="1:31">
      <c r="A144" s="591"/>
      <c r="B144" s="591"/>
      <c r="C144" s="591"/>
      <c r="D144" s="591"/>
      <c r="E144" s="591"/>
      <c r="F144" s="591"/>
      <c r="G144" s="591"/>
      <c r="H144" s="591"/>
      <c r="I144" s="591"/>
      <c r="J144" s="591"/>
      <c r="K144" s="591"/>
      <c r="L144" s="591"/>
      <c r="M144" s="591"/>
      <c r="N144" s="591"/>
      <c r="O144" s="591"/>
      <c r="P144" s="591"/>
      <c r="Q144" s="591"/>
      <c r="R144" s="591"/>
      <c r="S144" s="591"/>
      <c r="T144" s="591"/>
      <c r="U144" s="591"/>
      <c r="V144" s="591"/>
      <c r="W144" s="591"/>
      <c r="X144" s="591"/>
      <c r="Y144" s="591"/>
      <c r="Z144" s="591"/>
      <c r="AA144" s="591"/>
      <c r="AB144" s="591"/>
      <c r="AC144" s="591"/>
      <c r="AD144" s="591"/>
      <c r="AE144" s="591"/>
    </row>
    <row r="145" spans="1:31">
      <c r="A145" s="591"/>
      <c r="B145" s="591"/>
      <c r="C145" s="591"/>
      <c r="D145" s="591"/>
      <c r="E145" s="591"/>
      <c r="F145" s="591"/>
      <c r="G145" s="591"/>
      <c r="H145" s="591"/>
      <c r="I145" s="591"/>
      <c r="J145" s="591"/>
      <c r="K145" s="591"/>
      <c r="L145" s="591"/>
      <c r="M145" s="591"/>
      <c r="N145" s="591"/>
      <c r="O145" s="591"/>
      <c r="P145" s="591"/>
      <c r="Q145" s="591"/>
      <c r="R145" s="591"/>
      <c r="S145" s="591"/>
      <c r="T145" s="591"/>
      <c r="U145" s="591"/>
      <c r="V145" s="591"/>
      <c r="W145" s="591"/>
      <c r="X145" s="591"/>
      <c r="Y145" s="591"/>
      <c r="Z145" s="591"/>
      <c r="AA145" s="591"/>
      <c r="AB145" s="591"/>
      <c r="AC145" s="591"/>
      <c r="AD145" s="591"/>
      <c r="AE145" s="591"/>
    </row>
    <row r="146" spans="1:31">
      <c r="A146" s="591"/>
      <c r="B146" s="591"/>
      <c r="C146" s="591"/>
      <c r="D146" s="591"/>
      <c r="E146" s="591"/>
      <c r="F146" s="591"/>
      <c r="G146" s="591"/>
      <c r="H146" s="591"/>
      <c r="I146" s="591"/>
      <c r="J146" s="591"/>
      <c r="K146" s="591"/>
      <c r="L146" s="591"/>
      <c r="M146" s="591"/>
      <c r="N146" s="591"/>
      <c r="O146" s="591"/>
      <c r="P146" s="591"/>
      <c r="Q146" s="591"/>
      <c r="R146" s="591"/>
      <c r="S146" s="591"/>
      <c r="T146" s="591"/>
      <c r="U146" s="591"/>
      <c r="V146" s="591"/>
      <c r="W146" s="591"/>
      <c r="X146" s="591"/>
      <c r="Y146" s="591"/>
      <c r="Z146" s="591"/>
      <c r="AA146" s="591"/>
      <c r="AB146" s="591"/>
      <c r="AC146" s="591"/>
      <c r="AD146" s="591"/>
      <c r="AE146" s="591"/>
    </row>
    <row r="147" spans="1:31">
      <c r="A147" s="591"/>
      <c r="B147" s="591"/>
      <c r="C147" s="591"/>
      <c r="D147" s="591"/>
      <c r="E147" s="591"/>
      <c r="F147" s="591"/>
      <c r="G147" s="591"/>
      <c r="H147" s="591"/>
      <c r="I147" s="591"/>
      <c r="J147" s="591"/>
      <c r="K147" s="591"/>
      <c r="L147" s="591"/>
      <c r="M147" s="591"/>
      <c r="N147" s="591"/>
      <c r="O147" s="591"/>
      <c r="P147" s="591"/>
      <c r="Q147" s="591"/>
      <c r="R147" s="591"/>
      <c r="S147" s="591"/>
      <c r="T147" s="591"/>
      <c r="U147" s="591"/>
      <c r="V147" s="591"/>
      <c r="W147" s="591"/>
      <c r="X147" s="591"/>
      <c r="Y147" s="591"/>
      <c r="Z147" s="591"/>
      <c r="AA147" s="591"/>
      <c r="AB147" s="591"/>
      <c r="AC147" s="591"/>
      <c r="AD147" s="591"/>
      <c r="AE147" s="591"/>
    </row>
    <row r="148" spans="1:31">
      <c r="A148" s="591"/>
      <c r="B148" s="591"/>
      <c r="C148" s="591"/>
      <c r="D148" s="591"/>
      <c r="E148" s="591"/>
      <c r="F148" s="591"/>
      <c r="G148" s="591"/>
      <c r="H148" s="591"/>
      <c r="I148" s="591"/>
      <c r="J148" s="591"/>
      <c r="K148" s="591"/>
      <c r="L148" s="591"/>
      <c r="M148" s="591"/>
      <c r="N148" s="591"/>
      <c r="O148" s="591"/>
      <c r="P148" s="591"/>
      <c r="Q148" s="591"/>
      <c r="R148" s="591"/>
      <c r="S148" s="591"/>
      <c r="T148" s="591"/>
      <c r="U148" s="591"/>
      <c r="V148" s="591"/>
      <c r="W148" s="591"/>
      <c r="X148" s="591"/>
      <c r="Y148" s="591"/>
      <c r="Z148" s="591"/>
      <c r="AA148" s="591"/>
      <c r="AB148" s="591"/>
      <c r="AC148" s="591"/>
      <c r="AD148" s="591"/>
      <c r="AE148" s="591"/>
    </row>
    <row r="149" spans="1:31">
      <c r="A149" s="591"/>
      <c r="B149" s="591"/>
      <c r="C149" s="591"/>
      <c r="D149" s="591"/>
      <c r="E149" s="591"/>
      <c r="F149" s="591"/>
      <c r="G149" s="591"/>
      <c r="H149" s="591"/>
      <c r="I149" s="591"/>
      <c r="J149" s="591"/>
      <c r="K149" s="591"/>
      <c r="L149" s="591"/>
      <c r="M149" s="591"/>
      <c r="N149" s="591"/>
      <c r="O149" s="591"/>
      <c r="P149" s="591"/>
      <c r="Q149" s="591"/>
      <c r="R149" s="591"/>
      <c r="S149" s="591"/>
      <c r="T149" s="591"/>
      <c r="U149" s="591"/>
      <c r="V149" s="591"/>
      <c r="W149" s="591"/>
      <c r="X149" s="591"/>
      <c r="Y149" s="591"/>
      <c r="Z149" s="591"/>
      <c r="AA149" s="591"/>
      <c r="AB149" s="591"/>
      <c r="AC149" s="591"/>
      <c r="AD149" s="591"/>
      <c r="AE149" s="591"/>
    </row>
    <row r="150" spans="1:31">
      <c r="A150" s="591"/>
      <c r="B150" s="591"/>
      <c r="C150" s="591"/>
      <c r="D150" s="591"/>
      <c r="E150" s="591"/>
      <c r="F150" s="591"/>
      <c r="G150" s="591"/>
      <c r="H150" s="591"/>
      <c r="I150" s="591"/>
      <c r="J150" s="591"/>
      <c r="K150" s="591"/>
      <c r="L150" s="591"/>
      <c r="M150" s="591"/>
      <c r="N150" s="591"/>
      <c r="O150" s="591"/>
      <c r="P150" s="591"/>
      <c r="Q150" s="591"/>
      <c r="R150" s="591"/>
      <c r="S150" s="591"/>
      <c r="T150" s="591"/>
      <c r="U150" s="591"/>
      <c r="V150" s="591"/>
      <c r="W150" s="591"/>
      <c r="X150" s="591"/>
      <c r="Y150" s="591"/>
      <c r="Z150" s="591"/>
      <c r="AA150" s="591"/>
      <c r="AB150" s="591"/>
      <c r="AC150" s="591"/>
      <c r="AD150" s="591"/>
      <c r="AE150" s="591"/>
    </row>
    <row r="151" spans="1:31">
      <c r="A151" s="591"/>
      <c r="B151" s="591"/>
      <c r="C151" s="591"/>
      <c r="D151" s="591"/>
      <c r="E151" s="591"/>
      <c r="F151" s="591"/>
      <c r="G151" s="591"/>
      <c r="H151" s="591"/>
      <c r="I151" s="591"/>
      <c r="J151" s="591"/>
      <c r="K151" s="591"/>
      <c r="L151" s="591"/>
      <c r="M151" s="591"/>
      <c r="N151" s="591"/>
      <c r="O151" s="591"/>
      <c r="P151" s="591"/>
      <c r="Q151" s="591"/>
      <c r="R151" s="591"/>
      <c r="S151" s="591"/>
      <c r="T151" s="591"/>
      <c r="U151" s="591"/>
      <c r="V151" s="591"/>
      <c r="W151" s="591"/>
      <c r="X151" s="591"/>
      <c r="Y151" s="591"/>
      <c r="Z151" s="591"/>
      <c r="AA151" s="591"/>
      <c r="AB151" s="591"/>
      <c r="AC151" s="591"/>
      <c r="AD151" s="591"/>
      <c r="AE151" s="591"/>
    </row>
    <row r="152" spans="1:31">
      <c r="A152" s="591"/>
      <c r="B152" s="591"/>
      <c r="C152" s="591"/>
      <c r="D152" s="591"/>
      <c r="E152" s="591"/>
      <c r="F152" s="591"/>
      <c r="G152" s="591"/>
      <c r="H152" s="591"/>
      <c r="I152" s="591"/>
      <c r="J152" s="591"/>
      <c r="K152" s="591"/>
      <c r="L152" s="591"/>
      <c r="M152" s="591"/>
      <c r="N152" s="591"/>
      <c r="O152" s="591"/>
      <c r="P152" s="591"/>
      <c r="Q152" s="591"/>
      <c r="R152" s="591"/>
      <c r="S152" s="591"/>
      <c r="T152" s="591"/>
      <c r="U152" s="591"/>
      <c r="V152" s="591"/>
      <c r="W152" s="591"/>
      <c r="X152" s="591"/>
      <c r="Y152" s="591"/>
      <c r="Z152" s="591"/>
      <c r="AA152" s="591"/>
      <c r="AB152" s="591"/>
      <c r="AC152" s="591"/>
      <c r="AD152" s="591"/>
      <c r="AE152" s="591"/>
    </row>
    <row r="153" spans="1:31">
      <c r="A153" s="591"/>
      <c r="B153" s="591"/>
      <c r="C153" s="591"/>
      <c r="D153" s="591"/>
      <c r="E153" s="591"/>
      <c r="F153" s="591"/>
      <c r="G153" s="591"/>
      <c r="H153" s="591"/>
      <c r="I153" s="591"/>
      <c r="J153" s="591"/>
      <c r="K153" s="591"/>
      <c r="L153" s="591"/>
      <c r="M153" s="591"/>
      <c r="N153" s="591"/>
      <c r="O153" s="591"/>
      <c r="P153" s="591"/>
      <c r="Q153" s="591"/>
      <c r="R153" s="591"/>
      <c r="S153" s="591"/>
      <c r="T153" s="591"/>
      <c r="U153" s="591"/>
      <c r="V153" s="591"/>
      <c r="W153" s="591"/>
      <c r="X153" s="591"/>
      <c r="Y153" s="591"/>
      <c r="Z153" s="591"/>
      <c r="AA153" s="591"/>
      <c r="AB153" s="591"/>
      <c r="AC153" s="591"/>
      <c r="AD153" s="591"/>
      <c r="AE153" s="591"/>
    </row>
    <row r="154" spans="1:31">
      <c r="A154" s="591"/>
      <c r="B154" s="591"/>
      <c r="C154" s="591"/>
      <c r="D154" s="591"/>
      <c r="E154" s="591"/>
      <c r="F154" s="591"/>
      <c r="G154" s="591"/>
      <c r="H154" s="591"/>
      <c r="I154" s="591"/>
      <c r="J154" s="591"/>
      <c r="K154" s="591"/>
      <c r="L154" s="591"/>
      <c r="M154" s="591"/>
      <c r="N154" s="591"/>
      <c r="O154" s="591"/>
      <c r="P154" s="591"/>
      <c r="Q154" s="591"/>
      <c r="R154" s="591"/>
      <c r="S154" s="591"/>
      <c r="T154" s="591"/>
      <c r="U154" s="591"/>
      <c r="V154" s="591"/>
      <c r="W154" s="591"/>
      <c r="X154" s="591"/>
      <c r="Y154" s="591"/>
      <c r="Z154" s="591"/>
      <c r="AA154" s="591"/>
      <c r="AB154" s="591"/>
      <c r="AC154" s="591"/>
      <c r="AD154" s="591"/>
      <c r="AE154" s="591"/>
    </row>
    <row r="155" spans="1:31">
      <c r="A155" s="591"/>
      <c r="B155" s="591"/>
      <c r="C155" s="591"/>
      <c r="D155" s="591"/>
      <c r="E155" s="591"/>
      <c r="F155" s="591"/>
      <c r="G155" s="591"/>
      <c r="H155" s="591"/>
      <c r="I155" s="591"/>
      <c r="J155" s="591"/>
      <c r="K155" s="591"/>
      <c r="L155" s="591"/>
      <c r="M155" s="591"/>
      <c r="N155" s="591"/>
      <c r="O155" s="591"/>
      <c r="P155" s="591"/>
      <c r="Q155" s="591"/>
      <c r="R155" s="591"/>
      <c r="S155" s="591"/>
      <c r="T155" s="591"/>
      <c r="U155" s="591"/>
      <c r="V155" s="591"/>
      <c r="W155" s="591"/>
      <c r="X155" s="591"/>
      <c r="Y155" s="591"/>
      <c r="Z155" s="591"/>
      <c r="AA155" s="591"/>
      <c r="AB155" s="591"/>
      <c r="AC155" s="591"/>
      <c r="AD155" s="591"/>
      <c r="AE155" s="591"/>
    </row>
    <row r="156" spans="1:31">
      <c r="A156" s="591"/>
      <c r="B156" s="591"/>
      <c r="C156" s="591"/>
      <c r="D156" s="591"/>
      <c r="E156" s="591"/>
      <c r="F156" s="591"/>
      <c r="G156" s="591"/>
      <c r="H156" s="591"/>
      <c r="I156" s="591"/>
      <c r="J156" s="591"/>
      <c r="K156" s="591"/>
      <c r="L156" s="591"/>
      <c r="M156" s="591"/>
      <c r="N156" s="591"/>
      <c r="O156" s="591"/>
      <c r="P156" s="591"/>
      <c r="Q156" s="591"/>
      <c r="R156" s="591"/>
      <c r="S156" s="591"/>
      <c r="T156" s="591"/>
      <c r="U156" s="591"/>
      <c r="V156" s="591"/>
      <c r="W156" s="591"/>
      <c r="X156" s="591"/>
      <c r="Y156" s="591"/>
      <c r="Z156" s="591"/>
      <c r="AA156" s="591"/>
      <c r="AB156" s="591"/>
      <c r="AC156" s="591"/>
      <c r="AD156" s="591"/>
      <c r="AE156" s="591"/>
    </row>
    <row r="157" spans="1:31">
      <c r="A157" s="591"/>
      <c r="B157" s="591"/>
      <c r="C157" s="591"/>
      <c r="D157" s="591"/>
      <c r="E157" s="591"/>
      <c r="F157" s="591"/>
      <c r="G157" s="591"/>
      <c r="H157" s="591"/>
      <c r="I157" s="591"/>
      <c r="J157" s="591"/>
      <c r="K157" s="591"/>
      <c r="L157" s="591"/>
      <c r="M157" s="591"/>
      <c r="N157" s="591"/>
      <c r="O157" s="591"/>
      <c r="P157" s="591"/>
      <c r="Q157" s="591"/>
      <c r="R157" s="591"/>
      <c r="S157" s="591"/>
      <c r="T157" s="591"/>
      <c r="U157" s="591"/>
      <c r="V157" s="591"/>
      <c r="W157" s="591"/>
      <c r="X157" s="591"/>
      <c r="Y157" s="591"/>
      <c r="Z157" s="591"/>
      <c r="AA157" s="591"/>
      <c r="AB157" s="591"/>
      <c r="AC157" s="591"/>
      <c r="AD157" s="591"/>
      <c r="AE157" s="591"/>
    </row>
    <row r="158" spans="1:31">
      <c r="A158" s="591"/>
      <c r="B158" s="591"/>
      <c r="C158" s="591"/>
      <c r="D158" s="591"/>
      <c r="E158" s="591"/>
      <c r="F158" s="591"/>
      <c r="G158" s="591"/>
      <c r="H158" s="591"/>
      <c r="I158" s="591"/>
      <c r="J158" s="591"/>
      <c r="K158" s="591"/>
      <c r="L158" s="591"/>
      <c r="M158" s="591"/>
      <c r="N158" s="591"/>
      <c r="O158" s="591"/>
      <c r="P158" s="591"/>
      <c r="Q158" s="591"/>
      <c r="R158" s="591"/>
      <c r="S158" s="591"/>
      <c r="T158" s="591"/>
      <c r="U158" s="591"/>
      <c r="V158" s="591"/>
      <c r="W158" s="591"/>
      <c r="X158" s="591"/>
      <c r="Y158" s="591"/>
      <c r="Z158" s="591"/>
      <c r="AA158" s="591"/>
      <c r="AB158" s="591"/>
      <c r="AC158" s="591"/>
      <c r="AD158" s="591"/>
      <c r="AE158" s="591"/>
    </row>
    <row r="159" spans="1:31">
      <c r="A159" s="591"/>
      <c r="B159" s="591"/>
      <c r="C159" s="591"/>
      <c r="D159" s="591"/>
      <c r="E159" s="591"/>
      <c r="F159" s="591"/>
      <c r="G159" s="591"/>
      <c r="H159" s="591"/>
      <c r="I159" s="591"/>
      <c r="J159" s="591"/>
      <c r="K159" s="591"/>
      <c r="L159" s="591"/>
      <c r="M159" s="591"/>
      <c r="N159" s="591"/>
      <c r="O159" s="591"/>
      <c r="P159" s="591"/>
      <c r="Q159" s="591"/>
      <c r="R159" s="591"/>
      <c r="S159" s="591"/>
      <c r="T159" s="591"/>
      <c r="U159" s="591"/>
      <c r="V159" s="591"/>
      <c r="W159" s="591"/>
      <c r="X159" s="591"/>
      <c r="Y159" s="591"/>
      <c r="Z159" s="591"/>
      <c r="AA159" s="591"/>
      <c r="AB159" s="591"/>
      <c r="AC159" s="591"/>
      <c r="AD159" s="591"/>
      <c r="AE159" s="591"/>
    </row>
    <row r="160" spans="1:31">
      <c r="A160" s="591"/>
      <c r="B160" s="591"/>
      <c r="C160" s="591"/>
      <c r="D160" s="591"/>
      <c r="E160" s="591"/>
      <c r="F160" s="591"/>
      <c r="G160" s="591"/>
      <c r="H160" s="591"/>
      <c r="I160" s="591"/>
      <c r="J160" s="591"/>
      <c r="K160" s="591"/>
      <c r="L160" s="591"/>
      <c r="M160" s="591"/>
      <c r="N160" s="591"/>
      <c r="O160" s="591"/>
      <c r="P160" s="591"/>
      <c r="Q160" s="591"/>
      <c r="R160" s="591"/>
      <c r="S160" s="591"/>
      <c r="T160" s="591"/>
      <c r="U160" s="591"/>
      <c r="V160" s="591"/>
      <c r="W160" s="591"/>
      <c r="X160" s="591"/>
      <c r="Y160" s="591"/>
      <c r="Z160" s="591"/>
      <c r="AA160" s="591"/>
      <c r="AB160" s="591"/>
      <c r="AC160" s="591"/>
      <c r="AD160" s="591"/>
      <c r="AE160" s="591"/>
    </row>
    <row r="161" spans="1:31">
      <c r="A161" s="591"/>
      <c r="B161" s="591"/>
      <c r="C161" s="591"/>
      <c r="D161" s="591"/>
      <c r="E161" s="591"/>
      <c r="F161" s="591"/>
      <c r="G161" s="591"/>
      <c r="H161" s="591"/>
      <c r="I161" s="591"/>
      <c r="J161" s="591"/>
      <c r="K161" s="591"/>
      <c r="L161" s="591"/>
      <c r="M161" s="591"/>
      <c r="N161" s="591"/>
      <c r="O161" s="591"/>
      <c r="P161" s="591"/>
      <c r="Q161" s="591"/>
      <c r="R161" s="591"/>
      <c r="S161" s="591"/>
      <c r="T161" s="591"/>
      <c r="U161" s="591"/>
      <c r="V161" s="591"/>
      <c r="W161" s="591"/>
      <c r="X161" s="591"/>
      <c r="Y161" s="591"/>
      <c r="Z161" s="591"/>
      <c r="AA161" s="591"/>
      <c r="AB161" s="591"/>
      <c r="AC161" s="591"/>
      <c r="AD161" s="591"/>
      <c r="AE161" s="591"/>
    </row>
    <row r="162" spans="1:31">
      <c r="A162" s="591"/>
      <c r="B162" s="591"/>
      <c r="C162" s="591"/>
      <c r="D162" s="591"/>
      <c r="E162" s="591"/>
      <c r="F162" s="591"/>
      <c r="G162" s="591"/>
      <c r="H162" s="591"/>
      <c r="I162" s="591"/>
      <c r="J162" s="591"/>
      <c r="K162" s="591"/>
      <c r="L162" s="591"/>
      <c r="M162" s="591"/>
      <c r="N162" s="591"/>
      <c r="O162" s="591"/>
      <c r="P162" s="591"/>
      <c r="Q162" s="591"/>
      <c r="R162" s="591"/>
      <c r="S162" s="591"/>
      <c r="T162" s="591"/>
      <c r="U162" s="591"/>
      <c r="V162" s="591"/>
      <c r="W162" s="591"/>
      <c r="X162" s="591"/>
      <c r="Y162" s="591"/>
      <c r="Z162" s="591"/>
      <c r="AA162" s="591"/>
      <c r="AB162" s="591"/>
      <c r="AC162" s="591"/>
      <c r="AD162" s="591"/>
      <c r="AE162" s="591"/>
    </row>
    <row r="163" spans="1:31">
      <c r="A163" s="591"/>
      <c r="B163" s="591"/>
      <c r="C163" s="591"/>
      <c r="D163" s="591"/>
      <c r="E163" s="591"/>
      <c r="F163" s="591"/>
      <c r="G163" s="591"/>
      <c r="H163" s="591"/>
      <c r="I163" s="591"/>
      <c r="J163" s="591"/>
      <c r="K163" s="591"/>
      <c r="L163" s="591"/>
      <c r="M163" s="591"/>
      <c r="N163" s="591"/>
      <c r="O163" s="591"/>
      <c r="P163" s="591"/>
      <c r="Q163" s="591"/>
      <c r="R163" s="591"/>
      <c r="S163" s="591"/>
      <c r="T163" s="591"/>
      <c r="U163" s="591"/>
      <c r="V163" s="591"/>
      <c r="W163" s="591"/>
      <c r="X163" s="591"/>
      <c r="Y163" s="591"/>
      <c r="Z163" s="591"/>
      <c r="AA163" s="591"/>
      <c r="AB163" s="591"/>
      <c r="AC163" s="591"/>
      <c r="AD163" s="591"/>
      <c r="AE163" s="591"/>
    </row>
    <row r="164" spans="1:31">
      <c r="A164" s="591"/>
      <c r="B164" s="591"/>
      <c r="C164" s="591"/>
      <c r="D164" s="591"/>
      <c r="E164" s="591"/>
      <c r="F164" s="591"/>
      <c r="G164" s="591"/>
      <c r="H164" s="591"/>
      <c r="I164" s="591"/>
      <c r="J164" s="591"/>
      <c r="K164" s="591"/>
      <c r="L164" s="591"/>
      <c r="M164" s="591"/>
      <c r="N164" s="591"/>
      <c r="O164" s="591"/>
      <c r="P164" s="591"/>
      <c r="Q164" s="591"/>
      <c r="R164" s="591"/>
      <c r="S164" s="591"/>
      <c r="T164" s="591"/>
      <c r="U164" s="591"/>
      <c r="V164" s="591"/>
      <c r="W164" s="591"/>
      <c r="X164" s="591"/>
      <c r="Y164" s="591"/>
      <c r="Z164" s="591"/>
      <c r="AA164" s="591"/>
      <c r="AB164" s="591"/>
      <c r="AC164" s="591"/>
      <c r="AD164" s="591"/>
      <c r="AE164" s="591"/>
    </row>
    <row r="165" spans="1:31">
      <c r="A165" s="591"/>
      <c r="B165" s="591"/>
      <c r="C165" s="591"/>
      <c r="D165" s="591"/>
      <c r="E165" s="591"/>
      <c r="F165" s="591"/>
      <c r="G165" s="591"/>
      <c r="H165" s="591"/>
      <c r="I165" s="591"/>
      <c r="J165" s="591"/>
      <c r="K165" s="591"/>
      <c r="L165" s="591"/>
      <c r="M165" s="591"/>
      <c r="N165" s="591"/>
      <c r="O165" s="591"/>
      <c r="P165" s="591"/>
      <c r="Q165" s="591"/>
      <c r="R165" s="591"/>
      <c r="S165" s="591"/>
      <c r="T165" s="591"/>
      <c r="U165" s="591"/>
      <c r="V165" s="591"/>
      <c r="W165" s="591"/>
      <c r="X165" s="591"/>
      <c r="Y165" s="591"/>
      <c r="Z165" s="591"/>
      <c r="AA165" s="591"/>
      <c r="AB165" s="591"/>
      <c r="AC165" s="591"/>
      <c r="AD165" s="591"/>
      <c r="AE165" s="591"/>
    </row>
    <row r="166" spans="1:31">
      <c r="A166" s="591"/>
      <c r="B166" s="591"/>
      <c r="C166" s="591"/>
      <c r="D166" s="591"/>
      <c r="E166" s="591"/>
      <c r="F166" s="591"/>
      <c r="G166" s="591"/>
      <c r="H166" s="591"/>
      <c r="I166" s="591"/>
      <c r="J166" s="591"/>
      <c r="K166" s="591"/>
      <c r="L166" s="591"/>
      <c r="M166" s="591"/>
      <c r="N166" s="591"/>
      <c r="O166" s="591"/>
      <c r="P166" s="591"/>
      <c r="Q166" s="591"/>
      <c r="R166" s="591"/>
      <c r="S166" s="591"/>
      <c r="T166" s="591"/>
      <c r="U166" s="591"/>
      <c r="V166" s="591"/>
      <c r="W166" s="591"/>
      <c r="X166" s="591"/>
      <c r="Y166" s="591"/>
      <c r="Z166" s="591"/>
      <c r="AA166" s="591"/>
      <c r="AB166" s="591"/>
      <c r="AC166" s="591"/>
      <c r="AD166" s="591"/>
      <c r="AE166" s="591"/>
    </row>
    <row r="167" spans="1:31">
      <c r="A167" s="591"/>
      <c r="B167" s="591"/>
      <c r="C167" s="591"/>
      <c r="D167" s="591"/>
      <c r="E167" s="591"/>
      <c r="F167" s="591"/>
      <c r="G167" s="591"/>
      <c r="H167" s="591"/>
      <c r="I167" s="591"/>
      <c r="J167" s="591"/>
      <c r="K167" s="591"/>
      <c r="L167" s="591"/>
      <c r="M167" s="591"/>
      <c r="N167" s="591"/>
      <c r="O167" s="591"/>
      <c r="P167" s="591"/>
      <c r="Q167" s="591"/>
      <c r="R167" s="591"/>
      <c r="S167" s="591"/>
      <c r="T167" s="591"/>
      <c r="U167" s="591"/>
      <c r="V167" s="591"/>
      <c r="W167" s="591"/>
      <c r="X167" s="591"/>
      <c r="Y167" s="591"/>
      <c r="Z167" s="591"/>
      <c r="AA167" s="591"/>
      <c r="AB167" s="591"/>
      <c r="AC167" s="591"/>
      <c r="AD167" s="591"/>
      <c r="AE167" s="591"/>
    </row>
    <row r="168" spans="1:31">
      <c r="A168" s="591"/>
      <c r="B168" s="591"/>
      <c r="C168" s="591"/>
      <c r="D168" s="591"/>
      <c r="E168" s="591"/>
      <c r="F168" s="591"/>
      <c r="G168" s="591"/>
      <c r="H168" s="591"/>
      <c r="I168" s="591"/>
      <c r="J168" s="591"/>
      <c r="K168" s="591"/>
      <c r="L168" s="591"/>
      <c r="M168" s="591"/>
      <c r="N168" s="591"/>
      <c r="O168" s="591"/>
      <c r="P168" s="591"/>
      <c r="Q168" s="591"/>
      <c r="R168" s="591"/>
      <c r="S168" s="591"/>
      <c r="T168" s="591"/>
      <c r="U168" s="591"/>
      <c r="V168" s="591"/>
      <c r="W168" s="591"/>
      <c r="X168" s="591"/>
      <c r="Y168" s="591"/>
      <c r="Z168" s="591"/>
      <c r="AA168" s="591"/>
      <c r="AB168" s="591"/>
      <c r="AC168" s="591"/>
      <c r="AD168" s="591"/>
      <c r="AE168" s="591"/>
    </row>
    <row r="169" spans="1:31">
      <c r="A169" s="591"/>
      <c r="B169" s="591"/>
      <c r="C169" s="591"/>
      <c r="D169" s="591"/>
      <c r="E169" s="591"/>
      <c r="F169" s="591"/>
      <c r="G169" s="591"/>
      <c r="H169" s="591"/>
      <c r="I169" s="591"/>
      <c r="J169" s="591"/>
      <c r="K169" s="591"/>
      <c r="L169" s="591"/>
      <c r="M169" s="591"/>
      <c r="N169" s="591"/>
      <c r="O169" s="591"/>
      <c r="P169" s="591"/>
      <c r="Q169" s="591"/>
      <c r="R169" s="591"/>
      <c r="S169" s="591"/>
      <c r="T169" s="591"/>
      <c r="U169" s="591"/>
      <c r="V169" s="591"/>
      <c r="W169" s="591"/>
      <c r="X169" s="591"/>
      <c r="Y169" s="591"/>
      <c r="Z169" s="591"/>
      <c r="AA169" s="591"/>
      <c r="AB169" s="591"/>
      <c r="AC169" s="591"/>
      <c r="AD169" s="591"/>
      <c r="AE169" s="591"/>
    </row>
    <row r="170" spans="1:31">
      <c r="A170" s="591"/>
      <c r="B170" s="591"/>
      <c r="C170" s="591"/>
      <c r="D170" s="591"/>
      <c r="E170" s="591"/>
      <c r="F170" s="591"/>
      <c r="G170" s="591"/>
      <c r="H170" s="591"/>
      <c r="I170" s="591"/>
      <c r="J170" s="591"/>
      <c r="K170" s="591"/>
      <c r="L170" s="591"/>
      <c r="M170" s="591"/>
      <c r="N170" s="591"/>
      <c r="O170" s="591"/>
      <c r="P170" s="591"/>
      <c r="Q170" s="591"/>
      <c r="R170" s="591"/>
      <c r="S170" s="591"/>
      <c r="T170" s="591"/>
      <c r="U170" s="591"/>
      <c r="V170" s="591"/>
      <c r="W170" s="591"/>
      <c r="X170" s="591"/>
      <c r="Y170" s="591"/>
      <c r="Z170" s="591"/>
      <c r="AA170" s="591"/>
      <c r="AB170" s="591"/>
      <c r="AC170" s="591"/>
      <c r="AD170" s="591"/>
      <c r="AE170" s="591"/>
    </row>
    <row r="171" spans="1:31">
      <c r="A171" s="591"/>
      <c r="B171" s="591"/>
      <c r="C171" s="591"/>
      <c r="D171" s="591"/>
      <c r="E171" s="591"/>
      <c r="F171" s="591"/>
      <c r="G171" s="591"/>
      <c r="H171" s="591"/>
      <c r="I171" s="591"/>
      <c r="J171" s="591"/>
      <c r="K171" s="591"/>
      <c r="L171" s="591"/>
      <c r="M171" s="591"/>
      <c r="N171" s="591"/>
      <c r="O171" s="591"/>
      <c r="P171" s="591"/>
      <c r="Q171" s="591"/>
      <c r="R171" s="591"/>
      <c r="S171" s="591"/>
      <c r="T171" s="591"/>
      <c r="U171" s="591"/>
      <c r="V171" s="591"/>
      <c r="W171" s="591"/>
      <c r="X171" s="591"/>
      <c r="Y171" s="591"/>
      <c r="Z171" s="591"/>
      <c r="AA171" s="591"/>
      <c r="AB171" s="591"/>
      <c r="AC171" s="591"/>
      <c r="AD171" s="591"/>
      <c r="AE171" s="591"/>
    </row>
    <row r="172" spans="1:31">
      <c r="A172" s="591"/>
      <c r="B172" s="591"/>
      <c r="C172" s="591"/>
      <c r="D172" s="591"/>
      <c r="E172" s="591"/>
      <c r="F172" s="591"/>
      <c r="G172" s="591"/>
      <c r="H172" s="591"/>
      <c r="I172" s="591"/>
      <c r="J172" s="591"/>
      <c r="K172" s="591"/>
      <c r="L172" s="591"/>
      <c r="M172" s="591"/>
      <c r="N172" s="591"/>
      <c r="O172" s="591"/>
      <c r="P172" s="591"/>
      <c r="Q172" s="591"/>
      <c r="R172" s="591"/>
      <c r="S172" s="591"/>
      <c r="T172" s="591"/>
      <c r="U172" s="591"/>
      <c r="V172" s="591"/>
      <c r="W172" s="591"/>
      <c r="X172" s="591"/>
      <c r="Y172" s="591"/>
      <c r="Z172" s="591"/>
      <c r="AA172" s="591"/>
      <c r="AB172" s="591"/>
      <c r="AC172" s="591"/>
      <c r="AD172" s="591"/>
      <c r="AE172" s="591"/>
    </row>
    <row r="173" spans="1:31">
      <c r="A173" s="591"/>
      <c r="B173" s="591"/>
      <c r="C173" s="591"/>
      <c r="D173" s="591"/>
      <c r="E173" s="591"/>
      <c r="F173" s="591"/>
      <c r="G173" s="591"/>
      <c r="H173" s="591"/>
      <c r="I173" s="591"/>
      <c r="J173" s="591"/>
      <c r="K173" s="591"/>
      <c r="L173" s="591"/>
      <c r="M173" s="591"/>
      <c r="N173" s="591"/>
      <c r="O173" s="591"/>
      <c r="P173" s="591"/>
      <c r="Q173" s="591"/>
      <c r="R173" s="591"/>
      <c r="S173" s="591"/>
      <c r="T173" s="591"/>
      <c r="U173" s="591"/>
      <c r="V173" s="591"/>
      <c r="W173" s="591"/>
      <c r="X173" s="591"/>
      <c r="Y173" s="591"/>
      <c r="Z173" s="591"/>
      <c r="AA173" s="591"/>
      <c r="AB173" s="591"/>
      <c r="AC173" s="591"/>
      <c r="AD173" s="591"/>
      <c r="AE173" s="591"/>
    </row>
    <row r="174" spans="1:31">
      <c r="A174" s="591"/>
      <c r="B174" s="591"/>
      <c r="C174" s="591"/>
      <c r="D174" s="591"/>
      <c r="E174" s="591"/>
      <c r="F174" s="591"/>
      <c r="G174" s="591"/>
      <c r="H174" s="591"/>
      <c r="I174" s="591"/>
      <c r="J174" s="591"/>
      <c r="K174" s="591"/>
      <c r="L174" s="591"/>
      <c r="M174" s="591"/>
      <c r="N174" s="591"/>
      <c r="O174" s="591"/>
      <c r="P174" s="591"/>
      <c r="Q174" s="591"/>
      <c r="R174" s="591"/>
      <c r="S174" s="591"/>
      <c r="T174" s="591"/>
      <c r="U174" s="591"/>
      <c r="V174" s="591"/>
      <c r="W174" s="591"/>
      <c r="X174" s="591"/>
      <c r="Y174" s="591"/>
      <c r="Z174" s="591"/>
      <c r="AA174" s="591"/>
      <c r="AB174" s="591"/>
      <c r="AC174" s="591"/>
      <c r="AD174" s="591"/>
      <c r="AE174" s="591"/>
    </row>
    <row r="175" spans="1:31">
      <c r="A175" s="591"/>
      <c r="B175" s="591"/>
      <c r="C175" s="591"/>
      <c r="D175" s="591"/>
      <c r="E175" s="591"/>
      <c r="F175" s="591"/>
      <c r="G175" s="591"/>
      <c r="H175" s="591"/>
      <c r="I175" s="591"/>
      <c r="J175" s="591"/>
      <c r="K175" s="591"/>
      <c r="L175" s="591"/>
      <c r="M175" s="591"/>
      <c r="N175" s="591"/>
      <c r="O175" s="591"/>
      <c r="P175" s="591"/>
      <c r="Q175" s="591"/>
      <c r="R175" s="591"/>
      <c r="S175" s="591"/>
      <c r="T175" s="591"/>
      <c r="U175" s="591"/>
      <c r="V175" s="591"/>
      <c r="W175" s="591"/>
      <c r="X175" s="591"/>
      <c r="Y175" s="591"/>
      <c r="Z175" s="591"/>
      <c r="AA175" s="591"/>
      <c r="AB175" s="591"/>
      <c r="AC175" s="591"/>
      <c r="AD175" s="591"/>
      <c r="AE175" s="591"/>
    </row>
    <row r="176" spans="1:31">
      <c r="A176" s="591"/>
      <c r="B176" s="591"/>
      <c r="C176" s="591"/>
      <c r="D176" s="591"/>
      <c r="E176" s="591"/>
      <c r="F176" s="591"/>
      <c r="G176" s="591"/>
      <c r="H176" s="591"/>
      <c r="I176" s="591"/>
      <c r="J176" s="591"/>
      <c r="K176" s="591"/>
      <c r="L176" s="591"/>
      <c r="M176" s="591"/>
      <c r="N176" s="591"/>
      <c r="O176" s="591"/>
      <c r="P176" s="591"/>
      <c r="Q176" s="591"/>
      <c r="R176" s="591"/>
      <c r="S176" s="591"/>
      <c r="T176" s="591"/>
      <c r="U176" s="591"/>
      <c r="V176" s="591"/>
      <c r="W176" s="591"/>
      <c r="X176" s="591"/>
      <c r="Y176" s="591"/>
      <c r="Z176" s="591"/>
      <c r="AA176" s="591"/>
      <c r="AB176" s="591"/>
      <c r="AC176" s="591"/>
      <c r="AD176" s="591"/>
      <c r="AE176" s="591"/>
    </row>
    <row r="177" spans="1:31">
      <c r="A177" s="591"/>
      <c r="B177" s="591"/>
      <c r="C177" s="591"/>
      <c r="D177" s="591"/>
      <c r="E177" s="591"/>
      <c r="F177" s="591"/>
      <c r="G177" s="591"/>
      <c r="H177" s="591"/>
      <c r="I177" s="591"/>
      <c r="J177" s="591"/>
      <c r="K177" s="591"/>
      <c r="L177" s="591"/>
      <c r="M177" s="591"/>
      <c r="N177" s="591"/>
      <c r="O177" s="591"/>
      <c r="P177" s="591"/>
      <c r="Q177" s="591"/>
      <c r="R177" s="591"/>
      <c r="S177" s="591"/>
      <c r="T177" s="591"/>
      <c r="U177" s="591"/>
      <c r="V177" s="591"/>
      <c r="W177" s="591"/>
      <c r="X177" s="591"/>
      <c r="Y177" s="591"/>
      <c r="Z177" s="591"/>
      <c r="AA177" s="591"/>
      <c r="AB177" s="591"/>
      <c r="AC177" s="591"/>
      <c r="AD177" s="591"/>
      <c r="AE177" s="591"/>
    </row>
    <row r="178" spans="1:31">
      <c r="A178" s="591"/>
      <c r="B178" s="591"/>
      <c r="C178" s="591"/>
      <c r="D178" s="591"/>
      <c r="E178" s="591"/>
      <c r="F178" s="591"/>
      <c r="G178" s="591"/>
      <c r="H178" s="591"/>
      <c r="I178" s="591"/>
      <c r="J178" s="591"/>
      <c r="K178" s="591"/>
      <c r="L178" s="591"/>
      <c r="M178" s="591"/>
      <c r="N178" s="591"/>
      <c r="O178" s="591"/>
      <c r="P178" s="591"/>
      <c r="Q178" s="591"/>
      <c r="R178" s="591"/>
      <c r="S178" s="591"/>
      <c r="T178" s="591"/>
      <c r="U178" s="591"/>
      <c r="V178" s="591"/>
      <c r="W178" s="591"/>
      <c r="X178" s="591"/>
      <c r="Y178" s="591"/>
      <c r="Z178" s="591"/>
      <c r="AA178" s="591"/>
      <c r="AB178" s="591"/>
      <c r="AC178" s="591"/>
      <c r="AD178" s="591"/>
      <c r="AE178" s="591"/>
    </row>
    <row r="179" spans="1:31">
      <c r="A179" s="591"/>
      <c r="B179" s="591"/>
      <c r="C179" s="591"/>
      <c r="D179" s="591"/>
      <c r="E179" s="591"/>
      <c r="F179" s="591"/>
      <c r="G179" s="591"/>
      <c r="H179" s="591"/>
      <c r="I179" s="591"/>
      <c r="J179" s="591"/>
      <c r="K179" s="591"/>
      <c r="L179" s="591"/>
      <c r="M179" s="591"/>
      <c r="N179" s="591"/>
      <c r="O179" s="591"/>
      <c r="P179" s="591"/>
      <c r="Q179" s="591"/>
      <c r="R179" s="591"/>
      <c r="S179" s="591"/>
      <c r="T179" s="591"/>
      <c r="U179" s="591"/>
      <c r="V179" s="591"/>
      <c r="W179" s="591"/>
      <c r="X179" s="591"/>
      <c r="Y179" s="591"/>
      <c r="Z179" s="591"/>
      <c r="AA179" s="591"/>
      <c r="AB179" s="591"/>
      <c r="AC179" s="591"/>
      <c r="AD179" s="591"/>
      <c r="AE179" s="591"/>
    </row>
    <row r="180" spans="1:31">
      <c r="A180" s="591"/>
      <c r="B180" s="591"/>
      <c r="C180" s="591"/>
      <c r="D180" s="591"/>
      <c r="E180" s="591"/>
      <c r="F180" s="591"/>
      <c r="G180" s="591"/>
      <c r="H180" s="591"/>
      <c r="I180" s="591"/>
      <c r="J180" s="591"/>
      <c r="K180" s="591"/>
      <c r="L180" s="591"/>
      <c r="M180" s="591"/>
      <c r="N180" s="591"/>
      <c r="O180" s="591"/>
      <c r="P180" s="591"/>
      <c r="Q180" s="591"/>
      <c r="R180" s="591"/>
      <c r="S180" s="591"/>
      <c r="T180" s="591"/>
      <c r="U180" s="591"/>
      <c r="V180" s="591"/>
      <c r="W180" s="591"/>
      <c r="X180" s="591"/>
      <c r="Y180" s="591"/>
      <c r="Z180" s="591"/>
      <c r="AA180" s="591"/>
      <c r="AB180" s="591"/>
      <c r="AC180" s="591"/>
      <c r="AD180" s="591"/>
      <c r="AE180" s="591"/>
    </row>
    <row r="181" spans="1:31">
      <c r="A181" s="591"/>
      <c r="B181" s="591"/>
      <c r="C181" s="591"/>
      <c r="D181" s="591"/>
      <c r="E181" s="591"/>
      <c r="F181" s="591"/>
      <c r="G181" s="591"/>
      <c r="H181" s="591"/>
      <c r="I181" s="591"/>
      <c r="J181" s="591"/>
      <c r="K181" s="591"/>
      <c r="L181" s="591"/>
      <c r="M181" s="591"/>
      <c r="N181" s="591"/>
      <c r="O181" s="591"/>
      <c r="P181" s="591"/>
      <c r="Q181" s="591"/>
      <c r="R181" s="591"/>
      <c r="S181" s="591"/>
      <c r="T181" s="591"/>
      <c r="U181" s="591"/>
      <c r="V181" s="591"/>
      <c r="W181" s="591"/>
      <c r="X181" s="591"/>
      <c r="Y181" s="591"/>
      <c r="Z181" s="591"/>
      <c r="AA181" s="591"/>
      <c r="AB181" s="591"/>
      <c r="AC181" s="591"/>
      <c r="AD181" s="591"/>
      <c r="AE181" s="591"/>
    </row>
    <row r="182" spans="1:31">
      <c r="A182" s="591"/>
      <c r="B182" s="591"/>
      <c r="C182" s="591"/>
      <c r="D182" s="591"/>
      <c r="E182" s="591"/>
      <c r="F182" s="591"/>
      <c r="G182" s="591"/>
      <c r="H182" s="591"/>
      <c r="I182" s="591"/>
      <c r="J182" s="591"/>
      <c r="K182" s="591"/>
      <c r="L182" s="591"/>
      <c r="M182" s="591"/>
      <c r="N182" s="591"/>
      <c r="O182" s="591"/>
      <c r="P182" s="591"/>
      <c r="Q182" s="591"/>
      <c r="R182" s="591"/>
      <c r="S182" s="591"/>
      <c r="T182" s="591"/>
      <c r="U182" s="591"/>
      <c r="V182" s="591"/>
      <c r="W182" s="591"/>
      <c r="X182" s="591"/>
      <c r="Y182" s="591"/>
      <c r="Z182" s="591"/>
      <c r="AA182" s="591"/>
      <c r="AB182" s="591"/>
      <c r="AC182" s="591"/>
      <c r="AD182" s="591"/>
      <c r="AE182" s="591"/>
    </row>
    <row r="183" spans="1:31">
      <c r="A183" s="591"/>
      <c r="B183" s="591"/>
      <c r="C183" s="591"/>
      <c r="D183" s="591"/>
      <c r="E183" s="591"/>
      <c r="F183" s="591"/>
      <c r="G183" s="591"/>
      <c r="H183" s="591"/>
      <c r="I183" s="591"/>
      <c r="J183" s="591"/>
      <c r="K183" s="591"/>
      <c r="L183" s="591"/>
      <c r="M183" s="591"/>
      <c r="N183" s="591"/>
      <c r="O183" s="591"/>
      <c r="P183" s="591"/>
      <c r="Q183" s="591"/>
      <c r="R183" s="591"/>
      <c r="S183" s="591"/>
      <c r="T183" s="591"/>
      <c r="U183" s="591"/>
      <c r="V183" s="591"/>
      <c r="W183" s="591"/>
      <c r="X183" s="591"/>
      <c r="Y183" s="591"/>
      <c r="Z183" s="591"/>
      <c r="AA183" s="591"/>
      <c r="AB183" s="591"/>
      <c r="AC183" s="591"/>
      <c r="AD183" s="591"/>
      <c r="AE183" s="591"/>
    </row>
    <row r="184" spans="1:31">
      <c r="A184" s="591"/>
      <c r="B184" s="591"/>
      <c r="C184" s="591"/>
      <c r="D184" s="591"/>
      <c r="E184" s="591"/>
      <c r="F184" s="591"/>
      <c r="G184" s="591"/>
      <c r="H184" s="591"/>
      <c r="I184" s="591"/>
      <c r="J184" s="591"/>
      <c r="K184" s="591"/>
      <c r="L184" s="591"/>
      <c r="M184" s="591"/>
      <c r="N184" s="591"/>
      <c r="O184" s="591"/>
      <c r="P184" s="591"/>
      <c r="Q184" s="591"/>
      <c r="R184" s="591"/>
      <c r="S184" s="591"/>
      <c r="T184" s="591"/>
      <c r="U184" s="591"/>
      <c r="V184" s="591"/>
      <c r="W184" s="591"/>
      <c r="X184" s="591"/>
      <c r="Y184" s="591"/>
      <c r="Z184" s="591"/>
      <c r="AA184" s="591"/>
      <c r="AB184" s="591"/>
      <c r="AC184" s="591"/>
      <c r="AD184" s="591"/>
      <c r="AE184" s="591"/>
    </row>
    <row r="185" spans="1:31">
      <c r="A185" s="591"/>
      <c r="B185" s="591"/>
      <c r="C185" s="591"/>
      <c r="D185" s="591"/>
      <c r="E185" s="591"/>
      <c r="F185" s="591"/>
      <c r="G185" s="591"/>
      <c r="H185" s="591"/>
      <c r="I185" s="591"/>
      <c r="J185" s="591"/>
      <c r="K185" s="591"/>
      <c r="L185" s="591"/>
      <c r="M185" s="591"/>
      <c r="N185" s="591"/>
      <c r="O185" s="591"/>
      <c r="P185" s="591"/>
      <c r="Q185" s="591"/>
      <c r="R185" s="591"/>
      <c r="S185" s="591"/>
      <c r="T185" s="591"/>
      <c r="U185" s="591"/>
      <c r="V185" s="591"/>
      <c r="W185" s="591"/>
      <c r="X185" s="591"/>
      <c r="Y185" s="591"/>
      <c r="Z185" s="591"/>
      <c r="AA185" s="591"/>
      <c r="AB185" s="591"/>
      <c r="AC185" s="591"/>
      <c r="AD185" s="591"/>
      <c r="AE185" s="591"/>
    </row>
    <row r="186" spans="1:31">
      <c r="A186" s="591"/>
      <c r="B186" s="591"/>
      <c r="C186" s="591"/>
      <c r="D186" s="591"/>
      <c r="E186" s="591"/>
      <c r="F186" s="591"/>
      <c r="G186" s="591"/>
      <c r="H186" s="591"/>
      <c r="I186" s="591"/>
      <c r="J186" s="591"/>
      <c r="K186" s="591"/>
      <c r="L186" s="591"/>
      <c r="M186" s="591"/>
      <c r="N186" s="591"/>
      <c r="O186" s="591"/>
      <c r="P186" s="591"/>
      <c r="Q186" s="591"/>
      <c r="R186" s="591"/>
      <c r="S186" s="591"/>
      <c r="T186" s="591"/>
      <c r="U186" s="591"/>
      <c r="V186" s="591"/>
      <c r="W186" s="591"/>
      <c r="X186" s="591"/>
      <c r="Y186" s="591"/>
      <c r="Z186" s="591"/>
      <c r="AA186" s="591"/>
      <c r="AB186" s="591"/>
      <c r="AC186" s="591"/>
      <c r="AD186" s="591"/>
      <c r="AE186" s="591"/>
    </row>
    <row r="187" spans="1:31">
      <c r="A187" s="591"/>
      <c r="B187" s="591"/>
      <c r="C187" s="591"/>
      <c r="D187" s="591"/>
      <c r="E187" s="591"/>
      <c r="F187" s="591"/>
      <c r="G187" s="591"/>
      <c r="H187" s="591"/>
      <c r="I187" s="591"/>
      <c r="J187" s="591"/>
      <c r="K187" s="591"/>
      <c r="L187" s="591"/>
      <c r="M187" s="591"/>
      <c r="N187" s="591"/>
      <c r="O187" s="591"/>
      <c r="P187" s="591"/>
      <c r="Q187" s="591"/>
      <c r="R187" s="591"/>
      <c r="S187" s="591"/>
      <c r="T187" s="591"/>
      <c r="U187" s="591"/>
      <c r="V187" s="591"/>
      <c r="W187" s="591"/>
      <c r="X187" s="591"/>
      <c r="Y187" s="591"/>
      <c r="Z187" s="591"/>
      <c r="AA187" s="591"/>
      <c r="AB187" s="591"/>
      <c r="AC187" s="591"/>
      <c r="AD187" s="591"/>
      <c r="AE187" s="591"/>
    </row>
    <row r="188" spans="1:31">
      <c r="A188" s="591"/>
      <c r="B188" s="591"/>
      <c r="C188" s="591"/>
      <c r="D188" s="591"/>
      <c r="E188" s="591"/>
      <c r="F188" s="591"/>
      <c r="G188" s="591"/>
      <c r="H188" s="591"/>
      <c r="I188" s="591"/>
      <c r="J188" s="591"/>
      <c r="K188" s="591"/>
      <c r="L188" s="591"/>
      <c r="M188" s="591"/>
      <c r="N188" s="591"/>
      <c r="O188" s="591"/>
      <c r="P188" s="591"/>
      <c r="Q188" s="591"/>
      <c r="R188" s="591"/>
      <c r="S188" s="591"/>
      <c r="T188" s="591"/>
      <c r="U188" s="591"/>
      <c r="V188" s="591"/>
      <c r="W188" s="591"/>
      <c r="X188" s="591"/>
      <c r="Y188" s="591"/>
      <c r="Z188" s="591"/>
      <c r="AA188" s="591"/>
      <c r="AB188" s="591"/>
      <c r="AC188" s="591"/>
      <c r="AD188" s="591"/>
      <c r="AE188" s="591"/>
    </row>
    <row r="189" spans="1:31">
      <c r="A189" s="591"/>
      <c r="B189" s="591"/>
      <c r="C189" s="591"/>
      <c r="D189" s="591"/>
      <c r="E189" s="591"/>
      <c r="F189" s="591"/>
      <c r="G189" s="591"/>
      <c r="H189" s="591"/>
      <c r="I189" s="591"/>
      <c r="J189" s="591"/>
      <c r="K189" s="591"/>
      <c r="L189" s="591"/>
      <c r="M189" s="591"/>
      <c r="N189" s="591"/>
      <c r="O189" s="591"/>
      <c r="P189" s="591"/>
      <c r="Q189" s="591"/>
      <c r="R189" s="591"/>
      <c r="S189" s="591"/>
      <c r="T189" s="591"/>
      <c r="U189" s="591"/>
      <c r="V189" s="591"/>
      <c r="W189" s="591"/>
      <c r="X189" s="591"/>
      <c r="Y189" s="591"/>
      <c r="Z189" s="591"/>
      <c r="AA189" s="591"/>
      <c r="AB189" s="591"/>
      <c r="AC189" s="591"/>
      <c r="AD189" s="591"/>
      <c r="AE189" s="591"/>
    </row>
    <row r="190" spans="1:31">
      <c r="A190" s="591"/>
      <c r="B190" s="591"/>
      <c r="C190" s="591"/>
      <c r="D190" s="591"/>
      <c r="E190" s="591"/>
      <c r="F190" s="591"/>
      <c r="G190" s="591"/>
      <c r="H190" s="591"/>
      <c r="I190" s="591"/>
      <c r="J190" s="591"/>
      <c r="K190" s="591"/>
      <c r="L190" s="591"/>
      <c r="M190" s="591"/>
      <c r="N190" s="591"/>
      <c r="O190" s="591"/>
      <c r="P190" s="591"/>
      <c r="Q190" s="591"/>
      <c r="R190" s="591"/>
      <c r="S190" s="591"/>
      <c r="T190" s="591"/>
      <c r="U190" s="591"/>
      <c r="V190" s="591"/>
      <c r="W190" s="591"/>
      <c r="X190" s="591"/>
      <c r="Y190" s="591"/>
      <c r="Z190" s="591"/>
      <c r="AA190" s="591"/>
      <c r="AB190" s="591"/>
      <c r="AC190" s="591"/>
      <c r="AD190" s="591"/>
      <c r="AE190" s="591"/>
    </row>
    <row r="191" spans="1:31">
      <c r="A191" s="591"/>
      <c r="B191" s="591"/>
      <c r="C191" s="591"/>
      <c r="D191" s="591"/>
      <c r="E191" s="591"/>
      <c r="F191" s="591"/>
      <c r="G191" s="591"/>
      <c r="H191" s="591"/>
      <c r="I191" s="591"/>
      <c r="J191" s="591"/>
      <c r="K191" s="591"/>
      <c r="L191" s="591"/>
      <c r="M191" s="591"/>
      <c r="N191" s="591"/>
      <c r="O191" s="591"/>
      <c r="P191" s="591"/>
      <c r="Q191" s="591"/>
      <c r="R191" s="591"/>
      <c r="S191" s="591"/>
      <c r="T191" s="591"/>
      <c r="U191" s="591"/>
      <c r="V191" s="591"/>
      <c r="W191" s="591"/>
      <c r="X191" s="591"/>
      <c r="Y191" s="591"/>
      <c r="Z191" s="591"/>
      <c r="AA191" s="591"/>
      <c r="AB191" s="591"/>
      <c r="AC191" s="591"/>
      <c r="AD191" s="591"/>
      <c r="AE191" s="591"/>
    </row>
    <row r="192" spans="1:31">
      <c r="A192" s="591"/>
      <c r="B192" s="591"/>
      <c r="C192" s="591"/>
      <c r="D192" s="591"/>
      <c r="E192" s="591"/>
      <c r="F192" s="591"/>
      <c r="G192" s="591"/>
      <c r="H192" s="591"/>
      <c r="I192" s="591"/>
      <c r="J192" s="591"/>
      <c r="K192" s="591"/>
      <c r="L192" s="591"/>
      <c r="M192" s="591"/>
      <c r="N192" s="591"/>
      <c r="O192" s="591"/>
      <c r="P192" s="591"/>
      <c r="Q192" s="591"/>
      <c r="R192" s="591"/>
      <c r="S192" s="591"/>
      <c r="T192" s="591"/>
      <c r="U192" s="591"/>
      <c r="V192" s="591"/>
      <c r="W192" s="591"/>
      <c r="X192" s="591"/>
      <c r="Y192" s="591"/>
      <c r="Z192" s="591"/>
      <c r="AA192" s="591"/>
      <c r="AB192" s="591"/>
      <c r="AC192" s="591"/>
      <c r="AD192" s="591"/>
      <c r="AE192" s="591"/>
    </row>
    <row r="193" spans="1:31">
      <c r="A193" s="591"/>
      <c r="B193" s="591"/>
      <c r="C193" s="591"/>
      <c r="D193" s="591"/>
      <c r="E193" s="591"/>
      <c r="F193" s="591"/>
      <c r="G193" s="591"/>
      <c r="H193" s="591"/>
      <c r="I193" s="591"/>
      <c r="J193" s="591"/>
      <c r="K193" s="591"/>
      <c r="L193" s="591"/>
      <c r="M193" s="591"/>
      <c r="N193" s="591"/>
      <c r="O193" s="591"/>
      <c r="P193" s="591"/>
      <c r="Q193" s="591"/>
      <c r="R193" s="591"/>
      <c r="S193" s="591"/>
      <c r="T193" s="591"/>
      <c r="U193" s="591"/>
      <c r="V193" s="591"/>
      <c r="W193" s="591"/>
      <c r="X193" s="591"/>
      <c r="Y193" s="591"/>
      <c r="Z193" s="591"/>
      <c r="AA193" s="591"/>
      <c r="AB193" s="591"/>
      <c r="AC193" s="591"/>
      <c r="AD193" s="591"/>
      <c r="AE193" s="591"/>
    </row>
    <row r="194" spans="1:31">
      <c r="A194" s="591"/>
      <c r="B194" s="591"/>
      <c r="C194" s="591"/>
      <c r="D194" s="591"/>
      <c r="E194" s="591"/>
      <c r="F194" s="591"/>
      <c r="G194" s="591"/>
      <c r="H194" s="591"/>
      <c r="I194" s="591"/>
      <c r="J194" s="591"/>
      <c r="K194" s="591"/>
      <c r="L194" s="591"/>
      <c r="M194" s="591"/>
      <c r="N194" s="591"/>
      <c r="O194" s="591"/>
      <c r="P194" s="591"/>
      <c r="Q194" s="591"/>
      <c r="R194" s="591"/>
      <c r="S194" s="591"/>
      <c r="T194" s="591"/>
      <c r="U194" s="591"/>
      <c r="V194" s="591"/>
      <c r="W194" s="591"/>
      <c r="X194" s="591"/>
      <c r="Y194" s="591"/>
      <c r="Z194" s="591"/>
      <c r="AA194" s="591"/>
      <c r="AB194" s="591"/>
      <c r="AC194" s="591"/>
      <c r="AD194" s="591"/>
      <c r="AE194" s="591"/>
    </row>
    <row r="195" spans="1:31">
      <c r="A195" s="591"/>
      <c r="B195" s="591"/>
      <c r="C195" s="591"/>
      <c r="D195" s="591"/>
      <c r="E195" s="591"/>
      <c r="F195" s="591"/>
      <c r="G195" s="591"/>
      <c r="H195" s="591"/>
      <c r="I195" s="591"/>
      <c r="J195" s="591"/>
      <c r="K195" s="591"/>
      <c r="L195" s="591"/>
      <c r="M195" s="591"/>
      <c r="N195" s="591"/>
      <c r="O195" s="591"/>
      <c r="P195" s="591"/>
      <c r="Q195" s="591"/>
      <c r="R195" s="591"/>
      <c r="S195" s="591"/>
      <c r="T195" s="591"/>
      <c r="U195" s="591"/>
      <c r="V195" s="591"/>
      <c r="W195" s="591"/>
      <c r="X195" s="591"/>
      <c r="Y195" s="591"/>
      <c r="Z195" s="591"/>
      <c r="AA195" s="591"/>
      <c r="AB195" s="591"/>
      <c r="AC195" s="591"/>
      <c r="AD195" s="591"/>
      <c r="AE195" s="591"/>
    </row>
    <row r="196" spans="1:31">
      <c r="A196" s="591"/>
      <c r="B196" s="591"/>
      <c r="C196" s="591"/>
      <c r="D196" s="591"/>
      <c r="E196" s="591"/>
      <c r="F196" s="591"/>
      <c r="G196" s="591"/>
      <c r="H196" s="591"/>
      <c r="I196" s="591"/>
      <c r="J196" s="591"/>
      <c r="K196" s="591"/>
      <c r="L196" s="591"/>
      <c r="M196" s="591"/>
      <c r="N196" s="591"/>
      <c r="O196" s="591"/>
      <c r="P196" s="591"/>
      <c r="Q196" s="591"/>
      <c r="R196" s="591"/>
      <c r="S196" s="591"/>
      <c r="T196" s="591"/>
      <c r="U196" s="591"/>
      <c r="V196" s="591"/>
      <c r="W196" s="591"/>
      <c r="X196" s="591"/>
      <c r="Y196" s="591"/>
      <c r="Z196" s="591"/>
      <c r="AA196" s="591"/>
      <c r="AB196" s="591"/>
      <c r="AC196" s="591"/>
      <c r="AD196" s="591"/>
      <c r="AE196" s="591"/>
    </row>
    <row r="197" spans="1:31">
      <c r="A197" s="591"/>
      <c r="B197" s="591"/>
      <c r="C197" s="591"/>
      <c r="D197" s="591"/>
      <c r="E197" s="591"/>
      <c r="F197" s="591"/>
      <c r="G197" s="591"/>
      <c r="H197" s="591"/>
      <c r="I197" s="591"/>
      <c r="J197" s="591"/>
      <c r="K197" s="591"/>
      <c r="L197" s="591"/>
      <c r="M197" s="591"/>
      <c r="N197" s="591"/>
      <c r="O197" s="591"/>
      <c r="P197" s="591"/>
      <c r="Q197" s="591"/>
      <c r="R197" s="591"/>
      <c r="S197" s="591"/>
      <c r="T197" s="591"/>
      <c r="U197" s="591"/>
      <c r="V197" s="591"/>
      <c r="W197" s="591"/>
      <c r="X197" s="591"/>
      <c r="Y197" s="591"/>
      <c r="Z197" s="591"/>
      <c r="AA197" s="591"/>
      <c r="AB197" s="591"/>
      <c r="AC197" s="591"/>
      <c r="AD197" s="591"/>
      <c r="AE197" s="591"/>
    </row>
    <row r="198" spans="1:31">
      <c r="A198" s="591"/>
      <c r="B198" s="591"/>
      <c r="C198" s="591"/>
      <c r="D198" s="591"/>
      <c r="E198" s="591"/>
      <c r="F198" s="591"/>
      <c r="G198" s="591"/>
      <c r="H198" s="591"/>
      <c r="I198" s="591"/>
      <c r="J198" s="591"/>
      <c r="K198" s="591"/>
      <c r="L198" s="591"/>
      <c r="M198" s="591"/>
      <c r="N198" s="591"/>
      <c r="O198" s="591"/>
      <c r="P198" s="591"/>
      <c r="Q198" s="591"/>
      <c r="R198" s="591"/>
      <c r="S198" s="591"/>
      <c r="T198" s="591"/>
      <c r="U198" s="591"/>
      <c r="V198" s="591"/>
      <c r="W198" s="591"/>
      <c r="X198" s="591"/>
      <c r="Y198" s="591"/>
      <c r="Z198" s="591"/>
      <c r="AA198" s="591"/>
      <c r="AB198" s="591"/>
      <c r="AC198" s="591"/>
      <c r="AD198" s="591"/>
      <c r="AE198" s="591"/>
    </row>
    <row r="199" spans="1:31">
      <c r="A199" s="591"/>
      <c r="B199" s="591"/>
      <c r="C199" s="591"/>
      <c r="D199" s="591"/>
      <c r="E199" s="591"/>
      <c r="F199" s="591"/>
      <c r="G199" s="591"/>
      <c r="H199" s="591"/>
      <c r="I199" s="591"/>
      <c r="J199" s="591"/>
      <c r="K199" s="591"/>
      <c r="L199" s="591"/>
      <c r="M199" s="591"/>
      <c r="N199" s="591"/>
      <c r="O199" s="591"/>
      <c r="P199" s="591"/>
      <c r="Q199" s="591"/>
      <c r="R199" s="591"/>
      <c r="S199" s="591"/>
      <c r="T199" s="591"/>
      <c r="U199" s="591"/>
      <c r="V199" s="591"/>
      <c r="W199" s="591"/>
      <c r="X199" s="591"/>
      <c r="Y199" s="591"/>
      <c r="Z199" s="591"/>
      <c r="AA199" s="591"/>
      <c r="AB199" s="591"/>
      <c r="AC199" s="591"/>
      <c r="AD199" s="591"/>
      <c r="AE199" s="591"/>
    </row>
    <row r="200" spans="1:31">
      <c r="A200" s="591"/>
      <c r="B200" s="591"/>
      <c r="C200" s="591"/>
      <c r="D200" s="591"/>
      <c r="E200" s="591"/>
      <c r="F200" s="591"/>
      <c r="G200" s="591"/>
      <c r="H200" s="591"/>
      <c r="I200" s="591"/>
      <c r="J200" s="591"/>
      <c r="K200" s="591"/>
      <c r="L200" s="591"/>
      <c r="M200" s="591"/>
      <c r="N200" s="591"/>
      <c r="O200" s="591"/>
      <c r="P200" s="591"/>
      <c r="Q200" s="591"/>
      <c r="R200" s="591"/>
      <c r="S200" s="591"/>
      <c r="T200" s="591"/>
      <c r="U200" s="591"/>
      <c r="V200" s="591"/>
      <c r="W200" s="591"/>
      <c r="X200" s="591"/>
      <c r="Y200" s="591"/>
      <c r="Z200" s="591"/>
      <c r="AA200" s="591"/>
      <c r="AB200" s="591"/>
      <c r="AC200" s="591"/>
      <c r="AD200" s="591"/>
      <c r="AE200" s="591"/>
    </row>
    <row r="201" spans="1:31">
      <c r="A201" s="591"/>
      <c r="B201" s="591"/>
      <c r="C201" s="591"/>
      <c r="D201" s="591"/>
      <c r="E201" s="591"/>
      <c r="F201" s="591"/>
      <c r="G201" s="591"/>
      <c r="H201" s="591"/>
      <c r="I201" s="591"/>
      <c r="J201" s="591"/>
      <c r="K201" s="591"/>
      <c r="L201" s="591"/>
      <c r="M201" s="591"/>
      <c r="N201" s="591"/>
      <c r="O201" s="591"/>
      <c r="P201" s="591"/>
      <c r="Q201" s="591"/>
      <c r="R201" s="591"/>
      <c r="S201" s="591"/>
      <c r="T201" s="591"/>
      <c r="U201" s="591"/>
      <c r="V201" s="591"/>
      <c r="W201" s="591"/>
      <c r="X201" s="591"/>
      <c r="Y201" s="591"/>
      <c r="Z201" s="591"/>
      <c r="AA201" s="591"/>
      <c r="AB201" s="591"/>
      <c r="AC201" s="591"/>
      <c r="AD201" s="591"/>
      <c r="AE201" s="591"/>
    </row>
    <row r="202" spans="1:31">
      <c r="A202" s="591"/>
      <c r="B202" s="591"/>
      <c r="C202" s="591"/>
      <c r="D202" s="591"/>
      <c r="E202" s="591"/>
      <c r="F202" s="591"/>
      <c r="G202" s="591"/>
      <c r="H202" s="591"/>
      <c r="I202" s="591"/>
      <c r="J202" s="591"/>
      <c r="K202" s="591"/>
      <c r="L202" s="591"/>
      <c r="M202" s="591"/>
      <c r="N202" s="591"/>
      <c r="O202" s="591"/>
      <c r="P202" s="591"/>
      <c r="Q202" s="591"/>
      <c r="R202" s="591"/>
      <c r="S202" s="591"/>
      <c r="T202" s="591"/>
      <c r="U202" s="591"/>
      <c r="V202" s="591"/>
      <c r="W202" s="591"/>
      <c r="X202" s="591"/>
      <c r="Y202" s="591"/>
      <c r="Z202" s="591"/>
      <c r="AA202" s="591"/>
      <c r="AB202" s="591"/>
      <c r="AC202" s="591"/>
      <c r="AD202" s="591"/>
      <c r="AE202" s="591"/>
    </row>
    <row r="203" spans="1:31">
      <c r="A203" s="591"/>
      <c r="B203" s="591"/>
      <c r="C203" s="591"/>
      <c r="D203" s="591"/>
      <c r="E203" s="591"/>
      <c r="F203" s="591"/>
      <c r="G203" s="591"/>
      <c r="H203" s="591"/>
      <c r="I203" s="591"/>
      <c r="J203" s="591"/>
      <c r="K203" s="591"/>
      <c r="L203" s="591"/>
      <c r="M203" s="591"/>
      <c r="N203" s="591"/>
      <c r="O203" s="591"/>
      <c r="P203" s="591"/>
      <c r="Q203" s="591"/>
      <c r="R203" s="591"/>
      <c r="S203" s="591"/>
      <c r="T203" s="591"/>
      <c r="U203" s="591"/>
      <c r="V203" s="591"/>
      <c r="W203" s="591"/>
      <c r="X203" s="591"/>
      <c r="Y203" s="591"/>
      <c r="Z203" s="591"/>
      <c r="AA203" s="591"/>
      <c r="AB203" s="591"/>
      <c r="AC203" s="591"/>
      <c r="AD203" s="591"/>
      <c r="AE203" s="591"/>
    </row>
    <row r="204" spans="1:31">
      <c r="A204" s="591"/>
      <c r="B204" s="591"/>
      <c r="C204" s="591"/>
      <c r="D204" s="591"/>
      <c r="E204" s="591"/>
      <c r="F204" s="591"/>
      <c r="G204" s="591"/>
      <c r="H204" s="591"/>
      <c r="I204" s="591"/>
      <c r="J204" s="591"/>
      <c r="K204" s="591"/>
      <c r="L204" s="591"/>
      <c r="M204" s="591"/>
      <c r="N204" s="591"/>
      <c r="O204" s="591"/>
      <c r="P204" s="591"/>
      <c r="Q204" s="591"/>
      <c r="R204" s="591"/>
      <c r="S204" s="591"/>
      <c r="T204" s="591"/>
      <c r="U204" s="591"/>
      <c r="V204" s="591"/>
      <c r="W204" s="591"/>
      <c r="X204" s="591"/>
      <c r="Y204" s="591"/>
      <c r="Z204" s="591"/>
      <c r="AA204" s="591"/>
      <c r="AB204" s="591"/>
      <c r="AC204" s="591"/>
      <c r="AD204" s="591"/>
      <c r="AE204" s="591"/>
    </row>
    <row r="205" spans="1:31">
      <c r="A205" s="591"/>
      <c r="B205" s="591"/>
      <c r="C205" s="591"/>
      <c r="D205" s="591"/>
      <c r="E205" s="591"/>
      <c r="F205" s="591"/>
      <c r="G205" s="591"/>
      <c r="H205" s="591"/>
      <c r="I205" s="591"/>
      <c r="J205" s="591"/>
      <c r="K205" s="591"/>
      <c r="L205" s="591"/>
      <c r="M205" s="591"/>
      <c r="N205" s="591"/>
      <c r="O205" s="591"/>
      <c r="P205" s="591"/>
      <c r="Q205" s="591"/>
      <c r="R205" s="591"/>
      <c r="S205" s="591"/>
      <c r="T205" s="591"/>
      <c r="U205" s="591"/>
      <c r="V205" s="591"/>
      <c r="W205" s="591"/>
      <c r="X205" s="591"/>
      <c r="Y205" s="591"/>
      <c r="Z205" s="591"/>
      <c r="AA205" s="591"/>
      <c r="AB205" s="591"/>
      <c r="AC205" s="591"/>
      <c r="AD205" s="591"/>
      <c r="AE205" s="591"/>
    </row>
    <row r="206" spans="1:31">
      <c r="A206" s="591"/>
      <c r="B206" s="591"/>
      <c r="C206" s="591"/>
      <c r="D206" s="591"/>
      <c r="E206" s="591"/>
      <c r="F206" s="591"/>
      <c r="G206" s="591"/>
      <c r="H206" s="591"/>
      <c r="I206" s="591"/>
      <c r="J206" s="591"/>
      <c r="K206" s="591"/>
      <c r="L206" s="591"/>
      <c r="M206" s="591"/>
      <c r="N206" s="591"/>
      <c r="O206" s="591"/>
      <c r="P206" s="591"/>
      <c r="Q206" s="591"/>
      <c r="R206" s="591"/>
      <c r="S206" s="591"/>
      <c r="T206" s="591"/>
      <c r="U206" s="591"/>
      <c r="V206" s="591"/>
      <c r="W206" s="591"/>
      <c r="X206" s="591"/>
      <c r="Y206" s="591"/>
      <c r="Z206" s="591"/>
      <c r="AA206" s="591"/>
      <c r="AB206" s="591"/>
      <c r="AC206" s="591"/>
      <c r="AD206" s="591"/>
      <c r="AE206" s="591"/>
    </row>
    <row r="207" spans="1:31">
      <c r="A207" s="591"/>
      <c r="B207" s="591"/>
      <c r="C207" s="591"/>
      <c r="D207" s="591"/>
      <c r="E207" s="591"/>
      <c r="F207" s="591"/>
      <c r="G207" s="591"/>
      <c r="H207" s="591"/>
      <c r="I207" s="591"/>
      <c r="J207" s="591"/>
      <c r="K207" s="591"/>
      <c r="L207" s="591"/>
      <c r="M207" s="591"/>
      <c r="N207" s="591"/>
      <c r="O207" s="591"/>
      <c r="P207" s="591"/>
      <c r="Q207" s="591"/>
      <c r="R207" s="591"/>
      <c r="S207" s="591"/>
      <c r="T207" s="591"/>
      <c r="U207" s="591"/>
      <c r="V207" s="591"/>
      <c r="W207" s="591"/>
      <c r="X207" s="591"/>
      <c r="Y207" s="591"/>
      <c r="Z207" s="591"/>
      <c r="AA207" s="591"/>
      <c r="AB207" s="591"/>
      <c r="AC207" s="591"/>
      <c r="AD207" s="591"/>
      <c r="AE207" s="591"/>
    </row>
    <row r="208" spans="1:31">
      <c r="A208" s="591"/>
      <c r="B208" s="591"/>
      <c r="C208" s="591"/>
      <c r="D208" s="591"/>
      <c r="E208" s="591"/>
      <c r="F208" s="591"/>
      <c r="G208" s="591"/>
      <c r="H208" s="591"/>
      <c r="I208" s="591"/>
      <c r="J208" s="591"/>
      <c r="K208" s="591"/>
      <c r="L208" s="591"/>
      <c r="M208" s="591"/>
      <c r="N208" s="591"/>
      <c r="O208" s="591"/>
      <c r="P208" s="591"/>
      <c r="Q208" s="591"/>
      <c r="R208" s="591"/>
      <c r="S208" s="591"/>
      <c r="T208" s="591"/>
      <c r="U208" s="591"/>
      <c r="V208" s="591"/>
      <c r="W208" s="591"/>
      <c r="X208" s="591"/>
      <c r="Y208" s="591"/>
      <c r="Z208" s="591"/>
      <c r="AA208" s="591"/>
      <c r="AB208" s="591"/>
      <c r="AC208" s="591"/>
      <c r="AD208" s="591"/>
      <c r="AE208" s="591"/>
    </row>
    <row r="209" spans="1:31">
      <c r="A209" s="591"/>
      <c r="B209" s="591"/>
      <c r="C209" s="591"/>
      <c r="D209" s="591"/>
      <c r="E209" s="591"/>
      <c r="F209" s="591"/>
      <c r="G209" s="591"/>
      <c r="H209" s="591"/>
      <c r="I209" s="591"/>
      <c r="J209" s="591"/>
      <c r="K209" s="591"/>
      <c r="L209" s="591"/>
      <c r="M209" s="591"/>
      <c r="N209" s="591"/>
      <c r="O209" s="591"/>
      <c r="P209" s="591"/>
      <c r="Q209" s="591"/>
      <c r="R209" s="591"/>
      <c r="S209" s="591"/>
      <c r="T209" s="591"/>
      <c r="U209" s="591"/>
      <c r="V209" s="591"/>
      <c r="W209" s="591"/>
      <c r="X209" s="591"/>
      <c r="Y209" s="591"/>
      <c r="Z209" s="591"/>
      <c r="AA209" s="591"/>
      <c r="AB209" s="591"/>
      <c r="AC209" s="591"/>
      <c r="AD209" s="591"/>
      <c r="AE209" s="591"/>
    </row>
    <row r="210" spans="1:31">
      <c r="A210" s="591"/>
      <c r="B210" s="591"/>
      <c r="C210" s="591"/>
      <c r="D210" s="591"/>
      <c r="E210" s="591"/>
      <c r="F210" s="591"/>
      <c r="G210" s="591"/>
      <c r="H210" s="591"/>
      <c r="I210" s="591"/>
      <c r="J210" s="591"/>
      <c r="K210" s="591"/>
      <c r="L210" s="591"/>
      <c r="M210" s="591"/>
      <c r="N210" s="591"/>
      <c r="O210" s="591"/>
      <c r="P210" s="591"/>
      <c r="Q210" s="591"/>
      <c r="R210" s="591"/>
      <c r="S210" s="591"/>
      <c r="T210" s="591"/>
      <c r="U210" s="591"/>
      <c r="V210" s="591"/>
      <c r="W210" s="591"/>
      <c r="X210" s="591"/>
      <c r="Y210" s="591"/>
      <c r="Z210" s="591"/>
      <c r="AA210" s="591"/>
      <c r="AB210" s="591"/>
      <c r="AC210" s="591"/>
      <c r="AD210" s="591"/>
      <c r="AE210" s="591"/>
    </row>
    <row r="211" spans="1:31">
      <c r="A211" s="591"/>
      <c r="B211" s="591"/>
      <c r="C211" s="591"/>
      <c r="D211" s="591"/>
      <c r="E211" s="591"/>
      <c r="F211" s="591"/>
      <c r="G211" s="591"/>
      <c r="H211" s="591"/>
      <c r="I211" s="591"/>
      <c r="J211" s="591"/>
      <c r="K211" s="591"/>
      <c r="L211" s="591"/>
      <c r="M211" s="591"/>
      <c r="N211" s="591"/>
      <c r="O211" s="591"/>
      <c r="P211" s="591"/>
      <c r="Q211" s="591"/>
      <c r="R211" s="591"/>
      <c r="S211" s="591"/>
      <c r="T211" s="591"/>
      <c r="U211" s="591"/>
      <c r="V211" s="591"/>
      <c r="W211" s="591"/>
      <c r="X211" s="591"/>
      <c r="Y211" s="591"/>
      <c r="Z211" s="591"/>
      <c r="AA211" s="591"/>
      <c r="AB211" s="591"/>
      <c r="AC211" s="591"/>
      <c r="AD211" s="591"/>
      <c r="AE211" s="591"/>
    </row>
    <row r="212" spans="1:31">
      <c r="A212" s="591"/>
      <c r="B212" s="591"/>
      <c r="C212" s="591"/>
      <c r="D212" s="591"/>
      <c r="E212" s="591"/>
      <c r="F212" s="591"/>
      <c r="G212" s="591"/>
      <c r="H212" s="591"/>
      <c r="I212" s="591"/>
      <c r="J212" s="591"/>
      <c r="K212" s="591"/>
      <c r="L212" s="591"/>
      <c r="M212" s="591"/>
      <c r="N212" s="591"/>
      <c r="O212" s="591"/>
      <c r="P212" s="591"/>
      <c r="Q212" s="591"/>
      <c r="R212" s="591"/>
      <c r="S212" s="591"/>
      <c r="T212" s="591"/>
      <c r="U212" s="591"/>
      <c r="V212" s="591"/>
      <c r="W212" s="591"/>
      <c r="X212" s="591"/>
      <c r="Y212" s="591"/>
      <c r="Z212" s="591"/>
      <c r="AA212" s="591"/>
      <c r="AB212" s="591"/>
      <c r="AC212" s="591"/>
      <c r="AD212" s="591"/>
      <c r="AE212" s="591"/>
    </row>
    <row r="213" spans="1:31">
      <c r="A213" s="591"/>
      <c r="B213" s="591"/>
      <c r="C213" s="591"/>
      <c r="D213" s="591"/>
      <c r="E213" s="591"/>
      <c r="F213" s="591"/>
      <c r="G213" s="591"/>
      <c r="H213" s="591"/>
      <c r="I213" s="591"/>
      <c r="J213" s="591"/>
      <c r="K213" s="591"/>
      <c r="L213" s="591"/>
      <c r="M213" s="591"/>
      <c r="N213" s="591"/>
      <c r="O213" s="591"/>
      <c r="P213" s="591"/>
      <c r="Q213" s="591"/>
      <c r="R213" s="591"/>
      <c r="S213" s="591"/>
      <c r="T213" s="591"/>
      <c r="U213" s="591"/>
      <c r="V213" s="591"/>
      <c r="W213" s="591"/>
      <c r="X213" s="591"/>
      <c r="Y213" s="591"/>
      <c r="Z213" s="591"/>
      <c r="AA213" s="591"/>
      <c r="AB213" s="591"/>
      <c r="AC213" s="591"/>
      <c r="AD213" s="591"/>
      <c r="AE213" s="591"/>
    </row>
    <row r="214" spans="1:31">
      <c r="A214" s="591"/>
      <c r="B214" s="591"/>
      <c r="C214" s="591"/>
      <c r="D214" s="591"/>
      <c r="E214" s="591"/>
      <c r="F214" s="591"/>
      <c r="G214" s="591"/>
      <c r="H214" s="591"/>
      <c r="I214" s="591"/>
      <c r="J214" s="591"/>
      <c r="K214" s="591"/>
      <c r="L214" s="591"/>
      <c r="M214" s="591"/>
      <c r="N214" s="591"/>
      <c r="O214" s="591"/>
      <c r="P214" s="591"/>
      <c r="Q214" s="591"/>
      <c r="R214" s="591"/>
      <c r="S214" s="591"/>
      <c r="T214" s="591"/>
      <c r="U214" s="591"/>
      <c r="V214" s="591"/>
      <c r="W214" s="591"/>
      <c r="X214" s="591"/>
      <c r="Y214" s="591"/>
      <c r="Z214" s="591"/>
      <c r="AA214" s="591"/>
      <c r="AB214" s="591"/>
      <c r="AC214" s="591"/>
      <c r="AD214" s="591"/>
      <c r="AE214" s="591"/>
    </row>
    <row r="215" spans="1:31">
      <c r="A215" s="591"/>
      <c r="B215" s="591"/>
      <c r="C215" s="591"/>
      <c r="D215" s="591"/>
      <c r="E215" s="591"/>
      <c r="F215" s="591"/>
      <c r="G215" s="591"/>
      <c r="H215" s="591"/>
      <c r="I215" s="591"/>
      <c r="J215" s="591"/>
      <c r="K215" s="591"/>
      <c r="L215" s="591"/>
      <c r="M215" s="591"/>
      <c r="N215" s="591"/>
      <c r="O215" s="591"/>
      <c r="P215" s="591"/>
      <c r="Q215" s="591"/>
      <c r="R215" s="591"/>
      <c r="S215" s="591"/>
      <c r="T215" s="591"/>
      <c r="U215" s="591"/>
      <c r="V215" s="591"/>
      <c r="W215" s="591"/>
      <c r="X215" s="591"/>
      <c r="Y215" s="591"/>
      <c r="Z215" s="591"/>
      <c r="AA215" s="591"/>
      <c r="AB215" s="591"/>
      <c r="AC215" s="591"/>
      <c r="AD215" s="591"/>
      <c r="AE215" s="591"/>
    </row>
    <row r="216" spans="1:31">
      <c r="A216" s="591"/>
      <c r="B216" s="591"/>
      <c r="C216" s="591"/>
      <c r="D216" s="591"/>
      <c r="E216" s="591"/>
      <c r="F216" s="591"/>
      <c r="G216" s="591"/>
      <c r="H216" s="591"/>
      <c r="I216" s="591"/>
      <c r="J216" s="591"/>
      <c r="K216" s="591"/>
      <c r="L216" s="591"/>
      <c r="M216" s="591"/>
      <c r="N216" s="591"/>
      <c r="O216" s="591"/>
      <c r="P216" s="591"/>
      <c r="Q216" s="591"/>
      <c r="R216" s="591"/>
      <c r="S216" s="591"/>
      <c r="T216" s="591"/>
      <c r="U216" s="591"/>
      <c r="V216" s="591"/>
      <c r="W216" s="591"/>
      <c r="X216" s="591"/>
      <c r="Y216" s="591"/>
      <c r="Z216" s="591"/>
      <c r="AA216" s="591"/>
      <c r="AB216" s="591"/>
      <c r="AC216" s="591"/>
      <c r="AD216" s="591"/>
      <c r="AE216" s="591"/>
    </row>
    <row r="217" spans="1:31">
      <c r="A217" s="591"/>
      <c r="B217" s="591"/>
      <c r="C217" s="591"/>
      <c r="D217" s="591"/>
      <c r="E217" s="591"/>
      <c r="F217" s="591"/>
      <c r="G217" s="591"/>
      <c r="H217" s="591"/>
      <c r="I217" s="591"/>
      <c r="J217" s="591"/>
      <c r="K217" s="591"/>
      <c r="L217" s="591"/>
      <c r="M217" s="591"/>
      <c r="N217" s="591"/>
      <c r="O217" s="591"/>
      <c r="P217" s="591"/>
      <c r="Q217" s="591"/>
      <c r="R217" s="591"/>
      <c r="S217" s="591"/>
      <c r="T217" s="591"/>
      <c r="U217" s="591"/>
      <c r="V217" s="591"/>
      <c r="W217" s="591"/>
      <c r="X217" s="591"/>
      <c r="Y217" s="591"/>
      <c r="Z217" s="591"/>
      <c r="AA217" s="591"/>
      <c r="AB217" s="591"/>
      <c r="AC217" s="591"/>
      <c r="AD217" s="591"/>
      <c r="AE217" s="591"/>
    </row>
    <row r="218" spans="1:31">
      <c r="A218" s="591"/>
      <c r="B218" s="591"/>
      <c r="C218" s="591"/>
      <c r="D218" s="591"/>
      <c r="E218" s="591"/>
      <c r="F218" s="591"/>
      <c r="G218" s="591"/>
      <c r="H218" s="591"/>
      <c r="I218" s="591"/>
      <c r="J218" s="591"/>
      <c r="K218" s="591"/>
      <c r="L218" s="591"/>
      <c r="M218" s="591"/>
      <c r="N218" s="591"/>
      <c r="O218" s="591"/>
      <c r="P218" s="591"/>
      <c r="Q218" s="591"/>
      <c r="R218" s="591"/>
      <c r="S218" s="591"/>
      <c r="T218" s="591"/>
      <c r="U218" s="591"/>
      <c r="V218" s="591"/>
      <c r="W218" s="591"/>
      <c r="X218" s="591"/>
      <c r="Y218" s="591"/>
      <c r="Z218" s="591"/>
      <c r="AA218" s="591"/>
      <c r="AB218" s="591"/>
      <c r="AC218" s="591"/>
      <c r="AD218" s="591"/>
      <c r="AE218" s="591"/>
    </row>
    <row r="219" spans="1:31">
      <c r="A219" s="591"/>
      <c r="B219" s="591"/>
      <c r="C219" s="591"/>
      <c r="D219" s="591"/>
      <c r="E219" s="591"/>
      <c r="F219" s="591"/>
      <c r="G219" s="591"/>
      <c r="H219" s="591"/>
      <c r="I219" s="591"/>
      <c r="J219" s="591"/>
      <c r="K219" s="591"/>
      <c r="L219" s="591"/>
      <c r="M219" s="591"/>
      <c r="N219" s="591"/>
      <c r="O219" s="591"/>
      <c r="P219" s="591"/>
      <c r="Q219" s="591"/>
      <c r="R219" s="591"/>
      <c r="S219" s="591"/>
      <c r="T219" s="591"/>
      <c r="U219" s="591"/>
      <c r="V219" s="591"/>
      <c r="W219" s="591"/>
      <c r="X219" s="591"/>
      <c r="Y219" s="591"/>
      <c r="Z219" s="591"/>
      <c r="AA219" s="591"/>
      <c r="AB219" s="591"/>
      <c r="AC219" s="591"/>
      <c r="AD219" s="591"/>
      <c r="AE219" s="591"/>
    </row>
    <row r="220" spans="1:31">
      <c r="A220" s="591"/>
      <c r="B220" s="591"/>
      <c r="C220" s="591"/>
      <c r="D220" s="591"/>
      <c r="E220" s="591"/>
      <c r="F220" s="591"/>
      <c r="G220" s="591"/>
      <c r="H220" s="591"/>
      <c r="I220" s="591"/>
      <c r="J220" s="591"/>
      <c r="K220" s="591"/>
      <c r="L220" s="591"/>
      <c r="M220" s="591"/>
      <c r="N220" s="591"/>
      <c r="O220" s="591"/>
      <c r="P220" s="591"/>
      <c r="Q220" s="591"/>
      <c r="R220" s="591"/>
      <c r="S220" s="591"/>
      <c r="T220" s="591"/>
      <c r="U220" s="591"/>
      <c r="V220" s="591"/>
      <c r="W220" s="591"/>
      <c r="X220" s="591"/>
      <c r="Y220" s="591"/>
      <c r="Z220" s="591"/>
      <c r="AA220" s="591"/>
      <c r="AB220" s="591"/>
      <c r="AC220" s="591"/>
      <c r="AD220" s="591"/>
      <c r="AE220" s="591"/>
    </row>
    <row r="221" spans="1:31">
      <c r="A221" s="591"/>
      <c r="B221" s="591"/>
      <c r="C221" s="591"/>
      <c r="D221" s="591"/>
      <c r="E221" s="591"/>
      <c r="F221" s="591"/>
      <c r="G221" s="591"/>
      <c r="H221" s="591"/>
      <c r="I221" s="591"/>
      <c r="J221" s="591"/>
      <c r="K221" s="591"/>
      <c r="L221" s="591"/>
      <c r="M221" s="591"/>
      <c r="N221" s="591"/>
      <c r="O221" s="591"/>
      <c r="P221" s="591"/>
      <c r="Q221" s="591"/>
      <c r="R221" s="591"/>
      <c r="S221" s="591"/>
      <c r="T221" s="591"/>
      <c r="U221" s="591"/>
      <c r="V221" s="591"/>
      <c r="W221" s="591"/>
      <c r="X221" s="591"/>
      <c r="Y221" s="591"/>
      <c r="Z221" s="591"/>
      <c r="AA221" s="591"/>
      <c r="AB221" s="591"/>
      <c r="AC221" s="591"/>
      <c r="AD221" s="591"/>
      <c r="AE221" s="591"/>
    </row>
    <row r="222" spans="1:31">
      <c r="A222" s="591"/>
      <c r="B222" s="591"/>
      <c r="C222" s="591"/>
      <c r="D222" s="591"/>
      <c r="E222" s="591"/>
      <c r="F222" s="591"/>
      <c r="G222" s="591"/>
      <c r="H222" s="591"/>
      <c r="I222" s="591"/>
      <c r="J222" s="591"/>
      <c r="K222" s="591"/>
      <c r="L222" s="591"/>
      <c r="M222" s="591"/>
      <c r="N222" s="591"/>
      <c r="O222" s="591"/>
      <c r="P222" s="591"/>
      <c r="Q222" s="591"/>
      <c r="R222" s="591"/>
      <c r="S222" s="591"/>
      <c r="T222" s="591"/>
      <c r="U222" s="591"/>
      <c r="V222" s="591"/>
      <c r="W222" s="591"/>
      <c r="X222" s="591"/>
      <c r="Y222" s="591"/>
      <c r="Z222" s="591"/>
      <c r="AA222" s="591"/>
      <c r="AB222" s="591"/>
      <c r="AC222" s="591"/>
      <c r="AD222" s="591"/>
      <c r="AE222" s="591"/>
    </row>
    <row r="223" spans="1:31">
      <c r="A223" s="591"/>
      <c r="B223" s="591"/>
      <c r="C223" s="591"/>
      <c r="D223" s="591"/>
      <c r="E223" s="591"/>
      <c r="F223" s="591"/>
      <c r="G223" s="591"/>
      <c r="H223" s="591"/>
      <c r="I223" s="591"/>
      <c r="J223" s="591"/>
      <c r="K223" s="591"/>
      <c r="L223" s="591"/>
      <c r="M223" s="591"/>
      <c r="N223" s="591"/>
      <c r="O223" s="591"/>
      <c r="P223" s="591"/>
      <c r="Q223" s="591"/>
      <c r="R223" s="591"/>
      <c r="S223" s="591"/>
      <c r="T223" s="591"/>
      <c r="U223" s="591"/>
      <c r="V223" s="591"/>
      <c r="W223" s="591"/>
      <c r="X223" s="591"/>
      <c r="Y223" s="591"/>
      <c r="Z223" s="591"/>
      <c r="AA223" s="591"/>
      <c r="AB223" s="591"/>
      <c r="AC223" s="591"/>
      <c r="AD223" s="591"/>
      <c r="AE223" s="591"/>
    </row>
    <row r="224" spans="1:31">
      <c r="A224" s="591"/>
      <c r="B224" s="591"/>
      <c r="C224" s="591"/>
      <c r="D224" s="591"/>
      <c r="E224" s="591"/>
      <c r="F224" s="591"/>
      <c r="G224" s="591"/>
      <c r="H224" s="591"/>
      <c r="I224" s="591"/>
      <c r="J224" s="591"/>
      <c r="K224" s="591"/>
      <c r="L224" s="591"/>
      <c r="M224" s="591"/>
      <c r="N224" s="591"/>
      <c r="O224" s="591"/>
      <c r="P224" s="591"/>
      <c r="Q224" s="591"/>
      <c r="R224" s="591"/>
      <c r="S224" s="591"/>
      <c r="T224" s="591"/>
      <c r="U224" s="591"/>
      <c r="V224" s="591"/>
      <c r="W224" s="591"/>
      <c r="X224" s="591"/>
      <c r="Y224" s="591"/>
      <c r="Z224" s="591"/>
      <c r="AA224" s="591"/>
      <c r="AB224" s="591"/>
      <c r="AC224" s="591"/>
      <c r="AD224" s="591"/>
      <c r="AE224" s="591"/>
    </row>
    <row r="225" spans="1:31">
      <c r="A225" s="591"/>
      <c r="B225" s="591"/>
      <c r="C225" s="591"/>
      <c r="D225" s="591"/>
      <c r="E225" s="591"/>
      <c r="F225" s="591"/>
      <c r="G225" s="591"/>
      <c r="H225" s="591"/>
      <c r="I225" s="591"/>
      <c r="J225" s="591"/>
      <c r="K225" s="591"/>
      <c r="L225" s="591"/>
      <c r="M225" s="591"/>
      <c r="N225" s="591"/>
      <c r="O225" s="591"/>
      <c r="P225" s="591"/>
      <c r="Q225" s="591"/>
      <c r="R225" s="591"/>
      <c r="S225" s="591"/>
      <c r="T225" s="591"/>
      <c r="U225" s="591"/>
      <c r="V225" s="591"/>
      <c r="W225" s="591"/>
      <c r="X225" s="591"/>
      <c r="Y225" s="591"/>
      <c r="Z225" s="591"/>
      <c r="AA225" s="591"/>
      <c r="AB225" s="591"/>
      <c r="AC225" s="591"/>
      <c r="AD225" s="591"/>
      <c r="AE225" s="591"/>
    </row>
    <row r="226" spans="1:31">
      <c r="A226" s="591"/>
      <c r="B226" s="591"/>
      <c r="C226" s="591"/>
      <c r="D226" s="591"/>
      <c r="E226" s="591"/>
      <c r="F226" s="591"/>
      <c r="G226" s="591"/>
      <c r="H226" s="591"/>
      <c r="I226" s="591"/>
      <c r="J226" s="591"/>
      <c r="K226" s="591"/>
      <c r="L226" s="591"/>
      <c r="M226" s="591"/>
      <c r="N226" s="591"/>
      <c r="O226" s="591"/>
      <c r="P226" s="591"/>
      <c r="Q226" s="591"/>
      <c r="R226" s="591"/>
      <c r="S226" s="591"/>
      <c r="T226" s="591"/>
      <c r="U226" s="591"/>
      <c r="V226" s="591"/>
      <c r="W226" s="591"/>
      <c r="X226" s="591"/>
      <c r="Y226" s="591"/>
      <c r="Z226" s="591"/>
      <c r="AA226" s="591"/>
      <c r="AB226" s="591"/>
      <c r="AC226" s="591"/>
      <c r="AD226" s="591"/>
      <c r="AE226" s="591"/>
    </row>
    <row r="227" spans="1:31">
      <c r="A227" s="591"/>
      <c r="B227" s="591"/>
      <c r="C227" s="591"/>
      <c r="D227" s="591"/>
      <c r="E227" s="591"/>
      <c r="F227" s="591"/>
      <c r="G227" s="591"/>
      <c r="H227" s="591"/>
      <c r="I227" s="591"/>
      <c r="J227" s="591"/>
      <c r="K227" s="591"/>
      <c r="L227" s="591"/>
      <c r="M227" s="591"/>
      <c r="N227" s="591"/>
      <c r="O227" s="591"/>
      <c r="P227" s="591"/>
      <c r="Q227" s="591"/>
      <c r="R227" s="591"/>
      <c r="S227" s="591"/>
      <c r="T227" s="591"/>
      <c r="U227" s="591"/>
      <c r="V227" s="591"/>
      <c r="W227" s="591"/>
      <c r="X227" s="591"/>
      <c r="Y227" s="591"/>
      <c r="Z227" s="591"/>
      <c r="AA227" s="591"/>
      <c r="AB227" s="591"/>
      <c r="AC227" s="591"/>
      <c r="AD227" s="591"/>
      <c r="AE227" s="591"/>
    </row>
    <row r="228" spans="1:31">
      <c r="A228" s="591"/>
      <c r="B228" s="591"/>
      <c r="C228" s="591"/>
      <c r="D228" s="591"/>
      <c r="E228" s="591"/>
      <c r="F228" s="591"/>
      <c r="G228" s="591"/>
      <c r="H228" s="591"/>
      <c r="I228" s="591"/>
      <c r="J228" s="591"/>
      <c r="K228" s="591"/>
      <c r="L228" s="591"/>
      <c r="M228" s="591"/>
      <c r="N228" s="591"/>
      <c r="O228" s="591"/>
      <c r="P228" s="591"/>
      <c r="Q228" s="591"/>
      <c r="R228" s="591"/>
      <c r="S228" s="591"/>
      <c r="T228" s="591"/>
      <c r="U228" s="591"/>
      <c r="V228" s="591"/>
      <c r="W228" s="591"/>
      <c r="X228" s="591"/>
      <c r="Y228" s="591"/>
      <c r="Z228" s="591"/>
      <c r="AA228" s="591"/>
      <c r="AB228" s="591"/>
      <c r="AC228" s="591"/>
      <c r="AD228" s="591"/>
      <c r="AE228" s="591"/>
    </row>
    <row r="229" spans="1:31">
      <c r="A229" s="591"/>
      <c r="B229" s="591"/>
      <c r="C229" s="591"/>
      <c r="D229" s="591"/>
      <c r="E229" s="591"/>
      <c r="F229" s="591"/>
      <c r="G229" s="591"/>
      <c r="H229" s="591"/>
      <c r="I229" s="591"/>
      <c r="J229" s="591"/>
      <c r="K229" s="591"/>
      <c r="L229" s="591"/>
      <c r="M229" s="591"/>
      <c r="N229" s="591"/>
      <c r="O229" s="591"/>
      <c r="P229" s="591"/>
      <c r="Q229" s="591"/>
      <c r="R229" s="591"/>
      <c r="S229" s="591"/>
      <c r="T229" s="591"/>
      <c r="U229" s="591"/>
      <c r="V229" s="591"/>
      <c r="W229" s="591"/>
      <c r="X229" s="591"/>
      <c r="Y229" s="591"/>
      <c r="Z229" s="591"/>
      <c r="AA229" s="591"/>
      <c r="AB229" s="591"/>
      <c r="AC229" s="591"/>
      <c r="AD229" s="591"/>
      <c r="AE229" s="591"/>
    </row>
    <row r="230" spans="1:31">
      <c r="A230" s="591"/>
      <c r="B230" s="591"/>
      <c r="C230" s="591"/>
      <c r="D230" s="591"/>
      <c r="E230" s="591"/>
      <c r="F230" s="591"/>
      <c r="G230" s="591"/>
      <c r="H230" s="591"/>
      <c r="I230" s="591"/>
      <c r="J230" s="591"/>
      <c r="K230" s="591"/>
      <c r="L230" s="591"/>
      <c r="M230" s="591"/>
      <c r="N230" s="591"/>
      <c r="O230" s="591"/>
      <c r="P230" s="591"/>
      <c r="Q230" s="591"/>
      <c r="R230" s="591"/>
      <c r="S230" s="591"/>
      <c r="T230" s="591"/>
      <c r="U230" s="591"/>
      <c r="V230" s="591"/>
      <c r="W230" s="591"/>
      <c r="X230" s="591"/>
      <c r="Y230" s="591"/>
      <c r="Z230" s="591"/>
      <c r="AA230" s="591"/>
      <c r="AB230" s="591"/>
      <c r="AC230" s="591"/>
      <c r="AD230" s="591"/>
      <c r="AE230" s="591"/>
    </row>
    <row r="231" spans="1:31">
      <c r="A231" s="591"/>
      <c r="B231" s="591"/>
      <c r="C231" s="591"/>
      <c r="D231" s="591"/>
      <c r="E231" s="591"/>
      <c r="F231" s="591"/>
      <c r="G231" s="591"/>
      <c r="H231" s="591"/>
      <c r="I231" s="591"/>
      <c r="J231" s="591"/>
      <c r="K231" s="591"/>
      <c r="L231" s="591"/>
      <c r="M231" s="591"/>
      <c r="N231" s="591"/>
      <c r="O231" s="591"/>
      <c r="P231" s="591"/>
      <c r="Q231" s="591"/>
      <c r="R231" s="591"/>
      <c r="S231" s="591"/>
      <c r="T231" s="591"/>
      <c r="U231" s="591"/>
      <c r="V231" s="591"/>
      <c r="W231" s="591"/>
      <c r="X231" s="591"/>
      <c r="Y231" s="591"/>
      <c r="Z231" s="591"/>
      <c r="AA231" s="591"/>
      <c r="AB231" s="591"/>
      <c r="AC231" s="591"/>
      <c r="AD231" s="591"/>
      <c r="AE231" s="591"/>
    </row>
    <row r="232" spans="1:31">
      <c r="A232" s="591"/>
      <c r="B232" s="591"/>
      <c r="C232" s="591"/>
      <c r="D232" s="591"/>
      <c r="E232" s="591"/>
      <c r="F232" s="591"/>
      <c r="G232" s="591"/>
      <c r="H232" s="591"/>
      <c r="I232" s="591"/>
      <c r="J232" s="591"/>
      <c r="K232" s="591"/>
      <c r="L232" s="591"/>
      <c r="M232" s="591"/>
      <c r="N232" s="591"/>
      <c r="O232" s="591"/>
      <c r="P232" s="591"/>
      <c r="Q232" s="591"/>
      <c r="R232" s="591"/>
      <c r="S232" s="591"/>
      <c r="T232" s="591"/>
      <c r="U232" s="591"/>
      <c r="V232" s="591"/>
      <c r="W232" s="591"/>
      <c r="X232" s="591"/>
      <c r="Y232" s="591"/>
      <c r="Z232" s="591"/>
      <c r="AA232" s="591"/>
      <c r="AB232" s="591"/>
      <c r="AC232" s="591"/>
      <c r="AD232" s="591"/>
      <c r="AE232" s="591"/>
    </row>
    <row r="233" spans="1:31">
      <c r="A233" s="591"/>
      <c r="B233" s="591"/>
      <c r="C233" s="591"/>
      <c r="D233" s="591"/>
      <c r="E233" s="591"/>
      <c r="F233" s="591"/>
      <c r="G233" s="591"/>
      <c r="H233" s="591"/>
      <c r="I233" s="591"/>
      <c r="J233" s="591"/>
      <c r="K233" s="591"/>
      <c r="L233" s="591"/>
      <c r="M233" s="591"/>
      <c r="N233" s="591"/>
      <c r="O233" s="591"/>
      <c r="P233" s="591"/>
      <c r="Q233" s="591"/>
      <c r="R233" s="591"/>
      <c r="S233" s="591"/>
      <c r="T233" s="591"/>
      <c r="U233" s="591"/>
      <c r="V233" s="591"/>
      <c r="W233" s="591"/>
      <c r="X233" s="591"/>
      <c r="Y233" s="591"/>
      <c r="Z233" s="591"/>
      <c r="AA233" s="591"/>
      <c r="AB233" s="591"/>
      <c r="AC233" s="591"/>
      <c r="AD233" s="591"/>
      <c r="AE233" s="591"/>
    </row>
    <row r="234" spans="1:31">
      <c r="A234" s="591"/>
      <c r="B234" s="591"/>
      <c r="C234" s="591"/>
      <c r="D234" s="591"/>
      <c r="E234" s="591"/>
      <c r="F234" s="591"/>
      <c r="G234" s="591"/>
      <c r="H234" s="591"/>
      <c r="I234" s="591"/>
      <c r="J234" s="591"/>
      <c r="K234" s="591"/>
      <c r="L234" s="591"/>
      <c r="M234" s="591"/>
      <c r="N234" s="591"/>
      <c r="O234" s="591"/>
      <c r="P234" s="591"/>
      <c r="Q234" s="591"/>
      <c r="R234" s="591"/>
      <c r="S234" s="591"/>
      <c r="T234" s="591"/>
      <c r="U234" s="591"/>
      <c r="V234" s="591"/>
      <c r="W234" s="591"/>
      <c r="X234" s="591"/>
      <c r="Y234" s="591"/>
      <c r="Z234" s="591"/>
      <c r="AA234" s="591"/>
      <c r="AB234" s="591"/>
      <c r="AC234" s="591"/>
      <c r="AD234" s="591"/>
      <c r="AE234" s="591"/>
    </row>
    <row r="235" spans="1:31">
      <c r="A235" s="591"/>
      <c r="B235" s="591"/>
      <c r="C235" s="591"/>
      <c r="D235" s="591"/>
      <c r="E235" s="591"/>
      <c r="F235" s="591"/>
      <c r="G235" s="591"/>
      <c r="H235" s="591"/>
      <c r="I235" s="591"/>
      <c r="J235" s="591"/>
      <c r="K235" s="591"/>
      <c r="L235" s="591"/>
      <c r="M235" s="591"/>
      <c r="N235" s="591"/>
      <c r="O235" s="591"/>
      <c r="P235" s="591"/>
      <c r="Q235" s="591"/>
      <c r="R235" s="591"/>
      <c r="S235" s="591"/>
      <c r="T235" s="591"/>
      <c r="U235" s="591"/>
      <c r="V235" s="591"/>
      <c r="W235" s="591"/>
      <c r="X235" s="591"/>
      <c r="Y235" s="591"/>
      <c r="Z235" s="591"/>
      <c r="AA235" s="591"/>
      <c r="AB235" s="591"/>
      <c r="AC235" s="591"/>
      <c r="AD235" s="591"/>
      <c r="AE235" s="591"/>
    </row>
    <row r="236" spans="1:31">
      <c r="A236" s="591"/>
      <c r="B236" s="591"/>
      <c r="C236" s="591"/>
      <c r="D236" s="591"/>
      <c r="E236" s="591"/>
      <c r="F236" s="591"/>
      <c r="G236" s="591"/>
      <c r="H236" s="591"/>
      <c r="I236" s="591"/>
      <c r="J236" s="591"/>
      <c r="K236" s="591"/>
      <c r="L236" s="591"/>
      <c r="M236" s="591"/>
      <c r="N236" s="591"/>
      <c r="O236" s="591"/>
      <c r="P236" s="591"/>
      <c r="Q236" s="591"/>
      <c r="R236" s="591"/>
      <c r="S236" s="591"/>
      <c r="T236" s="591"/>
      <c r="U236" s="591"/>
      <c r="V236" s="591"/>
      <c r="W236" s="591"/>
      <c r="X236" s="591"/>
      <c r="Y236" s="591"/>
      <c r="Z236" s="591"/>
      <c r="AA236" s="591"/>
      <c r="AB236" s="591"/>
      <c r="AC236" s="591"/>
      <c r="AD236" s="591"/>
      <c r="AE236" s="591"/>
    </row>
    <row r="237" spans="1:31">
      <c r="A237" s="591"/>
      <c r="B237" s="591"/>
      <c r="C237" s="591"/>
      <c r="D237" s="591"/>
      <c r="E237" s="591"/>
      <c r="F237" s="591"/>
      <c r="G237" s="591"/>
      <c r="H237" s="591"/>
      <c r="I237" s="591"/>
      <c r="J237" s="591"/>
      <c r="K237" s="591"/>
      <c r="L237" s="591"/>
      <c r="M237" s="591"/>
      <c r="N237" s="591"/>
      <c r="O237" s="591"/>
      <c r="P237" s="591"/>
      <c r="Q237" s="591"/>
      <c r="R237" s="591"/>
      <c r="S237" s="591"/>
      <c r="T237" s="591"/>
      <c r="U237" s="591"/>
      <c r="V237" s="591"/>
      <c r="W237" s="591"/>
      <c r="X237" s="591"/>
      <c r="Y237" s="591"/>
      <c r="Z237" s="591"/>
      <c r="AA237" s="591"/>
      <c r="AB237" s="591"/>
      <c r="AC237" s="591"/>
      <c r="AD237" s="591"/>
      <c r="AE237" s="591"/>
    </row>
    <row r="238" spans="1:31">
      <c r="A238" s="591"/>
      <c r="B238" s="591"/>
      <c r="C238" s="591"/>
      <c r="D238" s="591"/>
      <c r="E238" s="591"/>
      <c r="F238" s="591"/>
      <c r="G238" s="591"/>
      <c r="H238" s="591"/>
      <c r="I238" s="591"/>
      <c r="J238" s="591"/>
      <c r="K238" s="591"/>
      <c r="L238" s="591"/>
      <c r="M238" s="591"/>
      <c r="N238" s="591"/>
      <c r="O238" s="591"/>
      <c r="P238" s="591"/>
      <c r="Q238" s="591"/>
      <c r="R238" s="591"/>
      <c r="S238" s="591"/>
      <c r="T238" s="591"/>
      <c r="U238" s="591"/>
      <c r="V238" s="591"/>
      <c r="W238" s="591"/>
      <c r="X238" s="591"/>
      <c r="Y238" s="591"/>
      <c r="Z238" s="591"/>
      <c r="AA238" s="591"/>
      <c r="AB238" s="591"/>
      <c r="AC238" s="591"/>
      <c r="AD238" s="591"/>
      <c r="AE238" s="591"/>
    </row>
    <row r="239" spans="1:31">
      <c r="A239" s="591"/>
      <c r="B239" s="591"/>
      <c r="C239" s="591"/>
      <c r="D239" s="591"/>
      <c r="E239" s="591"/>
      <c r="F239" s="591"/>
      <c r="G239" s="591"/>
      <c r="H239" s="591"/>
      <c r="I239" s="591"/>
      <c r="J239" s="591"/>
      <c r="K239" s="591"/>
      <c r="L239" s="591"/>
      <c r="M239" s="591"/>
      <c r="N239" s="591"/>
      <c r="O239" s="591"/>
      <c r="P239" s="591"/>
      <c r="Q239" s="591"/>
      <c r="R239" s="591"/>
      <c r="S239" s="591"/>
      <c r="T239" s="591"/>
      <c r="U239" s="591"/>
      <c r="V239" s="591"/>
      <c r="W239" s="591"/>
      <c r="X239" s="591"/>
      <c r="Y239" s="591"/>
      <c r="Z239" s="591"/>
      <c r="AA239" s="591"/>
      <c r="AB239" s="591"/>
      <c r="AC239" s="591"/>
      <c r="AD239" s="591"/>
      <c r="AE239" s="591"/>
    </row>
    <row r="240" spans="1:31">
      <c r="A240" s="591"/>
      <c r="B240" s="591"/>
      <c r="C240" s="591"/>
      <c r="D240" s="591"/>
      <c r="E240" s="591"/>
      <c r="F240" s="591"/>
      <c r="G240" s="591"/>
      <c r="H240" s="591"/>
      <c r="I240" s="591"/>
      <c r="J240" s="591"/>
      <c r="K240" s="591"/>
      <c r="L240" s="591"/>
      <c r="M240" s="591"/>
      <c r="N240" s="591"/>
      <c r="O240" s="591"/>
      <c r="P240" s="591"/>
      <c r="Q240" s="591"/>
      <c r="R240" s="591"/>
      <c r="S240" s="591"/>
      <c r="T240" s="591"/>
      <c r="U240" s="591"/>
      <c r="V240" s="591"/>
      <c r="W240" s="591"/>
      <c r="X240" s="591"/>
      <c r="Y240" s="591"/>
      <c r="Z240" s="591"/>
      <c r="AA240" s="591"/>
      <c r="AB240" s="591"/>
      <c r="AC240" s="591"/>
      <c r="AD240" s="591"/>
      <c r="AE240" s="591"/>
    </row>
    <row r="241" spans="1:31">
      <c r="A241" s="591"/>
      <c r="B241" s="591"/>
      <c r="C241" s="591"/>
      <c r="D241" s="591"/>
      <c r="E241" s="591"/>
      <c r="F241" s="591"/>
      <c r="G241" s="591"/>
      <c r="H241" s="591"/>
      <c r="I241" s="591"/>
      <c r="J241" s="591"/>
      <c r="K241" s="591"/>
      <c r="L241" s="591"/>
      <c r="M241" s="591"/>
      <c r="N241" s="591"/>
      <c r="O241" s="591"/>
      <c r="P241" s="591"/>
      <c r="Q241" s="591"/>
      <c r="R241" s="591"/>
      <c r="S241" s="591"/>
      <c r="T241" s="591"/>
      <c r="U241" s="591"/>
      <c r="V241" s="591"/>
      <c r="W241" s="591"/>
      <c r="X241" s="591"/>
      <c r="Y241" s="591"/>
      <c r="Z241" s="591"/>
      <c r="AA241" s="591"/>
      <c r="AB241" s="591"/>
      <c r="AC241" s="591"/>
      <c r="AD241" s="591"/>
      <c r="AE241" s="591"/>
    </row>
    <row r="242" spans="1:31">
      <c r="A242" s="591"/>
      <c r="B242" s="591"/>
      <c r="C242" s="591"/>
      <c r="D242" s="591"/>
      <c r="E242" s="591"/>
      <c r="F242" s="591"/>
      <c r="G242" s="591"/>
      <c r="H242" s="591"/>
      <c r="I242" s="591"/>
      <c r="J242" s="591"/>
      <c r="K242" s="591"/>
      <c r="L242" s="591"/>
      <c r="M242" s="591"/>
      <c r="N242" s="591"/>
      <c r="O242" s="591"/>
      <c r="P242" s="591"/>
      <c r="Q242" s="591"/>
      <c r="R242" s="591"/>
      <c r="S242" s="591"/>
      <c r="T242" s="591"/>
      <c r="U242" s="591"/>
      <c r="V242" s="591"/>
      <c r="W242" s="591"/>
      <c r="X242" s="591"/>
      <c r="Y242" s="591"/>
      <c r="Z242" s="591"/>
      <c r="AA242" s="591"/>
      <c r="AB242" s="591"/>
      <c r="AC242" s="591"/>
      <c r="AD242" s="591"/>
      <c r="AE242" s="591"/>
    </row>
    <row r="243" spans="1:31">
      <c r="A243" s="591"/>
      <c r="B243" s="591"/>
      <c r="C243" s="591"/>
      <c r="D243" s="591"/>
      <c r="E243" s="591"/>
      <c r="F243" s="591"/>
      <c r="G243" s="591"/>
      <c r="H243" s="591"/>
      <c r="I243" s="591"/>
      <c r="J243" s="591"/>
      <c r="K243" s="591"/>
      <c r="L243" s="591"/>
      <c r="M243" s="591"/>
      <c r="N243" s="591"/>
      <c r="O243" s="591"/>
      <c r="P243" s="591"/>
      <c r="Q243" s="591"/>
      <c r="R243" s="591"/>
      <c r="S243" s="591"/>
      <c r="T243" s="591"/>
      <c r="U243" s="591"/>
      <c r="V243" s="591"/>
      <c r="W243" s="591"/>
      <c r="X243" s="591"/>
      <c r="Y243" s="591"/>
      <c r="Z243" s="591"/>
      <c r="AA243" s="591"/>
      <c r="AB243" s="591"/>
      <c r="AC243" s="591"/>
      <c r="AD243" s="591"/>
      <c r="AE243" s="591"/>
    </row>
    <row r="244" spans="1:31">
      <c r="A244" s="591"/>
      <c r="B244" s="591"/>
      <c r="C244" s="591"/>
      <c r="D244" s="591"/>
      <c r="E244" s="591"/>
      <c r="F244" s="591"/>
      <c r="G244" s="591"/>
      <c r="H244" s="591"/>
      <c r="I244" s="591"/>
      <c r="J244" s="591"/>
      <c r="K244" s="591"/>
      <c r="L244" s="591"/>
      <c r="M244" s="591"/>
      <c r="N244" s="591"/>
      <c r="O244" s="591"/>
      <c r="P244" s="591"/>
      <c r="Q244" s="591"/>
      <c r="R244" s="591"/>
      <c r="S244" s="591"/>
      <c r="T244" s="591"/>
      <c r="U244" s="591"/>
      <c r="V244" s="591"/>
      <c r="W244" s="591"/>
      <c r="X244" s="591"/>
      <c r="Y244" s="591"/>
      <c r="Z244" s="591"/>
      <c r="AA244" s="591"/>
      <c r="AB244" s="591"/>
      <c r="AC244" s="591"/>
      <c r="AD244" s="591"/>
      <c r="AE244" s="591"/>
    </row>
    <row r="245" spans="1:31">
      <c r="A245" s="591"/>
      <c r="B245" s="591"/>
      <c r="C245" s="591"/>
      <c r="D245" s="591"/>
      <c r="E245" s="591"/>
      <c r="F245" s="591"/>
      <c r="G245" s="591"/>
      <c r="H245" s="591"/>
      <c r="I245" s="591"/>
      <c r="J245" s="591"/>
      <c r="K245" s="591"/>
      <c r="L245" s="591"/>
      <c r="M245" s="591"/>
      <c r="N245" s="591"/>
      <c r="O245" s="591"/>
      <c r="P245" s="591"/>
      <c r="Q245" s="591"/>
      <c r="R245" s="591"/>
      <c r="S245" s="591"/>
      <c r="T245" s="591"/>
      <c r="U245" s="591"/>
      <c r="V245" s="591"/>
      <c r="W245" s="591"/>
      <c r="X245" s="591"/>
      <c r="Y245" s="591"/>
      <c r="Z245" s="591"/>
      <c r="AA245" s="591"/>
      <c r="AB245" s="591"/>
      <c r="AC245" s="591"/>
      <c r="AD245" s="591"/>
      <c r="AE245" s="591"/>
    </row>
    <row r="246" spans="1:31">
      <c r="A246" s="591"/>
      <c r="B246" s="591"/>
      <c r="C246" s="591"/>
      <c r="D246" s="591"/>
      <c r="E246" s="591"/>
      <c r="F246" s="591"/>
      <c r="G246" s="591"/>
      <c r="H246" s="591"/>
      <c r="I246" s="591"/>
      <c r="J246" s="591"/>
      <c r="K246" s="591"/>
      <c r="L246" s="591"/>
      <c r="M246" s="591"/>
      <c r="N246" s="591"/>
      <c r="O246" s="591"/>
      <c r="P246" s="591"/>
      <c r="Q246" s="591"/>
      <c r="R246" s="591"/>
      <c r="S246" s="591"/>
      <c r="T246" s="591"/>
      <c r="U246" s="591"/>
      <c r="V246" s="591"/>
      <c r="W246" s="591"/>
      <c r="X246" s="591"/>
      <c r="Y246" s="591"/>
      <c r="Z246" s="591"/>
      <c r="AA246" s="591"/>
      <c r="AB246" s="591"/>
      <c r="AC246" s="591"/>
      <c r="AD246" s="591"/>
      <c r="AE246" s="591"/>
    </row>
    <row r="247" spans="1:31">
      <c r="A247" s="591"/>
      <c r="B247" s="591"/>
      <c r="C247" s="591"/>
      <c r="D247" s="591"/>
      <c r="E247" s="591"/>
      <c r="F247" s="591"/>
      <c r="G247" s="591"/>
      <c r="H247" s="591"/>
      <c r="I247" s="591"/>
      <c r="J247" s="591"/>
      <c r="K247" s="591"/>
      <c r="L247" s="591"/>
      <c r="M247" s="591"/>
      <c r="N247" s="591"/>
      <c r="O247" s="591"/>
      <c r="P247" s="591"/>
      <c r="Q247" s="591"/>
      <c r="R247" s="591"/>
      <c r="S247" s="591"/>
      <c r="T247" s="591"/>
      <c r="U247" s="591"/>
      <c r="V247" s="591"/>
      <c r="W247" s="591"/>
      <c r="X247" s="591"/>
      <c r="Y247" s="591"/>
      <c r="Z247" s="591"/>
      <c r="AA247" s="591"/>
      <c r="AB247" s="591"/>
      <c r="AC247" s="591"/>
      <c r="AD247" s="591"/>
      <c r="AE247" s="591"/>
    </row>
    <row r="248" spans="1:31">
      <c r="A248" s="591"/>
      <c r="B248" s="591"/>
      <c r="C248" s="591"/>
      <c r="D248" s="591"/>
      <c r="E248" s="591"/>
      <c r="F248" s="591"/>
      <c r="G248" s="591"/>
      <c r="H248" s="591"/>
      <c r="I248" s="591"/>
      <c r="J248" s="591"/>
      <c r="K248" s="591"/>
      <c r="L248" s="591"/>
      <c r="M248" s="591"/>
      <c r="N248" s="591"/>
      <c r="O248" s="591"/>
      <c r="P248" s="591"/>
      <c r="Q248" s="591"/>
      <c r="R248" s="591"/>
      <c r="S248" s="591"/>
      <c r="T248" s="591"/>
      <c r="U248" s="591"/>
      <c r="V248" s="591"/>
      <c r="W248" s="591"/>
      <c r="X248" s="591"/>
      <c r="Y248" s="591"/>
      <c r="Z248" s="591"/>
      <c r="AA248" s="591"/>
      <c r="AB248" s="591"/>
      <c r="AC248" s="591"/>
      <c r="AD248" s="591"/>
      <c r="AE248" s="591"/>
    </row>
    <row r="249" spans="1:31">
      <c r="A249" s="591"/>
      <c r="B249" s="591"/>
      <c r="C249" s="591"/>
      <c r="D249" s="591"/>
      <c r="E249" s="591"/>
      <c r="F249" s="591"/>
      <c r="G249" s="591"/>
      <c r="H249" s="591"/>
      <c r="I249" s="591"/>
      <c r="J249" s="591"/>
      <c r="K249" s="591"/>
      <c r="L249" s="591"/>
      <c r="M249" s="591"/>
      <c r="N249" s="591"/>
      <c r="O249" s="591"/>
      <c r="P249" s="591"/>
      <c r="Q249" s="591"/>
      <c r="R249" s="591"/>
      <c r="S249" s="591"/>
      <c r="T249" s="591"/>
      <c r="U249" s="591"/>
      <c r="V249" s="591"/>
      <c r="W249" s="591"/>
      <c r="X249" s="591"/>
      <c r="Y249" s="591"/>
      <c r="Z249" s="591"/>
      <c r="AA249" s="591"/>
      <c r="AB249" s="591"/>
      <c r="AC249" s="591"/>
      <c r="AD249" s="591"/>
      <c r="AE249" s="591"/>
    </row>
    <row r="250" spans="1:31">
      <c r="A250" s="591"/>
      <c r="B250" s="591"/>
      <c r="C250" s="591"/>
      <c r="D250" s="591"/>
      <c r="E250" s="591"/>
      <c r="F250" s="591"/>
      <c r="G250" s="591"/>
      <c r="H250" s="591"/>
      <c r="I250" s="591"/>
      <c r="J250" s="591"/>
      <c r="K250" s="591"/>
      <c r="L250" s="591"/>
      <c r="M250" s="591"/>
      <c r="N250" s="591"/>
      <c r="O250" s="591"/>
      <c r="P250" s="591"/>
      <c r="Q250" s="591"/>
      <c r="R250" s="591"/>
      <c r="S250" s="591"/>
      <c r="T250" s="591"/>
      <c r="U250" s="591"/>
      <c r="V250" s="591"/>
      <c r="W250" s="591"/>
      <c r="X250" s="591"/>
      <c r="Y250" s="591"/>
      <c r="Z250" s="591"/>
      <c r="AA250" s="591"/>
      <c r="AB250" s="591"/>
      <c r="AC250" s="591"/>
      <c r="AD250" s="591"/>
      <c r="AE250" s="591"/>
    </row>
    <row r="251" spans="1:31">
      <c r="A251" s="591"/>
      <c r="B251" s="591"/>
      <c r="C251" s="591"/>
      <c r="D251" s="591"/>
      <c r="E251" s="591"/>
      <c r="F251" s="591"/>
      <c r="G251" s="591"/>
      <c r="H251" s="591"/>
      <c r="I251" s="591"/>
      <c r="J251" s="591"/>
      <c r="K251" s="591"/>
      <c r="L251" s="591"/>
      <c r="M251" s="591"/>
      <c r="N251" s="591"/>
      <c r="O251" s="591"/>
      <c r="P251" s="591"/>
      <c r="Q251" s="591"/>
      <c r="R251" s="591"/>
      <c r="S251" s="591"/>
      <c r="T251" s="591"/>
      <c r="U251" s="591"/>
      <c r="V251" s="591"/>
      <c r="W251" s="591"/>
      <c r="X251" s="591"/>
      <c r="Y251" s="591"/>
      <c r="Z251" s="591"/>
      <c r="AA251" s="591"/>
      <c r="AB251" s="591"/>
      <c r="AC251" s="591"/>
      <c r="AD251" s="591"/>
      <c r="AE251" s="591"/>
    </row>
    <row r="252" spans="1:31">
      <c r="A252" s="591"/>
      <c r="B252" s="591"/>
      <c r="C252" s="591"/>
      <c r="D252" s="591"/>
      <c r="E252" s="591"/>
      <c r="F252" s="591"/>
      <c r="G252" s="591"/>
      <c r="H252" s="591"/>
      <c r="I252" s="591"/>
      <c r="J252" s="591"/>
      <c r="K252" s="591"/>
      <c r="L252" s="591"/>
      <c r="M252" s="591"/>
      <c r="N252" s="591"/>
      <c r="O252" s="591"/>
      <c r="P252" s="591"/>
      <c r="Q252" s="591"/>
      <c r="R252" s="591"/>
      <c r="S252" s="591"/>
      <c r="T252" s="591"/>
      <c r="U252" s="591"/>
      <c r="V252" s="591"/>
      <c r="W252" s="591"/>
      <c r="X252" s="591"/>
      <c r="Y252" s="591"/>
      <c r="Z252" s="591"/>
      <c r="AA252" s="591"/>
      <c r="AB252" s="591"/>
      <c r="AC252" s="591"/>
      <c r="AD252" s="591"/>
      <c r="AE252" s="591"/>
    </row>
    <row r="253" spans="1:31">
      <c r="A253" s="591"/>
      <c r="B253" s="591"/>
      <c r="C253" s="591"/>
      <c r="D253" s="591"/>
      <c r="E253" s="591"/>
      <c r="F253" s="591"/>
      <c r="G253" s="591"/>
      <c r="H253" s="591"/>
      <c r="I253" s="591"/>
      <c r="J253" s="591"/>
      <c r="K253" s="591"/>
      <c r="L253" s="591"/>
      <c r="M253" s="591"/>
      <c r="N253" s="591"/>
      <c r="O253" s="591"/>
      <c r="P253" s="591"/>
      <c r="Q253" s="591"/>
      <c r="R253" s="591"/>
      <c r="S253" s="591"/>
      <c r="T253" s="591"/>
      <c r="U253" s="591"/>
      <c r="V253" s="591"/>
      <c r="W253" s="591"/>
      <c r="X253" s="591"/>
      <c r="Y253" s="591"/>
      <c r="Z253" s="591"/>
      <c r="AA253" s="591"/>
      <c r="AB253" s="591"/>
      <c r="AC253" s="591"/>
      <c r="AD253" s="591"/>
      <c r="AE253" s="591"/>
    </row>
    <row r="254" spans="1:31">
      <c r="A254" s="591"/>
      <c r="B254" s="591"/>
      <c r="C254" s="591"/>
      <c r="D254" s="591"/>
      <c r="E254" s="591"/>
      <c r="F254" s="591"/>
      <c r="G254" s="591"/>
      <c r="H254" s="591"/>
      <c r="I254" s="591"/>
      <c r="J254" s="591"/>
      <c r="K254" s="591"/>
      <c r="L254" s="591"/>
      <c r="M254" s="591"/>
      <c r="N254" s="591"/>
      <c r="O254" s="591"/>
      <c r="P254" s="591"/>
      <c r="Q254" s="591"/>
      <c r="R254" s="591"/>
      <c r="S254" s="591"/>
      <c r="T254" s="591"/>
      <c r="U254" s="591"/>
      <c r="V254" s="591"/>
      <c r="W254" s="591"/>
      <c r="X254" s="591"/>
      <c r="Y254" s="591"/>
      <c r="Z254" s="591"/>
      <c r="AA254" s="591"/>
      <c r="AB254" s="591"/>
      <c r="AC254" s="591"/>
      <c r="AD254" s="591"/>
      <c r="AE254" s="591"/>
    </row>
    <row r="255" spans="1:31">
      <c r="A255" s="591"/>
      <c r="B255" s="591"/>
      <c r="C255" s="591"/>
      <c r="D255" s="591"/>
      <c r="E255" s="591"/>
      <c r="F255" s="591"/>
      <c r="G255" s="591"/>
      <c r="H255" s="591"/>
      <c r="I255" s="591"/>
      <c r="J255" s="591"/>
      <c r="K255" s="591"/>
      <c r="L255" s="591"/>
      <c r="M255" s="591"/>
      <c r="N255" s="591"/>
      <c r="O255" s="591"/>
      <c r="P255" s="591"/>
      <c r="Q255" s="591"/>
      <c r="R255" s="591"/>
      <c r="S255" s="591"/>
      <c r="T255" s="591"/>
      <c r="U255" s="591"/>
      <c r="V255" s="591"/>
      <c r="W255" s="591"/>
      <c r="X255" s="591"/>
      <c r="Y255" s="591"/>
      <c r="Z255" s="591"/>
      <c r="AA255" s="591"/>
      <c r="AB255" s="591"/>
      <c r="AC255" s="591"/>
      <c r="AD255" s="591"/>
      <c r="AE255" s="591"/>
    </row>
    <row r="256" spans="1:31">
      <c r="A256" s="591"/>
      <c r="B256" s="591"/>
      <c r="C256" s="591"/>
      <c r="D256" s="591"/>
      <c r="E256" s="591"/>
      <c r="F256" s="591"/>
      <c r="G256" s="591"/>
      <c r="H256" s="591"/>
      <c r="I256" s="591"/>
      <c r="J256" s="591"/>
      <c r="K256" s="591"/>
      <c r="L256" s="591"/>
      <c r="M256" s="591"/>
      <c r="N256" s="591"/>
      <c r="O256" s="591"/>
      <c r="P256" s="591"/>
      <c r="Q256" s="591"/>
      <c r="R256" s="591"/>
      <c r="S256" s="591"/>
      <c r="T256" s="591"/>
      <c r="U256" s="591"/>
      <c r="V256" s="591"/>
      <c r="W256" s="591"/>
      <c r="X256" s="591"/>
      <c r="Y256" s="591"/>
      <c r="Z256" s="591"/>
      <c r="AA256" s="591"/>
      <c r="AB256" s="591"/>
      <c r="AC256" s="591"/>
      <c r="AD256" s="591"/>
      <c r="AE256" s="591"/>
    </row>
    <row r="257" spans="1:31">
      <c r="A257" s="591"/>
      <c r="B257" s="591"/>
      <c r="C257" s="591"/>
      <c r="D257" s="591"/>
      <c r="E257" s="591"/>
      <c r="F257" s="591"/>
      <c r="G257" s="591"/>
      <c r="H257" s="591"/>
      <c r="I257" s="591"/>
      <c r="J257" s="591"/>
      <c r="K257" s="591"/>
      <c r="L257" s="591"/>
      <c r="M257" s="591"/>
      <c r="N257" s="591"/>
      <c r="O257" s="591"/>
      <c r="P257" s="591"/>
      <c r="Q257" s="591"/>
      <c r="R257" s="591"/>
      <c r="S257" s="591"/>
      <c r="T257" s="591"/>
      <c r="U257" s="591"/>
      <c r="V257" s="591"/>
      <c r="W257" s="591"/>
      <c r="X257" s="591"/>
      <c r="Y257" s="591"/>
      <c r="Z257" s="591"/>
      <c r="AA257" s="591"/>
      <c r="AB257" s="591"/>
      <c r="AC257" s="591"/>
      <c r="AD257" s="591"/>
      <c r="AE257" s="591"/>
    </row>
    <row r="258" spans="1:31">
      <c r="A258" s="591"/>
      <c r="B258" s="591"/>
      <c r="C258" s="591"/>
      <c r="D258" s="591"/>
      <c r="E258" s="591"/>
      <c r="F258" s="591"/>
      <c r="G258" s="591"/>
      <c r="H258" s="591"/>
      <c r="I258" s="591"/>
      <c r="J258" s="591"/>
      <c r="K258" s="591"/>
      <c r="L258" s="591"/>
      <c r="M258" s="591"/>
      <c r="N258" s="591"/>
      <c r="O258" s="591"/>
      <c r="P258" s="591"/>
      <c r="Q258" s="591"/>
      <c r="R258" s="591"/>
      <c r="S258" s="591"/>
      <c r="T258" s="591"/>
      <c r="U258" s="591"/>
      <c r="V258" s="591"/>
      <c r="W258" s="591"/>
      <c r="X258" s="591"/>
      <c r="Y258" s="591"/>
      <c r="Z258" s="591"/>
      <c r="AA258" s="591"/>
      <c r="AB258" s="591"/>
      <c r="AC258" s="591"/>
      <c r="AD258" s="591"/>
      <c r="AE258" s="591"/>
    </row>
    <row r="259" spans="1:31">
      <c r="A259" s="591"/>
      <c r="B259" s="591"/>
      <c r="C259" s="591"/>
      <c r="D259" s="591"/>
      <c r="E259" s="591"/>
      <c r="F259" s="591"/>
      <c r="G259" s="591"/>
      <c r="H259" s="591"/>
      <c r="I259" s="591"/>
      <c r="J259" s="591"/>
      <c r="K259" s="591"/>
      <c r="L259" s="591"/>
      <c r="M259" s="591"/>
      <c r="N259" s="591"/>
      <c r="O259" s="591"/>
      <c r="P259" s="591"/>
      <c r="Q259" s="591"/>
      <c r="R259" s="591"/>
      <c r="S259" s="591"/>
      <c r="T259" s="591"/>
      <c r="U259" s="591"/>
      <c r="V259" s="591"/>
      <c r="W259" s="591"/>
      <c r="X259" s="591"/>
      <c r="Y259" s="591"/>
      <c r="Z259" s="591"/>
      <c r="AA259" s="591"/>
      <c r="AB259" s="591"/>
      <c r="AC259" s="591"/>
      <c r="AD259" s="591"/>
      <c r="AE259" s="591"/>
    </row>
    <row r="260" spans="1:31">
      <c r="A260" s="591"/>
      <c r="B260" s="591"/>
      <c r="C260" s="591"/>
      <c r="D260" s="591"/>
      <c r="E260" s="591"/>
      <c r="F260" s="591"/>
      <c r="G260" s="591"/>
      <c r="H260" s="591"/>
      <c r="I260" s="591"/>
      <c r="J260" s="591"/>
      <c r="K260" s="591"/>
      <c r="L260" s="591"/>
      <c r="M260" s="591"/>
      <c r="N260" s="591"/>
      <c r="O260" s="591"/>
      <c r="P260" s="591"/>
      <c r="Q260" s="591"/>
      <c r="R260" s="591"/>
      <c r="S260" s="591"/>
      <c r="T260" s="591"/>
      <c r="U260" s="591"/>
      <c r="V260" s="591"/>
      <c r="W260" s="591"/>
      <c r="X260" s="591"/>
      <c r="Y260" s="591"/>
      <c r="Z260" s="591"/>
      <c r="AA260" s="591"/>
      <c r="AB260" s="591"/>
      <c r="AC260" s="591"/>
      <c r="AD260" s="591"/>
      <c r="AE260" s="591"/>
    </row>
    <row r="261" spans="1:31">
      <c r="A261" s="591"/>
      <c r="B261" s="591"/>
      <c r="C261" s="591"/>
      <c r="D261" s="591"/>
      <c r="E261" s="591"/>
      <c r="F261" s="591"/>
      <c r="G261" s="591"/>
      <c r="H261" s="591"/>
      <c r="I261" s="591"/>
      <c r="J261" s="591"/>
      <c r="K261" s="591"/>
      <c r="L261" s="591"/>
      <c r="M261" s="591"/>
      <c r="N261" s="591"/>
      <c r="O261" s="591"/>
      <c r="P261" s="591"/>
      <c r="Q261" s="591"/>
      <c r="R261" s="591"/>
      <c r="S261" s="591"/>
      <c r="T261" s="591"/>
      <c r="U261" s="591"/>
      <c r="V261" s="591"/>
      <c r="W261" s="591"/>
      <c r="X261" s="591"/>
      <c r="Y261" s="591"/>
      <c r="Z261" s="591"/>
      <c r="AA261" s="591"/>
      <c r="AB261" s="591"/>
      <c r="AC261" s="591"/>
      <c r="AD261" s="591"/>
      <c r="AE261" s="591"/>
    </row>
    <row r="262" spans="1:31">
      <c r="A262" s="591"/>
      <c r="B262" s="591"/>
      <c r="C262" s="591"/>
      <c r="D262" s="591"/>
      <c r="E262" s="591"/>
      <c r="F262" s="591"/>
      <c r="G262" s="591"/>
      <c r="H262" s="591"/>
      <c r="I262" s="591"/>
      <c r="J262" s="591"/>
      <c r="K262" s="591"/>
      <c r="L262" s="591"/>
      <c r="M262" s="591"/>
      <c r="N262" s="591"/>
      <c r="O262" s="591"/>
      <c r="P262" s="591"/>
      <c r="Q262" s="591"/>
      <c r="R262" s="591"/>
      <c r="S262" s="591"/>
      <c r="T262" s="591"/>
      <c r="U262" s="591"/>
      <c r="V262" s="591"/>
      <c r="W262" s="591"/>
      <c r="X262" s="591"/>
      <c r="Y262" s="591"/>
      <c r="Z262" s="591"/>
      <c r="AA262" s="591"/>
      <c r="AB262" s="591"/>
      <c r="AC262" s="591"/>
      <c r="AD262" s="591"/>
      <c r="AE262" s="591"/>
    </row>
    <row r="263" spans="1:31">
      <c r="A263" s="591"/>
      <c r="B263" s="591"/>
      <c r="C263" s="591"/>
      <c r="D263" s="591"/>
      <c r="E263" s="591"/>
      <c r="F263" s="591"/>
      <c r="G263" s="591"/>
      <c r="H263" s="591"/>
      <c r="I263" s="591"/>
      <c r="J263" s="591"/>
      <c r="K263" s="591"/>
      <c r="L263" s="591"/>
      <c r="M263" s="591"/>
      <c r="N263" s="591"/>
      <c r="O263" s="591"/>
      <c r="P263" s="591"/>
      <c r="Q263" s="591"/>
      <c r="R263" s="591"/>
      <c r="S263" s="591"/>
      <c r="T263" s="591"/>
      <c r="U263" s="591"/>
      <c r="V263" s="591"/>
      <c r="W263" s="591"/>
      <c r="X263" s="591"/>
      <c r="Y263" s="591"/>
      <c r="Z263" s="591"/>
      <c r="AA263" s="591"/>
      <c r="AB263" s="591"/>
      <c r="AC263" s="591"/>
      <c r="AD263" s="591"/>
      <c r="AE263" s="591"/>
    </row>
    <row r="264" spans="1:31">
      <c r="A264" s="591"/>
      <c r="B264" s="591"/>
      <c r="C264" s="591"/>
      <c r="D264" s="591"/>
      <c r="E264" s="591"/>
      <c r="F264" s="591"/>
      <c r="G264" s="591"/>
      <c r="H264" s="591"/>
      <c r="I264" s="591"/>
      <c r="J264" s="591"/>
      <c r="K264" s="591"/>
      <c r="L264" s="591"/>
      <c r="M264" s="591"/>
      <c r="N264" s="591"/>
      <c r="O264" s="591"/>
      <c r="P264" s="591"/>
      <c r="Q264" s="591"/>
      <c r="R264" s="591"/>
      <c r="S264" s="591"/>
      <c r="T264" s="591"/>
      <c r="U264" s="591"/>
      <c r="V264" s="591"/>
      <c r="W264" s="591"/>
      <c r="X264" s="591"/>
      <c r="Y264" s="591"/>
      <c r="Z264" s="591"/>
      <c r="AA264" s="591"/>
      <c r="AB264" s="591"/>
      <c r="AC264" s="591"/>
      <c r="AD264" s="591"/>
      <c r="AE264" s="591"/>
    </row>
    <row r="265" spans="1:31">
      <c r="A265" s="591"/>
      <c r="B265" s="591"/>
      <c r="C265" s="591"/>
      <c r="D265" s="591"/>
      <c r="E265" s="591"/>
      <c r="F265" s="591"/>
      <c r="G265" s="591"/>
      <c r="H265" s="591"/>
      <c r="I265" s="591"/>
      <c r="J265" s="591"/>
      <c r="K265" s="591"/>
      <c r="L265" s="591"/>
      <c r="M265" s="591"/>
      <c r="N265" s="591"/>
      <c r="O265" s="591"/>
      <c r="P265" s="591"/>
      <c r="Q265" s="591"/>
      <c r="R265" s="591"/>
      <c r="S265" s="591"/>
      <c r="T265" s="591"/>
      <c r="U265" s="591"/>
      <c r="V265" s="591"/>
      <c r="W265" s="591"/>
      <c r="X265" s="591"/>
      <c r="Y265" s="591"/>
      <c r="Z265" s="591"/>
      <c r="AA265" s="591"/>
      <c r="AB265" s="591"/>
      <c r="AC265" s="591"/>
      <c r="AD265" s="591"/>
      <c r="AE265" s="591"/>
    </row>
    <row r="266" spans="1:31">
      <c r="A266" s="591"/>
      <c r="B266" s="591"/>
      <c r="C266" s="591"/>
      <c r="D266" s="591"/>
      <c r="E266" s="591"/>
      <c r="F266" s="591"/>
      <c r="G266" s="591"/>
      <c r="H266" s="591"/>
      <c r="I266" s="591"/>
      <c r="J266" s="591"/>
      <c r="K266" s="591"/>
      <c r="L266" s="591"/>
      <c r="M266" s="591"/>
      <c r="N266" s="591"/>
      <c r="O266" s="591"/>
      <c r="P266" s="591"/>
      <c r="Q266" s="591"/>
      <c r="R266" s="591"/>
      <c r="S266" s="591"/>
      <c r="T266" s="591"/>
      <c r="U266" s="591"/>
      <c r="V266" s="591"/>
      <c r="W266" s="591"/>
      <c r="X266" s="591"/>
      <c r="Y266" s="591"/>
      <c r="Z266" s="591"/>
      <c r="AA266" s="591"/>
      <c r="AB266" s="591"/>
      <c r="AC266" s="591"/>
      <c r="AD266" s="591"/>
      <c r="AE266" s="591"/>
    </row>
    <row r="267" spans="1:31">
      <c r="A267" s="591"/>
      <c r="B267" s="591"/>
      <c r="C267" s="591"/>
      <c r="D267" s="591"/>
      <c r="E267" s="591"/>
      <c r="F267" s="591"/>
      <c r="G267" s="591"/>
      <c r="H267" s="591"/>
      <c r="I267" s="591"/>
      <c r="J267" s="591"/>
      <c r="K267" s="591"/>
      <c r="L267" s="591"/>
      <c r="M267" s="591"/>
      <c r="N267" s="591"/>
      <c r="O267" s="591"/>
      <c r="P267" s="591"/>
      <c r="Q267" s="591"/>
      <c r="R267" s="591"/>
      <c r="S267" s="591"/>
      <c r="T267" s="591"/>
      <c r="U267" s="591"/>
      <c r="V267" s="591"/>
      <c r="W267" s="591"/>
      <c r="X267" s="591"/>
      <c r="Y267" s="591"/>
      <c r="Z267" s="591"/>
      <c r="AA267" s="591"/>
      <c r="AB267" s="591"/>
      <c r="AC267" s="591"/>
      <c r="AD267" s="591"/>
      <c r="AE267" s="591"/>
    </row>
    <row r="268" spans="1:31">
      <c r="A268" s="591"/>
      <c r="B268" s="591"/>
      <c r="C268" s="591"/>
      <c r="D268" s="591"/>
      <c r="E268" s="591"/>
      <c r="F268" s="591"/>
      <c r="G268" s="591"/>
      <c r="H268" s="591"/>
      <c r="I268" s="591"/>
      <c r="J268" s="591"/>
      <c r="K268" s="591"/>
      <c r="L268" s="591"/>
      <c r="M268" s="591"/>
      <c r="N268" s="591"/>
      <c r="O268" s="591"/>
      <c r="P268" s="591"/>
      <c r="Q268" s="591"/>
      <c r="R268" s="591"/>
      <c r="S268" s="591"/>
      <c r="T268" s="591"/>
      <c r="U268" s="591"/>
      <c r="V268" s="591"/>
      <c r="W268" s="591"/>
      <c r="X268" s="591"/>
      <c r="Y268" s="591"/>
      <c r="Z268" s="591"/>
      <c r="AA268" s="591"/>
      <c r="AB268" s="591"/>
      <c r="AC268" s="591"/>
      <c r="AD268" s="591"/>
      <c r="AE268" s="591"/>
    </row>
    <row r="269" spans="1:31">
      <c r="A269" s="591"/>
      <c r="B269" s="591"/>
      <c r="C269" s="591"/>
      <c r="D269" s="591"/>
      <c r="E269" s="591"/>
      <c r="F269" s="591"/>
      <c r="G269" s="591"/>
      <c r="H269" s="591"/>
      <c r="I269" s="591"/>
      <c r="J269" s="591"/>
      <c r="K269" s="591"/>
      <c r="L269" s="591"/>
      <c r="M269" s="591"/>
      <c r="N269" s="591"/>
      <c r="O269" s="591"/>
      <c r="P269" s="591"/>
      <c r="Q269" s="591"/>
      <c r="R269" s="591"/>
      <c r="S269" s="591"/>
      <c r="T269" s="591"/>
      <c r="U269" s="591"/>
      <c r="V269" s="591"/>
      <c r="W269" s="591"/>
      <c r="X269" s="591"/>
      <c r="Y269" s="591"/>
      <c r="Z269" s="591"/>
      <c r="AA269" s="591"/>
      <c r="AB269" s="591"/>
      <c r="AC269" s="591"/>
      <c r="AD269" s="591"/>
      <c r="AE269" s="591"/>
    </row>
    <row r="270" spans="1:31">
      <c r="A270" s="591"/>
      <c r="B270" s="591"/>
      <c r="C270" s="591"/>
      <c r="D270" s="591"/>
      <c r="E270" s="591"/>
      <c r="F270" s="591"/>
      <c r="G270" s="591"/>
      <c r="H270" s="591"/>
      <c r="I270" s="591"/>
      <c r="J270" s="591"/>
      <c r="K270" s="591"/>
      <c r="L270" s="591"/>
      <c r="M270" s="591"/>
      <c r="N270" s="591"/>
      <c r="O270" s="591"/>
      <c r="P270" s="591"/>
      <c r="Q270" s="591"/>
      <c r="R270" s="591"/>
      <c r="S270" s="591"/>
      <c r="T270" s="591"/>
      <c r="U270" s="591"/>
      <c r="V270" s="591"/>
      <c r="W270" s="591"/>
      <c r="X270" s="591"/>
      <c r="Y270" s="591"/>
      <c r="Z270" s="591"/>
      <c r="AA270" s="591"/>
      <c r="AB270" s="591"/>
      <c r="AC270" s="591"/>
      <c r="AD270" s="591"/>
      <c r="AE270" s="591"/>
    </row>
    <row r="271" spans="1:31">
      <c r="A271" s="591"/>
      <c r="B271" s="591"/>
      <c r="C271" s="591"/>
      <c r="D271" s="591"/>
      <c r="E271" s="591"/>
      <c r="F271" s="591"/>
      <c r="G271" s="591"/>
      <c r="H271" s="591"/>
      <c r="I271" s="591"/>
      <c r="J271" s="591"/>
      <c r="K271" s="591"/>
      <c r="L271" s="591"/>
      <c r="M271" s="591"/>
      <c r="N271" s="591"/>
      <c r="O271" s="591"/>
      <c r="P271" s="591"/>
      <c r="Q271" s="591"/>
      <c r="R271" s="591"/>
      <c r="S271" s="591"/>
      <c r="T271" s="591"/>
      <c r="U271" s="591"/>
      <c r="V271" s="591"/>
      <c r="W271" s="591"/>
      <c r="X271" s="591"/>
      <c r="Y271" s="591"/>
      <c r="Z271" s="591"/>
      <c r="AA271" s="591"/>
      <c r="AB271" s="591"/>
      <c r="AC271" s="591"/>
      <c r="AD271" s="591"/>
      <c r="AE271" s="591"/>
    </row>
    <row r="272" spans="1:31">
      <c r="A272" s="591"/>
      <c r="B272" s="591"/>
      <c r="C272" s="591"/>
      <c r="D272" s="591"/>
      <c r="E272" s="591"/>
      <c r="F272" s="591"/>
      <c r="G272" s="591"/>
      <c r="H272" s="591"/>
      <c r="I272" s="591"/>
      <c r="J272" s="591"/>
      <c r="K272" s="591"/>
      <c r="L272" s="591"/>
      <c r="M272" s="591"/>
      <c r="N272" s="591"/>
      <c r="O272" s="591"/>
      <c r="P272" s="591"/>
      <c r="Q272" s="591"/>
      <c r="R272" s="591"/>
      <c r="S272" s="591"/>
      <c r="T272" s="591"/>
      <c r="U272" s="591"/>
      <c r="V272" s="591"/>
      <c r="W272" s="591"/>
      <c r="X272" s="591"/>
      <c r="Y272" s="591"/>
      <c r="Z272" s="591"/>
      <c r="AA272" s="591"/>
      <c r="AB272" s="591"/>
      <c r="AC272" s="591"/>
      <c r="AD272" s="591"/>
      <c r="AE272" s="591"/>
    </row>
    <row r="273" spans="1:31">
      <c r="A273" s="591"/>
      <c r="B273" s="591"/>
      <c r="C273" s="591"/>
      <c r="D273" s="591"/>
      <c r="E273" s="591"/>
      <c r="F273" s="591"/>
      <c r="G273" s="591"/>
      <c r="H273" s="591"/>
      <c r="I273" s="591"/>
      <c r="J273" s="591"/>
      <c r="K273" s="591"/>
      <c r="L273" s="591"/>
      <c r="M273" s="591"/>
      <c r="N273" s="591"/>
      <c r="O273" s="591"/>
      <c r="P273" s="591"/>
      <c r="Q273" s="591"/>
      <c r="R273" s="591"/>
      <c r="S273" s="591"/>
      <c r="T273" s="591"/>
      <c r="U273" s="591"/>
      <c r="V273" s="591"/>
      <c r="W273" s="591"/>
      <c r="X273" s="591"/>
      <c r="Y273" s="591"/>
      <c r="Z273" s="591"/>
      <c r="AA273" s="591"/>
      <c r="AB273" s="591"/>
      <c r="AC273" s="591"/>
      <c r="AD273" s="591"/>
      <c r="AE273" s="591"/>
    </row>
    <row r="274" spans="1:31">
      <c r="A274" s="591"/>
      <c r="B274" s="591"/>
      <c r="C274" s="591"/>
      <c r="D274" s="591"/>
      <c r="E274" s="591"/>
      <c r="F274" s="591"/>
      <c r="G274" s="591"/>
      <c r="H274" s="591"/>
      <c r="I274" s="591"/>
      <c r="J274" s="591"/>
      <c r="K274" s="591"/>
      <c r="L274" s="591"/>
      <c r="M274" s="591"/>
      <c r="N274" s="591"/>
      <c r="O274" s="591"/>
      <c r="P274" s="591"/>
      <c r="Q274" s="591"/>
      <c r="R274" s="591"/>
      <c r="S274" s="591"/>
      <c r="T274" s="591"/>
      <c r="U274" s="591"/>
      <c r="V274" s="591"/>
      <c r="W274" s="591"/>
      <c r="X274" s="591"/>
      <c r="Y274" s="591"/>
      <c r="Z274" s="591"/>
      <c r="AA274" s="591"/>
      <c r="AB274" s="591"/>
      <c r="AC274" s="591"/>
      <c r="AD274" s="591"/>
      <c r="AE274" s="591"/>
    </row>
    <row r="275" spans="1:31">
      <c r="A275" s="591"/>
      <c r="B275" s="591"/>
      <c r="C275" s="591"/>
      <c r="D275" s="591"/>
      <c r="E275" s="591"/>
      <c r="F275" s="591"/>
      <c r="G275" s="591"/>
      <c r="H275" s="591"/>
      <c r="I275" s="591"/>
      <c r="J275" s="591"/>
      <c r="K275" s="591"/>
      <c r="L275" s="591"/>
      <c r="M275" s="591"/>
      <c r="N275" s="591"/>
      <c r="O275" s="591"/>
      <c r="P275" s="591"/>
      <c r="Q275" s="591"/>
      <c r="R275" s="591"/>
      <c r="S275" s="591"/>
      <c r="T275" s="591"/>
      <c r="U275" s="591"/>
      <c r="V275" s="591"/>
      <c r="W275" s="591"/>
      <c r="X275" s="591"/>
      <c r="Y275" s="591"/>
      <c r="Z275" s="591"/>
      <c r="AA275" s="591"/>
      <c r="AB275" s="591"/>
      <c r="AC275" s="591"/>
      <c r="AD275" s="591"/>
      <c r="AE275" s="591"/>
    </row>
    <row r="276" spans="1:31">
      <c r="A276" s="591"/>
      <c r="B276" s="591"/>
      <c r="C276" s="591"/>
      <c r="D276" s="591"/>
      <c r="E276" s="591"/>
      <c r="F276" s="591"/>
      <c r="G276" s="591"/>
      <c r="H276" s="591"/>
      <c r="I276" s="591"/>
      <c r="J276" s="591"/>
      <c r="K276" s="591"/>
      <c r="L276" s="591"/>
      <c r="M276" s="591"/>
      <c r="N276" s="591"/>
      <c r="O276" s="591"/>
      <c r="P276" s="591"/>
      <c r="Q276" s="591"/>
      <c r="R276" s="591"/>
      <c r="S276" s="591"/>
      <c r="T276" s="591"/>
      <c r="U276" s="591"/>
      <c r="V276" s="591"/>
      <c r="W276" s="591"/>
      <c r="X276" s="591"/>
      <c r="Y276" s="591"/>
      <c r="Z276" s="591"/>
      <c r="AA276" s="591"/>
      <c r="AB276" s="591"/>
      <c r="AC276" s="591"/>
      <c r="AD276" s="591"/>
      <c r="AE276" s="591"/>
    </row>
    <row r="277" spans="1:31">
      <c r="A277" s="591"/>
      <c r="B277" s="591"/>
      <c r="C277" s="591"/>
      <c r="D277" s="591"/>
      <c r="E277" s="591"/>
      <c r="F277" s="591"/>
      <c r="G277" s="591"/>
      <c r="H277" s="591"/>
      <c r="I277" s="591"/>
      <c r="J277" s="591"/>
      <c r="K277" s="591"/>
      <c r="L277" s="591"/>
      <c r="M277" s="591"/>
      <c r="N277" s="591"/>
      <c r="O277" s="591"/>
      <c r="P277" s="591"/>
      <c r="Q277" s="591"/>
      <c r="R277" s="591"/>
      <c r="S277" s="591"/>
      <c r="T277" s="591"/>
      <c r="U277" s="591"/>
      <c r="V277" s="591"/>
      <c r="W277" s="591"/>
      <c r="X277" s="591"/>
      <c r="Y277" s="591"/>
      <c r="Z277" s="591"/>
      <c r="AA277" s="591"/>
      <c r="AB277" s="591"/>
      <c r="AC277" s="591"/>
      <c r="AD277" s="591"/>
      <c r="AE277" s="591"/>
    </row>
    <row r="278" spans="1:31">
      <c r="A278" s="591"/>
      <c r="B278" s="591"/>
      <c r="C278" s="591"/>
      <c r="D278" s="591"/>
      <c r="E278" s="591"/>
      <c r="F278" s="591"/>
      <c r="G278" s="591"/>
      <c r="H278" s="591"/>
      <c r="I278" s="591"/>
      <c r="J278" s="591"/>
      <c r="K278" s="591"/>
      <c r="L278" s="591"/>
      <c r="M278" s="591"/>
      <c r="N278" s="591"/>
      <c r="O278" s="591"/>
      <c r="P278" s="591"/>
      <c r="Q278" s="591"/>
      <c r="R278" s="591"/>
      <c r="S278" s="591"/>
      <c r="T278" s="591"/>
      <c r="U278" s="591"/>
      <c r="V278" s="591"/>
      <c r="W278" s="591"/>
      <c r="X278" s="591"/>
      <c r="Y278" s="591"/>
      <c r="Z278" s="591"/>
      <c r="AA278" s="591"/>
      <c r="AB278" s="591"/>
      <c r="AC278" s="591"/>
      <c r="AD278" s="591"/>
      <c r="AE278" s="591"/>
    </row>
    <row r="279" spans="1:31">
      <c r="A279" s="591"/>
      <c r="B279" s="591"/>
      <c r="C279" s="591"/>
      <c r="D279" s="591"/>
      <c r="E279" s="591"/>
      <c r="F279" s="591"/>
      <c r="G279" s="591"/>
      <c r="H279" s="591"/>
      <c r="I279" s="591"/>
      <c r="J279" s="591"/>
      <c r="K279" s="591"/>
      <c r="L279" s="591"/>
      <c r="M279" s="591"/>
      <c r="N279" s="591"/>
      <c r="O279" s="591"/>
      <c r="P279" s="591"/>
      <c r="Q279" s="591"/>
      <c r="R279" s="591"/>
      <c r="S279" s="591"/>
      <c r="T279" s="591"/>
      <c r="U279" s="591"/>
      <c r="V279" s="591"/>
      <c r="W279" s="591"/>
      <c r="X279" s="591"/>
      <c r="Y279" s="591"/>
      <c r="Z279" s="591"/>
      <c r="AA279" s="591"/>
      <c r="AB279" s="591"/>
      <c r="AC279" s="591"/>
      <c r="AD279" s="591"/>
      <c r="AE279" s="591"/>
    </row>
    <row r="280" spans="1:31">
      <c r="A280" s="591"/>
      <c r="B280" s="591"/>
      <c r="C280" s="591"/>
      <c r="D280" s="591"/>
      <c r="E280" s="591"/>
      <c r="F280" s="591"/>
      <c r="G280" s="591"/>
      <c r="H280" s="591"/>
      <c r="I280" s="591"/>
      <c r="J280" s="591"/>
      <c r="K280" s="591"/>
      <c r="L280" s="591"/>
      <c r="M280" s="591"/>
      <c r="N280" s="591"/>
      <c r="O280" s="591"/>
      <c r="P280" s="591"/>
      <c r="Q280" s="591"/>
      <c r="R280" s="591"/>
      <c r="S280" s="591"/>
      <c r="T280" s="591"/>
      <c r="U280" s="591"/>
      <c r="V280" s="591"/>
      <c r="W280" s="591"/>
      <c r="X280" s="591"/>
      <c r="Y280" s="591"/>
      <c r="Z280" s="591"/>
      <c r="AA280" s="591"/>
      <c r="AB280" s="591"/>
      <c r="AC280" s="591"/>
      <c r="AD280" s="591"/>
      <c r="AE280" s="591"/>
    </row>
    <row r="281" spans="1:31">
      <c r="A281" s="591"/>
      <c r="B281" s="591"/>
      <c r="C281" s="591"/>
      <c r="D281" s="591"/>
      <c r="E281" s="591"/>
      <c r="F281" s="591"/>
      <c r="G281" s="591"/>
      <c r="H281" s="591"/>
      <c r="I281" s="591"/>
      <c r="J281" s="591"/>
      <c r="K281" s="591"/>
      <c r="L281" s="591"/>
      <c r="M281" s="591"/>
      <c r="N281" s="591"/>
      <c r="O281" s="591"/>
      <c r="P281" s="591"/>
      <c r="Q281" s="591"/>
      <c r="R281" s="591"/>
      <c r="S281" s="591"/>
      <c r="T281" s="591"/>
      <c r="U281" s="591"/>
      <c r="V281" s="591"/>
      <c r="W281" s="591"/>
      <c r="X281" s="591"/>
      <c r="Y281" s="591"/>
      <c r="Z281" s="591"/>
      <c r="AA281" s="591"/>
      <c r="AB281" s="591"/>
      <c r="AC281" s="591"/>
      <c r="AD281" s="591"/>
      <c r="AE281" s="591"/>
    </row>
    <row r="282" spans="1:31">
      <c r="A282" s="591"/>
      <c r="B282" s="591"/>
      <c r="C282" s="591"/>
      <c r="D282" s="591"/>
      <c r="E282" s="591"/>
      <c r="F282" s="591"/>
      <c r="G282" s="591"/>
      <c r="H282" s="591"/>
      <c r="I282" s="591"/>
      <c r="J282" s="591"/>
      <c r="K282" s="591"/>
      <c r="L282" s="591"/>
      <c r="M282" s="591"/>
      <c r="N282" s="591"/>
      <c r="O282" s="591"/>
      <c r="P282" s="591"/>
      <c r="Q282" s="591"/>
      <c r="R282" s="591"/>
      <c r="S282" s="591"/>
      <c r="T282" s="591"/>
      <c r="U282" s="591"/>
      <c r="V282" s="591"/>
      <c r="W282" s="591"/>
      <c r="X282" s="591"/>
      <c r="Y282" s="591"/>
      <c r="Z282" s="591"/>
      <c r="AA282" s="591"/>
      <c r="AB282" s="591"/>
      <c r="AC282" s="591"/>
      <c r="AD282" s="591"/>
      <c r="AE282" s="591"/>
    </row>
    <row r="283" spans="1:31">
      <c r="A283" s="591"/>
      <c r="B283" s="591"/>
      <c r="C283" s="591"/>
      <c r="D283" s="591"/>
      <c r="E283" s="591"/>
      <c r="F283" s="591"/>
      <c r="G283" s="591"/>
      <c r="H283" s="591"/>
      <c r="I283" s="591"/>
      <c r="J283" s="591"/>
      <c r="K283" s="591"/>
      <c r="L283" s="591"/>
      <c r="M283" s="591"/>
      <c r="N283" s="591"/>
      <c r="O283" s="591"/>
      <c r="P283" s="591"/>
      <c r="Q283" s="591"/>
      <c r="R283" s="591"/>
      <c r="S283" s="591"/>
      <c r="T283" s="591"/>
      <c r="U283" s="591"/>
      <c r="V283" s="591"/>
      <c r="W283" s="591"/>
      <c r="X283" s="591"/>
      <c r="Y283" s="591"/>
      <c r="Z283" s="591"/>
      <c r="AA283" s="591"/>
      <c r="AB283" s="591"/>
      <c r="AC283" s="591"/>
      <c r="AD283" s="591"/>
      <c r="AE283" s="591"/>
    </row>
    <row r="284" spans="1:31">
      <c r="A284" s="591"/>
      <c r="B284" s="591"/>
      <c r="C284" s="591"/>
      <c r="D284" s="591"/>
      <c r="E284" s="591"/>
      <c r="F284" s="591"/>
      <c r="G284" s="591"/>
      <c r="H284" s="591"/>
      <c r="I284" s="591"/>
      <c r="J284" s="591"/>
      <c r="K284" s="591"/>
      <c r="L284" s="591"/>
      <c r="M284" s="591"/>
      <c r="N284" s="591"/>
      <c r="O284" s="591"/>
      <c r="P284" s="591"/>
      <c r="Q284" s="591"/>
      <c r="R284" s="591"/>
      <c r="S284" s="591"/>
      <c r="T284" s="591"/>
      <c r="U284" s="591"/>
      <c r="V284" s="591"/>
      <c r="W284" s="591"/>
      <c r="X284" s="591"/>
      <c r="Y284" s="591"/>
      <c r="Z284" s="591"/>
      <c r="AA284" s="591"/>
      <c r="AB284" s="591"/>
      <c r="AC284" s="591"/>
      <c r="AD284" s="591"/>
      <c r="AE284" s="591"/>
    </row>
    <row r="285" spans="1:31">
      <c r="A285" s="591"/>
      <c r="B285" s="591"/>
      <c r="C285" s="591"/>
      <c r="D285" s="591"/>
      <c r="E285" s="591"/>
      <c r="F285" s="591"/>
      <c r="G285" s="591"/>
      <c r="H285" s="591"/>
      <c r="I285" s="591"/>
      <c r="J285" s="591"/>
      <c r="K285" s="591"/>
      <c r="L285" s="591"/>
      <c r="M285" s="591"/>
      <c r="N285" s="591"/>
      <c r="O285" s="591"/>
      <c r="P285" s="591"/>
      <c r="Q285" s="591"/>
      <c r="R285" s="591"/>
      <c r="S285" s="591"/>
      <c r="T285" s="591"/>
      <c r="U285" s="591"/>
      <c r="V285" s="591"/>
      <c r="W285" s="591"/>
      <c r="X285" s="591"/>
      <c r="Y285" s="591"/>
      <c r="Z285" s="591"/>
      <c r="AA285" s="591"/>
      <c r="AB285" s="591"/>
      <c r="AC285" s="591"/>
      <c r="AD285" s="591"/>
      <c r="AE285" s="591"/>
    </row>
    <row r="286" spans="1:31">
      <c r="A286" s="591"/>
      <c r="B286" s="591"/>
      <c r="C286" s="591"/>
      <c r="D286" s="591"/>
      <c r="E286" s="591"/>
      <c r="F286" s="591"/>
      <c r="G286" s="591"/>
      <c r="H286" s="591"/>
      <c r="I286" s="591"/>
      <c r="J286" s="591"/>
      <c r="K286" s="591"/>
      <c r="L286" s="591"/>
      <c r="M286" s="591"/>
      <c r="N286" s="591"/>
      <c r="O286" s="591"/>
      <c r="P286" s="591"/>
      <c r="Q286" s="591"/>
      <c r="R286" s="591"/>
      <c r="S286" s="591"/>
      <c r="T286" s="591"/>
      <c r="U286" s="591"/>
      <c r="V286" s="591"/>
      <c r="W286" s="591"/>
      <c r="X286" s="591"/>
      <c r="Y286" s="591"/>
      <c r="Z286" s="591"/>
      <c r="AA286" s="591"/>
      <c r="AB286" s="591"/>
      <c r="AC286" s="591"/>
      <c r="AD286" s="591"/>
      <c r="AE286" s="591"/>
    </row>
    <row r="287" spans="1:31">
      <c r="A287" s="591"/>
      <c r="B287" s="591"/>
      <c r="C287" s="591"/>
      <c r="D287" s="591"/>
      <c r="E287" s="591"/>
      <c r="F287" s="591"/>
      <c r="G287" s="591"/>
      <c r="H287" s="591"/>
      <c r="I287" s="591"/>
      <c r="J287" s="591"/>
      <c r="K287" s="591"/>
      <c r="L287" s="591"/>
      <c r="M287" s="591"/>
      <c r="N287" s="591"/>
      <c r="O287" s="591"/>
      <c r="P287" s="591"/>
      <c r="Q287" s="591"/>
      <c r="R287" s="591"/>
      <c r="S287" s="591"/>
      <c r="T287" s="591"/>
      <c r="U287" s="591"/>
      <c r="V287" s="591"/>
      <c r="W287" s="591"/>
      <c r="X287" s="591"/>
      <c r="Y287" s="591"/>
      <c r="Z287" s="591"/>
      <c r="AA287" s="591"/>
      <c r="AB287" s="591"/>
      <c r="AC287" s="591"/>
      <c r="AD287" s="591"/>
      <c r="AE287" s="591"/>
    </row>
    <row r="288" spans="1:31">
      <c r="A288" s="591"/>
      <c r="B288" s="591"/>
      <c r="C288" s="591"/>
      <c r="D288" s="591"/>
      <c r="E288" s="591"/>
      <c r="F288" s="591"/>
      <c r="G288" s="591"/>
      <c r="H288" s="591"/>
      <c r="I288" s="591"/>
      <c r="J288" s="591"/>
      <c r="K288" s="591"/>
      <c r="L288" s="591"/>
      <c r="M288" s="591"/>
      <c r="N288" s="591"/>
      <c r="O288" s="591"/>
      <c r="P288" s="591"/>
      <c r="Q288" s="591"/>
      <c r="R288" s="591"/>
      <c r="S288" s="591"/>
      <c r="T288" s="591"/>
      <c r="U288" s="591"/>
      <c r="V288" s="591"/>
      <c r="W288" s="591"/>
      <c r="X288" s="591"/>
      <c r="Y288" s="591"/>
      <c r="Z288" s="591"/>
      <c r="AA288" s="591"/>
      <c r="AB288" s="591"/>
      <c r="AC288" s="591"/>
      <c r="AD288" s="591"/>
      <c r="AE288" s="591"/>
    </row>
    <row r="289" spans="1:31">
      <c r="A289" s="591"/>
      <c r="B289" s="591"/>
      <c r="C289" s="591"/>
      <c r="D289" s="591"/>
      <c r="E289" s="591"/>
      <c r="F289" s="591"/>
      <c r="G289" s="591"/>
      <c r="H289" s="591"/>
      <c r="I289" s="591"/>
      <c r="J289" s="591"/>
      <c r="K289" s="591"/>
      <c r="L289" s="591"/>
      <c r="M289" s="591"/>
      <c r="N289" s="591"/>
      <c r="O289" s="591"/>
      <c r="P289" s="591"/>
      <c r="Q289" s="591"/>
      <c r="R289" s="591"/>
      <c r="S289" s="591"/>
      <c r="T289" s="591"/>
      <c r="U289" s="591"/>
      <c r="V289" s="591"/>
      <c r="W289" s="591"/>
      <c r="X289" s="591"/>
      <c r="Y289" s="591"/>
      <c r="Z289" s="591"/>
      <c r="AA289" s="591"/>
      <c r="AB289" s="591"/>
      <c r="AC289" s="591"/>
      <c r="AD289" s="591"/>
      <c r="AE289" s="591"/>
    </row>
    <row r="290" spans="1:31">
      <c r="A290" s="591"/>
      <c r="B290" s="591"/>
      <c r="C290" s="591"/>
      <c r="D290" s="591"/>
      <c r="E290" s="591"/>
      <c r="F290" s="591"/>
      <c r="G290" s="591"/>
      <c r="H290" s="591"/>
      <c r="I290" s="591"/>
      <c r="J290" s="591"/>
      <c r="K290" s="591"/>
      <c r="L290" s="591"/>
      <c r="M290" s="591"/>
      <c r="N290" s="591"/>
      <c r="O290" s="591"/>
      <c r="P290" s="591"/>
      <c r="Q290" s="591"/>
      <c r="R290" s="591"/>
      <c r="S290" s="591"/>
      <c r="T290" s="591"/>
      <c r="U290" s="591"/>
      <c r="V290" s="591"/>
      <c r="W290" s="591"/>
      <c r="X290" s="591"/>
      <c r="Y290" s="591"/>
      <c r="Z290" s="591"/>
      <c r="AA290" s="591"/>
      <c r="AB290" s="591"/>
      <c r="AC290" s="591"/>
      <c r="AD290" s="591"/>
      <c r="AE290" s="591"/>
    </row>
    <row r="291" spans="1:31">
      <c r="A291" s="591"/>
      <c r="B291" s="591"/>
      <c r="C291" s="591"/>
      <c r="D291" s="591"/>
      <c r="E291" s="591"/>
      <c r="F291" s="591"/>
      <c r="G291" s="591"/>
      <c r="H291" s="591"/>
      <c r="I291" s="591"/>
      <c r="J291" s="591"/>
      <c r="K291" s="591"/>
      <c r="L291" s="591"/>
      <c r="M291" s="591"/>
      <c r="N291" s="591"/>
      <c r="O291" s="591"/>
      <c r="P291" s="591"/>
      <c r="Q291" s="591"/>
      <c r="R291" s="591"/>
      <c r="S291" s="591"/>
      <c r="T291" s="591"/>
      <c r="U291" s="591"/>
      <c r="V291" s="591"/>
      <c r="W291" s="591"/>
      <c r="X291" s="591"/>
      <c r="Y291" s="591"/>
      <c r="Z291" s="591"/>
      <c r="AA291" s="591"/>
      <c r="AB291" s="591"/>
      <c r="AC291" s="591"/>
      <c r="AD291" s="591"/>
      <c r="AE291" s="591"/>
    </row>
    <row r="292" spans="1:31">
      <c r="A292" s="591"/>
      <c r="B292" s="591"/>
      <c r="C292" s="591"/>
      <c r="D292" s="591"/>
      <c r="E292" s="591"/>
      <c r="F292" s="591"/>
      <c r="G292" s="591"/>
      <c r="H292" s="591"/>
      <c r="I292" s="591"/>
      <c r="J292" s="591"/>
      <c r="K292" s="591"/>
      <c r="L292" s="591"/>
      <c r="M292" s="591"/>
      <c r="N292" s="591"/>
      <c r="O292" s="591"/>
      <c r="P292" s="591"/>
      <c r="Q292" s="591"/>
      <c r="R292" s="591"/>
      <c r="S292" s="591"/>
      <c r="T292" s="591"/>
      <c r="U292" s="591"/>
      <c r="V292" s="591"/>
      <c r="W292" s="591"/>
      <c r="X292" s="591"/>
      <c r="Y292" s="591"/>
      <c r="Z292" s="591"/>
      <c r="AA292" s="591"/>
      <c r="AB292" s="591"/>
      <c r="AC292" s="591"/>
      <c r="AD292" s="591"/>
      <c r="AE292" s="591"/>
    </row>
    <row r="293" spans="1:31">
      <c r="A293" s="591"/>
      <c r="B293" s="591"/>
      <c r="C293" s="591"/>
      <c r="D293" s="591"/>
      <c r="E293" s="591"/>
      <c r="F293" s="591"/>
      <c r="G293" s="591"/>
      <c r="H293" s="591"/>
      <c r="I293" s="591"/>
      <c r="J293" s="591"/>
      <c r="K293" s="591"/>
      <c r="L293" s="591"/>
      <c r="M293" s="591"/>
      <c r="N293" s="591"/>
      <c r="O293" s="591"/>
      <c r="P293" s="591"/>
      <c r="Q293" s="591"/>
      <c r="R293" s="591"/>
      <c r="S293" s="591"/>
      <c r="T293" s="591"/>
      <c r="U293" s="591"/>
      <c r="V293" s="591"/>
      <c r="W293" s="591"/>
      <c r="X293" s="591"/>
      <c r="Y293" s="591"/>
      <c r="Z293" s="591"/>
      <c r="AA293" s="591"/>
      <c r="AB293" s="591"/>
      <c r="AC293" s="591"/>
      <c r="AD293" s="591"/>
      <c r="AE293" s="591"/>
    </row>
    <row r="294" spans="1:31">
      <c r="A294" s="591"/>
      <c r="B294" s="591"/>
      <c r="C294" s="591"/>
      <c r="D294" s="591"/>
      <c r="E294" s="591"/>
      <c r="F294" s="591"/>
      <c r="G294" s="591"/>
      <c r="H294" s="591"/>
      <c r="I294" s="591"/>
      <c r="J294" s="591"/>
      <c r="K294" s="591"/>
      <c r="L294" s="591"/>
      <c r="M294" s="591"/>
      <c r="N294" s="591"/>
      <c r="O294" s="591"/>
      <c r="P294" s="591"/>
      <c r="Q294" s="591"/>
      <c r="R294" s="591"/>
      <c r="S294" s="591"/>
      <c r="T294" s="591"/>
      <c r="U294" s="591"/>
      <c r="V294" s="591"/>
      <c r="W294" s="591"/>
      <c r="X294" s="591"/>
      <c r="Y294" s="591"/>
      <c r="Z294" s="591"/>
      <c r="AA294" s="591"/>
      <c r="AB294" s="591"/>
      <c r="AC294" s="591"/>
      <c r="AD294" s="591"/>
      <c r="AE294" s="591"/>
    </row>
    <row r="295" spans="1:31">
      <c r="A295" s="591"/>
      <c r="B295" s="591"/>
      <c r="C295" s="591"/>
      <c r="D295" s="591"/>
      <c r="E295" s="591"/>
      <c r="F295" s="591"/>
      <c r="G295" s="591"/>
      <c r="H295" s="591"/>
      <c r="I295" s="591"/>
      <c r="J295" s="591"/>
      <c r="K295" s="591"/>
      <c r="L295" s="591"/>
      <c r="M295" s="591"/>
      <c r="N295" s="591"/>
      <c r="O295" s="591"/>
      <c r="P295" s="591"/>
      <c r="Q295" s="591"/>
      <c r="R295" s="591"/>
      <c r="S295" s="591"/>
      <c r="T295" s="591"/>
      <c r="U295" s="591"/>
      <c r="V295" s="591"/>
      <c r="W295" s="591"/>
      <c r="X295" s="591"/>
      <c r="Y295" s="591"/>
      <c r="Z295" s="591"/>
      <c r="AA295" s="591"/>
      <c r="AB295" s="591"/>
      <c r="AC295" s="591"/>
      <c r="AD295" s="591"/>
      <c r="AE295" s="591"/>
    </row>
    <row r="296" spans="1:31">
      <c r="A296" s="591"/>
      <c r="B296" s="591"/>
      <c r="C296" s="591"/>
      <c r="D296" s="591"/>
      <c r="E296" s="591"/>
      <c r="F296" s="591"/>
      <c r="G296" s="591"/>
      <c r="H296" s="591"/>
      <c r="I296" s="591"/>
      <c r="J296" s="591"/>
      <c r="K296" s="591"/>
      <c r="L296" s="591"/>
      <c r="M296" s="591"/>
      <c r="N296" s="591"/>
      <c r="O296" s="591"/>
      <c r="P296" s="591"/>
      <c r="Q296" s="591"/>
      <c r="R296" s="591"/>
      <c r="S296" s="591"/>
      <c r="T296" s="591"/>
      <c r="U296" s="591"/>
      <c r="V296" s="591"/>
      <c r="W296" s="591"/>
      <c r="X296" s="591"/>
      <c r="Y296" s="591"/>
      <c r="Z296" s="591"/>
      <c r="AA296" s="591"/>
      <c r="AB296" s="591"/>
      <c r="AC296" s="591"/>
      <c r="AD296" s="591"/>
      <c r="AE296" s="591"/>
    </row>
    <row r="297" spans="1:31">
      <c r="A297" s="591"/>
      <c r="B297" s="591"/>
      <c r="C297" s="591"/>
      <c r="D297" s="591"/>
      <c r="E297" s="591"/>
      <c r="F297" s="591"/>
      <c r="G297" s="591"/>
      <c r="H297" s="591"/>
      <c r="I297" s="591"/>
      <c r="J297" s="591"/>
      <c r="K297" s="591"/>
      <c r="L297" s="591"/>
      <c r="M297" s="591"/>
      <c r="N297" s="591"/>
      <c r="O297" s="591"/>
      <c r="P297" s="591"/>
      <c r="Q297" s="591"/>
      <c r="R297" s="591"/>
      <c r="S297" s="591"/>
      <c r="T297" s="591"/>
      <c r="U297" s="591"/>
      <c r="V297" s="591"/>
      <c r="W297" s="591"/>
      <c r="X297" s="591"/>
      <c r="Y297" s="591"/>
      <c r="Z297" s="591"/>
      <c r="AA297" s="591"/>
      <c r="AB297" s="591"/>
      <c r="AC297" s="591"/>
      <c r="AD297" s="591"/>
      <c r="AE297" s="591"/>
    </row>
    <row r="298" spans="1:31">
      <c r="A298" s="591"/>
      <c r="B298" s="591"/>
      <c r="C298" s="591"/>
      <c r="D298" s="591"/>
      <c r="E298" s="591"/>
      <c r="F298" s="591"/>
      <c r="G298" s="591"/>
      <c r="H298" s="591"/>
      <c r="I298" s="591"/>
      <c r="J298" s="591"/>
      <c r="K298" s="591"/>
      <c r="L298" s="591"/>
      <c r="M298" s="591"/>
      <c r="N298" s="591"/>
      <c r="O298" s="591"/>
      <c r="P298" s="591"/>
      <c r="Q298" s="591"/>
      <c r="R298" s="591"/>
      <c r="S298" s="591"/>
      <c r="T298" s="591"/>
      <c r="U298" s="591"/>
      <c r="V298" s="591"/>
      <c r="W298" s="591"/>
      <c r="X298" s="591"/>
      <c r="Y298" s="591"/>
      <c r="Z298" s="591"/>
      <c r="AA298" s="591"/>
      <c r="AB298" s="591"/>
      <c r="AC298" s="591"/>
      <c r="AD298" s="591"/>
      <c r="AE298" s="591"/>
    </row>
    <row r="299" spans="1:31">
      <c r="A299" s="591"/>
      <c r="B299" s="591"/>
      <c r="C299" s="591"/>
      <c r="D299" s="591"/>
      <c r="E299" s="591"/>
      <c r="F299" s="591"/>
      <c r="G299" s="591"/>
      <c r="H299" s="591"/>
      <c r="I299" s="591"/>
      <c r="J299" s="591"/>
      <c r="K299" s="591"/>
      <c r="L299" s="591"/>
      <c r="M299" s="591"/>
      <c r="N299" s="591"/>
      <c r="O299" s="591"/>
      <c r="P299" s="591"/>
      <c r="Q299" s="591"/>
      <c r="R299" s="591"/>
      <c r="S299" s="591"/>
      <c r="T299" s="591"/>
      <c r="U299" s="591"/>
      <c r="V299" s="591"/>
      <c r="W299" s="591"/>
      <c r="X299" s="591"/>
      <c r="Y299" s="591"/>
      <c r="Z299" s="591"/>
      <c r="AA299" s="591"/>
      <c r="AB299" s="591"/>
      <c r="AC299" s="591"/>
      <c r="AD299" s="591"/>
      <c r="AE299" s="591"/>
    </row>
    <row r="300" spans="1:31">
      <c r="A300" s="591"/>
      <c r="B300" s="591"/>
      <c r="C300" s="591"/>
      <c r="D300" s="591"/>
      <c r="E300" s="591"/>
      <c r="F300" s="591"/>
      <c r="G300" s="591"/>
      <c r="H300" s="591"/>
      <c r="I300" s="591"/>
      <c r="J300" s="591"/>
      <c r="K300" s="591"/>
      <c r="L300" s="591"/>
      <c r="M300" s="591"/>
      <c r="N300" s="591"/>
      <c r="O300" s="591"/>
      <c r="P300" s="591"/>
      <c r="Q300" s="591"/>
      <c r="R300" s="591"/>
      <c r="S300" s="591"/>
      <c r="T300" s="591"/>
      <c r="U300" s="591"/>
      <c r="V300" s="591"/>
      <c r="W300" s="591"/>
      <c r="X300" s="591"/>
      <c r="Y300" s="591"/>
      <c r="Z300" s="591"/>
      <c r="AA300" s="591"/>
      <c r="AB300" s="591"/>
      <c r="AC300" s="591"/>
      <c r="AD300" s="591"/>
      <c r="AE300" s="591"/>
    </row>
    <row r="301" spans="1:31">
      <c r="A301" s="591"/>
      <c r="B301" s="591"/>
      <c r="C301" s="591"/>
      <c r="D301" s="591"/>
      <c r="E301" s="591"/>
      <c r="F301" s="591"/>
      <c r="G301" s="591"/>
      <c r="H301" s="591"/>
      <c r="I301" s="591"/>
      <c r="J301" s="591"/>
      <c r="K301" s="591"/>
      <c r="L301" s="591"/>
      <c r="M301" s="591"/>
      <c r="N301" s="591"/>
      <c r="O301" s="591"/>
      <c r="P301" s="591"/>
      <c r="Q301" s="591"/>
      <c r="R301" s="591"/>
      <c r="S301" s="591"/>
      <c r="T301" s="591"/>
      <c r="U301" s="591"/>
      <c r="V301" s="591"/>
      <c r="W301" s="591"/>
      <c r="X301" s="591"/>
      <c r="Y301" s="591"/>
      <c r="Z301" s="591"/>
      <c r="AA301" s="591"/>
      <c r="AB301" s="591"/>
      <c r="AC301" s="591"/>
      <c r="AD301" s="591"/>
      <c r="AE301" s="591"/>
    </row>
    <row r="302" spans="1:31">
      <c r="A302" s="591"/>
      <c r="B302" s="591"/>
      <c r="C302" s="591"/>
      <c r="D302" s="591"/>
      <c r="E302" s="591"/>
      <c r="F302" s="591"/>
      <c r="G302" s="591"/>
      <c r="H302" s="591"/>
      <c r="I302" s="591"/>
      <c r="J302" s="591"/>
      <c r="K302" s="591"/>
      <c r="L302" s="591"/>
      <c r="M302" s="591"/>
      <c r="N302" s="591"/>
      <c r="O302" s="591"/>
      <c r="P302" s="591"/>
      <c r="Q302" s="591"/>
      <c r="R302" s="591"/>
      <c r="S302" s="591"/>
      <c r="T302" s="591"/>
      <c r="U302" s="591"/>
      <c r="V302" s="591"/>
      <c r="W302" s="591"/>
      <c r="X302" s="591"/>
      <c r="Y302" s="591"/>
      <c r="Z302" s="591"/>
      <c r="AA302" s="591"/>
      <c r="AB302" s="591"/>
      <c r="AC302" s="591"/>
      <c r="AD302" s="591"/>
      <c r="AE302" s="591"/>
    </row>
    <row r="303" spans="1:31">
      <c r="A303" s="591"/>
      <c r="B303" s="591"/>
      <c r="C303" s="591"/>
      <c r="D303" s="591"/>
      <c r="E303" s="591"/>
      <c r="F303" s="591"/>
      <c r="G303" s="591"/>
      <c r="H303" s="591"/>
      <c r="I303" s="591"/>
      <c r="J303" s="591"/>
      <c r="K303" s="591"/>
      <c r="L303" s="591"/>
      <c r="M303" s="591"/>
      <c r="N303" s="591"/>
      <c r="O303" s="591"/>
      <c r="P303" s="591"/>
      <c r="Q303" s="591"/>
      <c r="R303" s="591"/>
      <c r="S303" s="591"/>
      <c r="T303" s="591"/>
      <c r="U303" s="591"/>
      <c r="V303" s="591"/>
      <c r="W303" s="591"/>
      <c r="X303" s="591"/>
      <c r="Y303" s="591"/>
      <c r="Z303" s="591"/>
      <c r="AA303" s="591"/>
      <c r="AB303" s="591"/>
      <c r="AC303" s="591"/>
      <c r="AD303" s="591"/>
      <c r="AE303" s="591"/>
    </row>
    <row r="304" spans="1:31">
      <c r="A304" s="591"/>
      <c r="B304" s="591"/>
      <c r="C304" s="591"/>
      <c r="D304" s="591"/>
      <c r="E304" s="591"/>
      <c r="F304" s="591"/>
      <c r="G304" s="591"/>
      <c r="H304" s="591"/>
      <c r="I304" s="591"/>
      <c r="J304" s="591"/>
      <c r="K304" s="591"/>
      <c r="L304" s="591"/>
      <c r="M304" s="591"/>
      <c r="N304" s="591"/>
      <c r="O304" s="591"/>
      <c r="P304" s="591"/>
      <c r="Q304" s="591"/>
      <c r="R304" s="591"/>
      <c r="S304" s="591"/>
      <c r="T304" s="591"/>
      <c r="U304" s="591"/>
      <c r="V304" s="591"/>
      <c r="W304" s="591"/>
      <c r="X304" s="591"/>
      <c r="Y304" s="591"/>
      <c r="Z304" s="591"/>
      <c r="AA304" s="591"/>
      <c r="AB304" s="591"/>
      <c r="AC304" s="591"/>
      <c r="AD304" s="591"/>
      <c r="AE304" s="591"/>
    </row>
    <row r="305" spans="1:31">
      <c r="A305" s="591"/>
      <c r="B305" s="591"/>
      <c r="C305" s="591"/>
      <c r="D305" s="591"/>
      <c r="E305" s="591"/>
      <c r="F305" s="591"/>
      <c r="G305" s="591"/>
      <c r="H305" s="591"/>
      <c r="I305" s="591"/>
      <c r="J305" s="591"/>
      <c r="K305" s="591"/>
      <c r="L305" s="591"/>
      <c r="M305" s="591"/>
      <c r="N305" s="591"/>
      <c r="O305" s="591"/>
      <c r="P305" s="591"/>
      <c r="Q305" s="591"/>
      <c r="R305" s="591"/>
      <c r="S305" s="591"/>
      <c r="T305" s="591"/>
      <c r="U305" s="591"/>
      <c r="V305" s="591"/>
      <c r="W305" s="591"/>
      <c r="X305" s="591"/>
      <c r="Y305" s="591"/>
      <c r="Z305" s="591"/>
      <c r="AA305" s="591"/>
      <c r="AB305" s="591"/>
      <c r="AC305" s="591"/>
      <c r="AD305" s="591"/>
      <c r="AE305" s="591"/>
    </row>
    <row r="306" spans="1:31">
      <c r="A306" s="591"/>
      <c r="B306" s="591"/>
      <c r="C306" s="591"/>
      <c r="D306" s="591"/>
      <c r="E306" s="591"/>
      <c r="F306" s="591"/>
      <c r="G306" s="591"/>
      <c r="H306" s="591"/>
      <c r="I306" s="591"/>
      <c r="J306" s="591"/>
      <c r="K306" s="591"/>
      <c r="L306" s="591"/>
      <c r="M306" s="591"/>
      <c r="N306" s="591"/>
      <c r="O306" s="591"/>
      <c r="P306" s="591"/>
      <c r="Q306" s="591"/>
      <c r="R306" s="591"/>
      <c r="S306" s="591"/>
      <c r="T306" s="591"/>
      <c r="U306" s="591"/>
      <c r="V306" s="591"/>
      <c r="W306" s="591"/>
      <c r="X306" s="591"/>
      <c r="Y306" s="591"/>
      <c r="Z306" s="591"/>
      <c r="AA306" s="591"/>
      <c r="AB306" s="591"/>
      <c r="AC306" s="591"/>
      <c r="AD306" s="591"/>
      <c r="AE306" s="591"/>
    </row>
    <row r="307" spans="1:31">
      <c r="A307" s="591"/>
      <c r="B307" s="591"/>
      <c r="C307" s="591"/>
      <c r="D307" s="591"/>
      <c r="E307" s="591"/>
      <c r="F307" s="591"/>
      <c r="G307" s="591"/>
      <c r="H307" s="591"/>
      <c r="I307" s="591"/>
      <c r="J307" s="591"/>
      <c r="K307" s="591"/>
      <c r="L307" s="591"/>
      <c r="M307" s="591"/>
      <c r="N307" s="591"/>
      <c r="O307" s="591"/>
      <c r="P307" s="591"/>
      <c r="Q307" s="591"/>
      <c r="R307" s="591"/>
      <c r="S307" s="591"/>
      <c r="T307" s="591"/>
      <c r="U307" s="591"/>
      <c r="V307" s="591"/>
      <c r="W307" s="591"/>
      <c r="X307" s="591"/>
      <c r="Y307" s="591"/>
      <c r="Z307" s="591"/>
      <c r="AA307" s="591"/>
      <c r="AB307" s="591"/>
      <c r="AC307" s="591"/>
      <c r="AD307" s="591"/>
      <c r="AE307" s="591"/>
    </row>
    <row r="308" spans="1:31">
      <c r="A308" s="591"/>
      <c r="B308" s="591"/>
      <c r="C308" s="591"/>
      <c r="D308" s="591"/>
      <c r="E308" s="591"/>
      <c r="F308" s="591"/>
      <c r="G308" s="591"/>
      <c r="H308" s="591"/>
      <c r="I308" s="591"/>
      <c r="J308" s="591"/>
      <c r="K308" s="591"/>
      <c r="L308" s="591"/>
      <c r="M308" s="591"/>
      <c r="N308" s="591"/>
      <c r="O308" s="591"/>
      <c r="P308" s="591"/>
      <c r="Q308" s="591"/>
      <c r="R308" s="591"/>
      <c r="S308" s="591"/>
      <c r="T308" s="591"/>
      <c r="U308" s="591"/>
      <c r="V308" s="591"/>
      <c r="W308" s="591"/>
      <c r="X308" s="591"/>
      <c r="Y308" s="591"/>
      <c r="Z308" s="591"/>
      <c r="AA308" s="591"/>
      <c r="AB308" s="591"/>
      <c r="AC308" s="591"/>
      <c r="AD308" s="591"/>
      <c r="AE308" s="591"/>
    </row>
    <row r="309" spans="1:31">
      <c r="A309" s="591"/>
      <c r="B309" s="591"/>
      <c r="C309" s="591"/>
      <c r="D309" s="591"/>
      <c r="E309" s="591"/>
      <c r="F309" s="591"/>
      <c r="G309" s="591"/>
      <c r="H309" s="591"/>
      <c r="I309" s="591"/>
      <c r="J309" s="591"/>
      <c r="K309" s="591"/>
      <c r="L309" s="591"/>
      <c r="M309" s="591"/>
      <c r="N309" s="591"/>
      <c r="O309" s="591"/>
      <c r="P309" s="591"/>
      <c r="Q309" s="591"/>
      <c r="R309" s="591"/>
      <c r="S309" s="591"/>
      <c r="T309" s="591"/>
      <c r="U309" s="591"/>
      <c r="V309" s="591"/>
      <c r="W309" s="591"/>
      <c r="X309" s="591"/>
      <c r="Y309" s="591"/>
      <c r="Z309" s="591"/>
      <c r="AA309" s="591"/>
      <c r="AB309" s="591"/>
      <c r="AC309" s="591"/>
      <c r="AD309" s="591"/>
      <c r="AE309" s="591"/>
    </row>
    <row r="310" spans="1:31">
      <c r="A310" s="591"/>
      <c r="B310" s="591"/>
      <c r="C310" s="591"/>
      <c r="D310" s="591"/>
      <c r="E310" s="591"/>
      <c r="F310" s="591"/>
      <c r="G310" s="591"/>
      <c r="H310" s="591"/>
      <c r="I310" s="591"/>
      <c r="J310" s="591"/>
      <c r="K310" s="591"/>
      <c r="L310" s="591"/>
      <c r="M310" s="591"/>
      <c r="N310" s="591"/>
      <c r="O310" s="591"/>
      <c r="P310" s="591"/>
      <c r="Q310" s="591"/>
      <c r="R310" s="591"/>
      <c r="S310" s="591"/>
      <c r="T310" s="591"/>
      <c r="U310" s="591"/>
      <c r="V310" s="591"/>
      <c r="W310" s="591"/>
      <c r="X310" s="591"/>
      <c r="Y310" s="591"/>
      <c r="Z310" s="591"/>
      <c r="AA310" s="591"/>
      <c r="AB310" s="591"/>
      <c r="AC310" s="591"/>
      <c r="AD310" s="591"/>
      <c r="AE310" s="591"/>
    </row>
    <row r="311" spans="1:31">
      <c r="A311" s="591"/>
      <c r="B311" s="591"/>
      <c r="C311" s="591"/>
      <c r="D311" s="591"/>
      <c r="E311" s="591"/>
      <c r="F311" s="591"/>
      <c r="G311" s="591"/>
      <c r="H311" s="591"/>
      <c r="I311" s="591"/>
      <c r="J311" s="591"/>
      <c r="K311" s="591"/>
      <c r="L311" s="591"/>
      <c r="M311" s="591"/>
      <c r="N311" s="591"/>
      <c r="O311" s="591"/>
      <c r="P311" s="591"/>
      <c r="Q311" s="591"/>
      <c r="R311" s="591"/>
      <c r="S311" s="591"/>
      <c r="T311" s="591"/>
      <c r="U311" s="591"/>
      <c r="V311" s="591"/>
      <c r="W311" s="591"/>
      <c r="X311" s="591"/>
      <c r="Y311" s="591"/>
      <c r="Z311" s="591"/>
      <c r="AA311" s="591"/>
      <c r="AB311" s="591"/>
      <c r="AC311" s="591"/>
      <c r="AD311" s="591"/>
      <c r="AE311" s="591"/>
    </row>
    <row r="312" spans="1:31">
      <c r="A312" s="591"/>
      <c r="B312" s="591"/>
      <c r="C312" s="591"/>
      <c r="D312" s="591"/>
      <c r="E312" s="591"/>
      <c r="F312" s="591"/>
      <c r="G312" s="591"/>
      <c r="H312" s="591"/>
      <c r="I312" s="591"/>
      <c r="J312" s="591"/>
      <c r="K312" s="591"/>
      <c r="L312" s="591"/>
      <c r="M312" s="591"/>
      <c r="N312" s="591"/>
      <c r="O312" s="591"/>
      <c r="P312" s="591"/>
      <c r="Q312" s="591"/>
      <c r="R312" s="591"/>
      <c r="S312" s="591"/>
      <c r="T312" s="591"/>
      <c r="U312" s="591"/>
      <c r="V312" s="591"/>
      <c r="W312" s="591"/>
      <c r="X312" s="591"/>
      <c r="Y312" s="591"/>
      <c r="Z312" s="591"/>
      <c r="AA312" s="591"/>
      <c r="AB312" s="591"/>
      <c r="AC312" s="591"/>
      <c r="AD312" s="591"/>
      <c r="AE312" s="591"/>
    </row>
    <row r="313" spans="1:31">
      <c r="A313" s="591"/>
      <c r="B313" s="591"/>
      <c r="C313" s="591"/>
      <c r="D313" s="591"/>
      <c r="E313" s="591"/>
      <c r="F313" s="591"/>
      <c r="G313" s="591"/>
      <c r="H313" s="591"/>
      <c r="I313" s="591"/>
      <c r="J313" s="591"/>
      <c r="K313" s="591"/>
      <c r="L313" s="591"/>
      <c r="M313" s="591"/>
      <c r="N313" s="591"/>
      <c r="O313" s="591"/>
      <c r="P313" s="591"/>
      <c r="Q313" s="591"/>
      <c r="R313" s="591"/>
      <c r="S313" s="591"/>
      <c r="T313" s="591"/>
      <c r="U313" s="591"/>
      <c r="V313" s="591"/>
      <c r="W313" s="591"/>
      <c r="X313" s="591"/>
      <c r="Y313" s="591"/>
      <c r="Z313" s="591"/>
      <c r="AA313" s="591"/>
      <c r="AB313" s="591"/>
      <c r="AC313" s="591"/>
      <c r="AD313" s="591"/>
      <c r="AE313" s="591"/>
    </row>
    <row r="314" spans="1:31">
      <c r="A314" s="591"/>
      <c r="B314" s="591"/>
      <c r="C314" s="591"/>
      <c r="D314" s="591"/>
      <c r="E314" s="591"/>
      <c r="F314" s="591"/>
      <c r="G314" s="591"/>
      <c r="H314" s="591"/>
      <c r="I314" s="591"/>
      <c r="J314" s="591"/>
      <c r="K314" s="591"/>
      <c r="L314" s="591"/>
      <c r="M314" s="591"/>
      <c r="N314" s="591"/>
      <c r="O314" s="591"/>
      <c r="P314" s="591"/>
      <c r="Q314" s="591"/>
      <c r="R314" s="591"/>
      <c r="S314" s="591"/>
      <c r="T314" s="591"/>
      <c r="U314" s="591"/>
      <c r="V314" s="591"/>
      <c r="W314" s="591"/>
      <c r="X314" s="591"/>
      <c r="Y314" s="591"/>
      <c r="Z314" s="591"/>
      <c r="AA314" s="591"/>
      <c r="AB314" s="591"/>
      <c r="AC314" s="591"/>
      <c r="AD314" s="591"/>
      <c r="AE314" s="591"/>
    </row>
    <row r="315" spans="1:31">
      <c r="A315" s="591"/>
      <c r="B315" s="591"/>
      <c r="C315" s="591"/>
      <c r="D315" s="591"/>
      <c r="E315" s="591"/>
      <c r="F315" s="591"/>
      <c r="G315" s="591"/>
      <c r="H315" s="591"/>
      <c r="I315" s="591"/>
      <c r="J315" s="591"/>
      <c r="K315" s="591"/>
      <c r="L315" s="591"/>
      <c r="M315" s="591"/>
      <c r="N315" s="591"/>
      <c r="O315" s="591"/>
      <c r="P315" s="591"/>
      <c r="Q315" s="591"/>
      <c r="R315" s="591"/>
      <c r="S315" s="591"/>
      <c r="T315" s="591"/>
      <c r="U315" s="591"/>
      <c r="V315" s="591"/>
      <c r="W315" s="591"/>
      <c r="X315" s="591"/>
      <c r="Y315" s="591"/>
      <c r="Z315" s="591"/>
      <c r="AA315" s="591"/>
      <c r="AB315" s="591"/>
      <c r="AC315" s="591"/>
      <c r="AD315" s="591"/>
      <c r="AE315" s="591"/>
    </row>
    <row r="316" spans="1:31">
      <c r="A316" s="591"/>
      <c r="B316" s="591"/>
      <c r="C316" s="591"/>
      <c r="D316" s="591"/>
      <c r="E316" s="591"/>
      <c r="F316" s="591"/>
      <c r="G316" s="591"/>
      <c r="H316" s="591"/>
      <c r="I316" s="591"/>
      <c r="J316" s="591"/>
      <c r="K316" s="591"/>
      <c r="L316" s="591"/>
      <c r="M316" s="591"/>
      <c r="N316" s="591"/>
      <c r="O316" s="591"/>
      <c r="P316" s="591"/>
      <c r="Q316" s="591"/>
      <c r="R316" s="591"/>
      <c r="S316" s="591"/>
      <c r="T316" s="591"/>
      <c r="U316" s="591"/>
      <c r="V316" s="591"/>
      <c r="W316" s="591"/>
      <c r="X316" s="591"/>
      <c r="Y316" s="591"/>
      <c r="Z316" s="591"/>
      <c r="AA316" s="591"/>
      <c r="AB316" s="591"/>
      <c r="AC316" s="591"/>
      <c r="AD316" s="591"/>
      <c r="AE316" s="591"/>
    </row>
    <row r="317" spans="1:31">
      <c r="A317" s="591"/>
      <c r="B317" s="591"/>
      <c r="C317" s="591"/>
      <c r="D317" s="591"/>
      <c r="E317" s="591"/>
      <c r="F317" s="591"/>
      <c r="G317" s="591"/>
      <c r="H317" s="591"/>
      <c r="I317" s="591"/>
      <c r="J317" s="591"/>
      <c r="K317" s="591"/>
      <c r="L317" s="591"/>
      <c r="M317" s="591"/>
      <c r="N317" s="591"/>
      <c r="O317" s="591"/>
      <c r="P317" s="591"/>
      <c r="Q317" s="591"/>
      <c r="R317" s="591"/>
      <c r="S317" s="591"/>
      <c r="T317" s="591"/>
      <c r="U317" s="591"/>
      <c r="V317" s="591"/>
      <c r="W317" s="591"/>
      <c r="X317" s="591"/>
      <c r="Y317" s="591"/>
      <c r="Z317" s="591"/>
      <c r="AA317" s="591"/>
      <c r="AB317" s="591"/>
      <c r="AC317" s="591"/>
      <c r="AD317" s="591"/>
      <c r="AE317" s="591"/>
    </row>
    <row r="318" spans="1:31">
      <c r="A318" s="591"/>
      <c r="B318" s="591"/>
      <c r="C318" s="591"/>
      <c r="D318" s="591"/>
      <c r="E318" s="591"/>
      <c r="F318" s="591"/>
      <c r="G318" s="591"/>
      <c r="H318" s="591"/>
      <c r="I318" s="591"/>
      <c r="J318" s="591"/>
      <c r="K318" s="591"/>
      <c r="L318" s="591"/>
      <c r="M318" s="591"/>
      <c r="N318" s="591"/>
      <c r="O318" s="591"/>
      <c r="P318" s="591"/>
      <c r="Q318" s="591"/>
      <c r="R318" s="591"/>
      <c r="S318" s="591"/>
      <c r="T318" s="591"/>
      <c r="U318" s="591"/>
      <c r="V318" s="591"/>
      <c r="W318" s="591"/>
      <c r="X318" s="591"/>
      <c r="Y318" s="591"/>
      <c r="Z318" s="591"/>
      <c r="AA318" s="591"/>
      <c r="AB318" s="591"/>
      <c r="AC318" s="591"/>
      <c r="AD318" s="591"/>
      <c r="AE318" s="591"/>
    </row>
    <row r="319" spans="1:31">
      <c r="A319" s="591"/>
      <c r="B319" s="591"/>
      <c r="C319" s="591"/>
      <c r="D319" s="591"/>
      <c r="E319" s="591"/>
      <c r="F319" s="591"/>
      <c r="G319" s="591"/>
      <c r="H319" s="591"/>
      <c r="I319" s="591"/>
      <c r="J319" s="591"/>
      <c r="K319" s="591"/>
      <c r="L319" s="591"/>
      <c r="M319" s="591"/>
      <c r="N319" s="591"/>
      <c r="O319" s="591"/>
      <c r="P319" s="591"/>
      <c r="Q319" s="591"/>
      <c r="R319" s="591"/>
      <c r="S319" s="591"/>
      <c r="T319" s="591"/>
      <c r="U319" s="591"/>
      <c r="V319" s="591"/>
      <c r="W319" s="591"/>
      <c r="X319" s="591"/>
      <c r="Y319" s="591"/>
      <c r="Z319" s="591"/>
      <c r="AA319" s="591"/>
      <c r="AB319" s="591"/>
      <c r="AC319" s="591"/>
      <c r="AD319" s="591"/>
      <c r="AE319" s="591"/>
    </row>
    <row r="320" spans="1:31">
      <c r="A320" s="591"/>
      <c r="B320" s="591"/>
      <c r="C320" s="591"/>
      <c r="D320" s="591"/>
      <c r="E320" s="591"/>
      <c r="F320" s="591"/>
      <c r="G320" s="591"/>
      <c r="H320" s="591"/>
      <c r="I320" s="591"/>
      <c r="J320" s="591"/>
      <c r="K320" s="591"/>
      <c r="L320" s="591"/>
      <c r="M320" s="591"/>
      <c r="N320" s="591"/>
      <c r="O320" s="591"/>
      <c r="P320" s="591"/>
      <c r="Q320" s="591"/>
      <c r="R320" s="591"/>
      <c r="S320" s="591"/>
      <c r="T320" s="591"/>
      <c r="U320" s="591"/>
      <c r="V320" s="591"/>
      <c r="W320" s="591"/>
      <c r="X320" s="591"/>
      <c r="Y320" s="591"/>
      <c r="Z320" s="591"/>
      <c r="AA320" s="591"/>
      <c r="AB320" s="591"/>
      <c r="AC320" s="591"/>
      <c r="AD320" s="591"/>
      <c r="AE320" s="591"/>
    </row>
    <row r="321" spans="1:31">
      <c r="A321" s="591"/>
      <c r="B321" s="591"/>
      <c r="C321" s="591"/>
      <c r="D321" s="591"/>
      <c r="E321" s="591"/>
      <c r="F321" s="591"/>
      <c r="G321" s="591"/>
      <c r="H321" s="591"/>
      <c r="I321" s="591"/>
      <c r="J321" s="591"/>
      <c r="K321" s="591"/>
      <c r="L321" s="591"/>
      <c r="M321" s="591"/>
      <c r="N321" s="591"/>
      <c r="O321" s="591"/>
      <c r="P321" s="591"/>
      <c r="Q321" s="591"/>
      <c r="R321" s="591"/>
      <c r="S321" s="591"/>
      <c r="T321" s="591"/>
      <c r="U321" s="591"/>
      <c r="V321" s="591"/>
      <c r="W321" s="591"/>
      <c r="X321" s="591"/>
      <c r="Y321" s="591"/>
      <c r="Z321" s="591"/>
      <c r="AA321" s="591"/>
      <c r="AB321" s="591"/>
      <c r="AC321" s="591"/>
      <c r="AD321" s="591"/>
      <c r="AE321" s="591"/>
    </row>
    <row r="322" spans="1:31">
      <c r="A322" s="591"/>
      <c r="B322" s="591"/>
      <c r="C322" s="591"/>
      <c r="D322" s="591"/>
      <c r="E322" s="591"/>
      <c r="F322" s="591"/>
      <c r="G322" s="591"/>
      <c r="H322" s="591"/>
      <c r="I322" s="591"/>
      <c r="J322" s="591"/>
      <c r="K322" s="591"/>
      <c r="L322" s="591"/>
      <c r="M322" s="591"/>
      <c r="N322" s="591"/>
      <c r="O322" s="591"/>
      <c r="P322" s="591"/>
      <c r="Q322" s="591"/>
      <c r="R322" s="591"/>
      <c r="S322" s="591"/>
      <c r="T322" s="591"/>
      <c r="U322" s="591"/>
      <c r="V322" s="591"/>
      <c r="W322" s="591"/>
      <c r="X322" s="591"/>
      <c r="Y322" s="591"/>
      <c r="Z322" s="591"/>
      <c r="AA322" s="591"/>
      <c r="AB322" s="591"/>
      <c r="AC322" s="591"/>
      <c r="AD322" s="591"/>
      <c r="AE322" s="591"/>
    </row>
    <row r="323" spans="1:31">
      <c r="A323" s="591"/>
      <c r="B323" s="591"/>
      <c r="C323" s="591"/>
      <c r="D323" s="591"/>
      <c r="E323" s="591"/>
      <c r="F323" s="591"/>
      <c r="G323" s="591"/>
      <c r="H323" s="591"/>
      <c r="I323" s="591"/>
      <c r="J323" s="591"/>
      <c r="K323" s="591"/>
      <c r="L323" s="591"/>
      <c r="M323" s="591"/>
      <c r="N323" s="591"/>
      <c r="O323" s="591"/>
      <c r="P323" s="591"/>
      <c r="Q323" s="591"/>
      <c r="R323" s="591"/>
      <c r="S323" s="591"/>
      <c r="T323" s="591"/>
      <c r="U323" s="591"/>
      <c r="V323" s="591"/>
      <c r="W323" s="591"/>
      <c r="X323" s="591"/>
      <c r="Y323" s="591"/>
      <c r="Z323" s="591"/>
      <c r="AA323" s="591"/>
      <c r="AB323" s="591"/>
      <c r="AC323" s="591"/>
      <c r="AD323" s="591"/>
      <c r="AE323" s="591"/>
    </row>
    <row r="324" spans="1:31">
      <c r="A324" s="591"/>
      <c r="B324" s="591"/>
      <c r="C324" s="591"/>
      <c r="D324" s="591"/>
      <c r="E324" s="591"/>
      <c r="F324" s="591"/>
      <c r="G324" s="591"/>
      <c r="H324" s="591"/>
      <c r="I324" s="591"/>
      <c r="J324" s="591"/>
      <c r="K324" s="591"/>
      <c r="L324" s="591"/>
      <c r="M324" s="591"/>
      <c r="N324" s="591"/>
      <c r="O324" s="591"/>
      <c r="P324" s="591"/>
      <c r="Q324" s="591"/>
      <c r="R324" s="591"/>
      <c r="S324" s="591"/>
      <c r="T324" s="591"/>
      <c r="U324" s="591"/>
      <c r="V324" s="591"/>
      <c r="W324" s="591"/>
      <c r="X324" s="591"/>
      <c r="Y324" s="591"/>
      <c r="Z324" s="591"/>
      <c r="AA324" s="591"/>
      <c r="AB324" s="591"/>
      <c r="AC324" s="591"/>
      <c r="AD324" s="591"/>
      <c r="AE324" s="591"/>
    </row>
    <row r="325" spans="1:31">
      <c r="A325" s="591"/>
      <c r="B325" s="591"/>
      <c r="C325" s="591"/>
      <c r="D325" s="591"/>
      <c r="E325" s="591"/>
      <c r="F325" s="591"/>
      <c r="G325" s="591"/>
      <c r="H325" s="591"/>
      <c r="I325" s="591"/>
      <c r="J325" s="591"/>
      <c r="K325" s="591"/>
      <c r="L325" s="591"/>
      <c r="M325" s="591"/>
      <c r="N325" s="591"/>
      <c r="O325" s="591"/>
      <c r="P325" s="591"/>
      <c r="Q325" s="591"/>
      <c r="R325" s="591"/>
      <c r="S325" s="591"/>
      <c r="T325" s="591"/>
      <c r="U325" s="591"/>
      <c r="V325" s="591"/>
      <c r="W325" s="591"/>
      <c r="X325" s="591"/>
      <c r="Y325" s="591"/>
      <c r="Z325" s="591"/>
      <c r="AA325" s="591"/>
      <c r="AB325" s="591"/>
      <c r="AC325" s="591"/>
      <c r="AD325" s="591"/>
      <c r="AE325" s="591"/>
    </row>
    <row r="326" spans="1:31">
      <c r="A326" s="591"/>
      <c r="B326" s="591"/>
      <c r="C326" s="591"/>
      <c r="D326" s="591"/>
      <c r="E326" s="591"/>
      <c r="F326" s="591"/>
      <c r="G326" s="591"/>
      <c r="H326" s="591"/>
      <c r="I326" s="591"/>
      <c r="J326" s="591"/>
      <c r="K326" s="591"/>
      <c r="L326" s="591"/>
      <c r="M326" s="591"/>
      <c r="N326" s="591"/>
      <c r="O326" s="591"/>
      <c r="P326" s="591"/>
      <c r="Q326" s="591"/>
      <c r="R326" s="591"/>
      <c r="S326" s="591"/>
      <c r="T326" s="591"/>
      <c r="U326" s="591"/>
      <c r="V326" s="591"/>
      <c r="W326" s="591"/>
      <c r="X326" s="591"/>
      <c r="Y326" s="591"/>
      <c r="Z326" s="591"/>
      <c r="AA326" s="591"/>
      <c r="AB326" s="591"/>
      <c r="AC326" s="591"/>
      <c r="AD326" s="591"/>
      <c r="AE326" s="591"/>
    </row>
    <row r="327" spans="1:31">
      <c r="A327" s="591"/>
      <c r="B327" s="591"/>
      <c r="C327" s="591"/>
      <c r="D327" s="591"/>
      <c r="E327" s="591"/>
      <c r="F327" s="591"/>
      <c r="G327" s="591"/>
      <c r="H327" s="591"/>
      <c r="I327" s="591"/>
      <c r="J327" s="591"/>
      <c r="K327" s="591"/>
      <c r="L327" s="591"/>
      <c r="M327" s="591"/>
      <c r="N327" s="591"/>
      <c r="O327" s="591"/>
      <c r="P327" s="591"/>
      <c r="Q327" s="591"/>
      <c r="R327" s="591"/>
      <c r="S327" s="591"/>
      <c r="T327" s="591"/>
      <c r="U327" s="591"/>
      <c r="V327" s="591"/>
      <c r="W327" s="591"/>
      <c r="X327" s="591"/>
      <c r="Y327" s="591"/>
      <c r="Z327" s="591"/>
      <c r="AA327" s="591"/>
      <c r="AB327" s="591"/>
      <c r="AC327" s="591"/>
      <c r="AD327" s="591"/>
      <c r="AE327" s="591"/>
    </row>
    <row r="328" spans="1:31">
      <c r="A328" s="591"/>
      <c r="B328" s="591"/>
      <c r="C328" s="591"/>
      <c r="D328" s="591"/>
      <c r="E328" s="591"/>
      <c r="F328" s="591"/>
      <c r="G328" s="591"/>
      <c r="H328" s="591"/>
      <c r="I328" s="591"/>
      <c r="J328" s="591"/>
      <c r="K328" s="591"/>
      <c r="L328" s="591"/>
      <c r="M328" s="591"/>
      <c r="N328" s="591"/>
      <c r="O328" s="591"/>
      <c r="P328" s="591"/>
      <c r="Q328" s="591"/>
      <c r="R328" s="591"/>
      <c r="S328" s="591"/>
      <c r="T328" s="591"/>
      <c r="U328" s="591"/>
      <c r="V328" s="591"/>
      <c r="W328" s="591"/>
      <c r="X328" s="591"/>
      <c r="Y328" s="591"/>
      <c r="Z328" s="591"/>
      <c r="AA328" s="591"/>
      <c r="AB328" s="591"/>
      <c r="AC328" s="591"/>
      <c r="AD328" s="591"/>
      <c r="AE328" s="591"/>
    </row>
    <row r="329" spans="1:31">
      <c r="A329" s="591"/>
      <c r="B329" s="591"/>
      <c r="C329" s="591"/>
      <c r="D329" s="591"/>
      <c r="E329" s="591"/>
      <c r="F329" s="591"/>
      <c r="G329" s="591"/>
      <c r="H329" s="591"/>
      <c r="I329" s="591"/>
      <c r="J329" s="591"/>
      <c r="K329" s="591"/>
      <c r="L329" s="591"/>
      <c r="M329" s="591"/>
      <c r="N329" s="591"/>
      <c r="O329" s="591"/>
      <c r="P329" s="591"/>
      <c r="Q329" s="591"/>
      <c r="R329" s="591"/>
      <c r="S329" s="591"/>
      <c r="T329" s="591"/>
      <c r="U329" s="591"/>
      <c r="V329" s="591"/>
      <c r="W329" s="591"/>
      <c r="X329" s="591"/>
      <c r="Y329" s="591"/>
      <c r="Z329" s="591"/>
      <c r="AA329" s="591"/>
      <c r="AB329" s="591"/>
      <c r="AC329" s="591"/>
      <c r="AD329" s="591"/>
      <c r="AE329" s="591"/>
    </row>
    <row r="330" spans="1:31">
      <c r="A330" s="591"/>
      <c r="B330" s="591"/>
      <c r="C330" s="591"/>
      <c r="D330" s="591"/>
      <c r="E330" s="591"/>
      <c r="F330" s="591"/>
      <c r="G330" s="591"/>
      <c r="H330" s="591"/>
      <c r="I330" s="591"/>
      <c r="J330" s="591"/>
      <c r="K330" s="591"/>
      <c r="L330" s="591"/>
      <c r="M330" s="591"/>
      <c r="N330" s="591"/>
      <c r="O330" s="591"/>
      <c r="P330" s="591"/>
      <c r="Q330" s="591"/>
      <c r="R330" s="591"/>
      <c r="S330" s="591"/>
      <c r="T330" s="591"/>
      <c r="U330" s="591"/>
      <c r="V330" s="591"/>
      <c r="W330" s="591"/>
      <c r="X330" s="591"/>
      <c r="Y330" s="591"/>
      <c r="Z330" s="591"/>
      <c r="AA330" s="591"/>
      <c r="AB330" s="591"/>
      <c r="AC330" s="591"/>
      <c r="AD330" s="591"/>
      <c r="AE330" s="591"/>
    </row>
    <row r="331" spans="1:31">
      <c r="A331" s="591"/>
      <c r="B331" s="591"/>
      <c r="C331" s="591"/>
      <c r="D331" s="591"/>
      <c r="E331" s="591"/>
      <c r="F331" s="591"/>
      <c r="G331" s="591"/>
      <c r="H331" s="591"/>
      <c r="I331" s="591"/>
      <c r="J331" s="591"/>
      <c r="K331" s="591"/>
      <c r="L331" s="591"/>
      <c r="M331" s="591"/>
      <c r="N331" s="591"/>
      <c r="O331" s="591"/>
      <c r="P331" s="591"/>
      <c r="Q331" s="591"/>
      <c r="R331" s="591"/>
      <c r="S331" s="591"/>
      <c r="T331" s="591"/>
      <c r="U331" s="591"/>
      <c r="V331" s="591"/>
      <c r="W331" s="591"/>
      <c r="X331" s="591"/>
      <c r="Y331" s="591"/>
      <c r="Z331" s="591"/>
      <c r="AA331" s="591"/>
      <c r="AB331" s="591"/>
      <c r="AC331" s="591"/>
      <c r="AD331" s="591"/>
      <c r="AE331" s="591"/>
    </row>
    <row r="332" spans="1:31">
      <c r="A332" s="591"/>
      <c r="B332" s="591"/>
      <c r="C332" s="591"/>
      <c r="D332" s="591"/>
      <c r="E332" s="591"/>
      <c r="F332" s="591"/>
      <c r="G332" s="591"/>
      <c r="H332" s="591"/>
      <c r="I332" s="591"/>
      <c r="J332" s="591"/>
      <c r="K332" s="591"/>
      <c r="L332" s="591"/>
      <c r="M332" s="591"/>
      <c r="N332" s="591"/>
      <c r="O332" s="591"/>
      <c r="P332" s="591"/>
      <c r="Q332" s="591"/>
      <c r="R332" s="591"/>
      <c r="S332" s="591"/>
      <c r="T332" s="591"/>
      <c r="U332" s="591"/>
      <c r="V332" s="591"/>
      <c r="W332" s="591"/>
      <c r="X332" s="591"/>
      <c r="Y332" s="591"/>
      <c r="Z332" s="591"/>
      <c r="AA332" s="591"/>
      <c r="AB332" s="591"/>
      <c r="AC332" s="591"/>
      <c r="AD332" s="591"/>
      <c r="AE332" s="591"/>
    </row>
    <row r="333" spans="1:31">
      <c r="A333" s="591"/>
      <c r="B333" s="591"/>
      <c r="C333" s="591"/>
      <c r="D333" s="591"/>
      <c r="E333" s="591"/>
      <c r="F333" s="591"/>
      <c r="G333" s="591"/>
      <c r="H333" s="591"/>
      <c r="I333" s="591"/>
      <c r="J333" s="591"/>
      <c r="K333" s="591"/>
      <c r="L333" s="591"/>
      <c r="M333" s="591"/>
      <c r="N333" s="591"/>
      <c r="O333" s="591"/>
      <c r="P333" s="591"/>
      <c r="Q333" s="591"/>
      <c r="R333" s="591"/>
      <c r="S333" s="591"/>
      <c r="T333" s="591"/>
      <c r="U333" s="591"/>
      <c r="V333" s="591"/>
      <c r="W333" s="591"/>
      <c r="X333" s="591"/>
      <c r="Y333" s="591"/>
      <c r="Z333" s="591"/>
      <c r="AA333" s="591"/>
      <c r="AB333" s="591"/>
      <c r="AC333" s="591"/>
      <c r="AD333" s="591"/>
      <c r="AE333" s="591"/>
    </row>
    <row r="334" spans="1:31">
      <c r="A334" s="591"/>
      <c r="B334" s="591"/>
      <c r="C334" s="591"/>
      <c r="D334" s="591"/>
      <c r="E334" s="591"/>
      <c r="F334" s="591"/>
      <c r="G334" s="591"/>
      <c r="H334" s="591"/>
      <c r="I334" s="591"/>
      <c r="J334" s="591"/>
      <c r="K334" s="591"/>
      <c r="L334" s="591"/>
      <c r="M334" s="591"/>
      <c r="N334" s="591"/>
      <c r="O334" s="591"/>
      <c r="P334" s="591"/>
      <c r="Q334" s="591"/>
      <c r="R334" s="591"/>
      <c r="S334" s="591"/>
      <c r="T334" s="591"/>
      <c r="U334" s="591"/>
      <c r="V334" s="591"/>
      <c r="W334" s="591"/>
      <c r="X334" s="591"/>
      <c r="Y334" s="591"/>
      <c r="Z334" s="591"/>
      <c r="AA334" s="591"/>
      <c r="AB334" s="591"/>
      <c r="AC334" s="591"/>
      <c r="AD334" s="591"/>
      <c r="AE334" s="591"/>
    </row>
    <row r="335" spans="1:31">
      <c r="A335" s="591"/>
      <c r="B335" s="591"/>
      <c r="C335" s="591"/>
      <c r="D335" s="591"/>
      <c r="E335" s="591"/>
      <c r="F335" s="591"/>
      <c r="G335" s="591"/>
      <c r="H335" s="591"/>
      <c r="I335" s="591"/>
      <c r="J335" s="591"/>
      <c r="K335" s="591"/>
      <c r="L335" s="591"/>
      <c r="M335" s="591"/>
      <c r="N335" s="591"/>
      <c r="O335" s="591"/>
      <c r="P335" s="591"/>
      <c r="Q335" s="591"/>
      <c r="R335" s="591"/>
      <c r="S335" s="591"/>
      <c r="T335" s="591"/>
      <c r="U335" s="591"/>
      <c r="V335" s="591"/>
      <c r="W335" s="591"/>
      <c r="X335" s="591"/>
      <c r="Y335" s="591"/>
      <c r="Z335" s="591"/>
      <c r="AA335" s="591"/>
      <c r="AB335" s="591"/>
      <c r="AC335" s="591"/>
      <c r="AD335" s="591"/>
      <c r="AE335" s="591"/>
    </row>
    <row r="336" spans="1:31">
      <c r="A336" s="591"/>
      <c r="B336" s="591"/>
      <c r="C336" s="591"/>
      <c r="D336" s="591"/>
      <c r="E336" s="591"/>
      <c r="F336" s="591"/>
      <c r="G336" s="591"/>
      <c r="H336" s="591"/>
      <c r="I336" s="591"/>
      <c r="J336" s="591"/>
      <c r="K336" s="591"/>
      <c r="L336" s="591"/>
      <c r="M336" s="591"/>
      <c r="N336" s="591"/>
      <c r="O336" s="591"/>
      <c r="P336" s="591"/>
      <c r="Q336" s="591"/>
      <c r="R336" s="591"/>
      <c r="S336" s="591"/>
      <c r="T336" s="591"/>
      <c r="U336" s="591"/>
      <c r="V336" s="591"/>
      <c r="W336" s="591"/>
      <c r="X336" s="591"/>
      <c r="Y336" s="591"/>
      <c r="Z336" s="591"/>
      <c r="AA336" s="591"/>
      <c r="AB336" s="591"/>
      <c r="AC336" s="591"/>
      <c r="AD336" s="591"/>
      <c r="AE336" s="591"/>
    </row>
    <row r="337" spans="1:31">
      <c r="A337" s="591"/>
      <c r="B337" s="591"/>
      <c r="C337" s="591"/>
      <c r="D337" s="591"/>
      <c r="E337" s="591"/>
      <c r="F337" s="591"/>
      <c r="G337" s="591"/>
      <c r="H337" s="591"/>
      <c r="I337" s="591"/>
      <c r="J337" s="591"/>
      <c r="K337" s="591"/>
      <c r="L337" s="591"/>
      <c r="M337" s="591"/>
      <c r="N337" s="591"/>
      <c r="O337" s="591"/>
      <c r="P337" s="591"/>
      <c r="Q337" s="591"/>
      <c r="R337" s="591"/>
      <c r="S337" s="591"/>
      <c r="T337" s="591"/>
      <c r="U337" s="591"/>
      <c r="V337" s="591"/>
      <c r="W337" s="591"/>
      <c r="X337" s="591"/>
      <c r="Y337" s="591"/>
      <c r="Z337" s="591"/>
      <c r="AA337" s="591"/>
      <c r="AB337" s="591"/>
      <c r="AC337" s="591"/>
      <c r="AD337" s="591"/>
      <c r="AE337" s="591"/>
    </row>
    <row r="338" spans="1:31">
      <c r="A338" s="591"/>
      <c r="B338" s="591"/>
      <c r="C338" s="591"/>
      <c r="D338" s="591"/>
      <c r="E338" s="591"/>
      <c r="F338" s="591"/>
      <c r="G338" s="591"/>
      <c r="H338" s="591"/>
      <c r="I338" s="591"/>
      <c r="J338" s="591"/>
      <c r="K338" s="591"/>
      <c r="L338" s="591"/>
      <c r="M338" s="591"/>
      <c r="N338" s="591"/>
      <c r="O338" s="591"/>
      <c r="P338" s="591"/>
      <c r="Q338" s="591"/>
      <c r="R338" s="591"/>
      <c r="S338" s="591"/>
      <c r="T338" s="591"/>
      <c r="U338" s="591"/>
      <c r="V338" s="591"/>
      <c r="W338" s="591"/>
      <c r="X338" s="591"/>
      <c r="Y338" s="591"/>
      <c r="Z338" s="591"/>
      <c r="AA338" s="591"/>
      <c r="AB338" s="591"/>
      <c r="AC338" s="591"/>
      <c r="AD338" s="591"/>
      <c r="AE338" s="591"/>
    </row>
    <row r="339" spans="1:31">
      <c r="A339" s="591"/>
      <c r="B339" s="591"/>
      <c r="C339" s="591"/>
      <c r="D339" s="591"/>
      <c r="E339" s="591"/>
      <c r="F339" s="591"/>
      <c r="G339" s="591"/>
      <c r="H339" s="591"/>
      <c r="I339" s="591"/>
      <c r="J339" s="591"/>
      <c r="K339" s="591"/>
      <c r="L339" s="591"/>
      <c r="M339" s="591"/>
      <c r="N339" s="591"/>
      <c r="O339" s="591"/>
      <c r="P339" s="591"/>
      <c r="Q339" s="591"/>
      <c r="R339" s="591"/>
      <c r="S339" s="591"/>
      <c r="T339" s="591"/>
      <c r="U339" s="591"/>
      <c r="V339" s="591"/>
      <c r="W339" s="591"/>
      <c r="X339" s="591"/>
      <c r="Y339" s="591"/>
      <c r="Z339" s="591"/>
      <c r="AA339" s="591"/>
      <c r="AB339" s="591"/>
      <c r="AC339" s="591"/>
      <c r="AD339" s="591"/>
      <c r="AE339" s="591"/>
    </row>
    <row r="340" spans="1:31">
      <c r="A340" s="591"/>
      <c r="B340" s="591"/>
      <c r="C340" s="591"/>
      <c r="D340" s="591"/>
      <c r="E340" s="591"/>
      <c r="F340" s="591"/>
      <c r="G340" s="591"/>
      <c r="H340" s="591"/>
      <c r="I340" s="591"/>
      <c r="J340" s="591"/>
      <c r="K340" s="591"/>
      <c r="L340" s="591"/>
      <c r="M340" s="591"/>
      <c r="N340" s="591"/>
      <c r="O340" s="591"/>
      <c r="P340" s="591"/>
      <c r="Q340" s="591"/>
      <c r="R340" s="591"/>
      <c r="S340" s="591"/>
      <c r="T340" s="591"/>
      <c r="U340" s="591"/>
      <c r="V340" s="591"/>
      <c r="W340" s="591"/>
      <c r="X340" s="591"/>
      <c r="Y340" s="591"/>
      <c r="Z340" s="591"/>
      <c r="AA340" s="591"/>
      <c r="AB340" s="591"/>
      <c r="AC340" s="591"/>
      <c r="AD340" s="591"/>
      <c r="AE340" s="591"/>
    </row>
    <row r="341" spans="1:31">
      <c r="A341" s="591"/>
      <c r="B341" s="591"/>
      <c r="C341" s="591"/>
      <c r="D341" s="591"/>
      <c r="E341" s="591"/>
      <c r="F341" s="591"/>
      <c r="G341" s="591"/>
      <c r="H341" s="591"/>
      <c r="I341" s="591"/>
      <c r="J341" s="591"/>
      <c r="K341" s="591"/>
      <c r="L341" s="591"/>
      <c r="M341" s="591"/>
      <c r="N341" s="591"/>
      <c r="O341" s="591"/>
      <c r="P341" s="591"/>
      <c r="Q341" s="591"/>
      <c r="R341" s="591"/>
      <c r="S341" s="591"/>
      <c r="T341" s="591"/>
      <c r="U341" s="591"/>
      <c r="V341" s="591"/>
      <c r="W341" s="591"/>
      <c r="X341" s="591"/>
      <c r="Y341" s="591"/>
      <c r="Z341" s="591"/>
      <c r="AA341" s="591"/>
      <c r="AB341" s="591"/>
      <c r="AC341" s="591"/>
      <c r="AD341" s="591"/>
      <c r="AE341" s="591"/>
    </row>
    <row r="342" spans="1:31">
      <c r="A342" s="591"/>
      <c r="B342" s="591"/>
      <c r="C342" s="591"/>
      <c r="D342" s="591"/>
      <c r="E342" s="591"/>
      <c r="F342" s="591"/>
      <c r="G342" s="591"/>
      <c r="H342" s="591"/>
      <c r="I342" s="591"/>
      <c r="J342" s="591"/>
      <c r="K342" s="591"/>
      <c r="L342" s="591"/>
      <c r="M342" s="591"/>
      <c r="N342" s="591"/>
      <c r="O342" s="591"/>
      <c r="P342" s="591"/>
      <c r="Q342" s="591"/>
      <c r="R342" s="591"/>
      <c r="S342" s="591"/>
      <c r="T342" s="591"/>
      <c r="U342" s="591"/>
      <c r="V342" s="591"/>
      <c r="W342" s="591"/>
      <c r="X342" s="591"/>
      <c r="Y342" s="591"/>
      <c r="Z342" s="591"/>
      <c r="AA342" s="591"/>
      <c r="AB342" s="591"/>
      <c r="AC342" s="591"/>
      <c r="AD342" s="591"/>
      <c r="AE342" s="591"/>
    </row>
    <row r="343" spans="1:31">
      <c r="A343" s="591"/>
      <c r="B343" s="591"/>
      <c r="C343" s="591"/>
      <c r="D343" s="591"/>
      <c r="E343" s="591"/>
      <c r="F343" s="591"/>
      <c r="G343" s="591"/>
      <c r="H343" s="591"/>
      <c r="I343" s="591"/>
      <c r="J343" s="591"/>
      <c r="K343" s="591"/>
      <c r="L343" s="591"/>
      <c r="M343" s="591"/>
      <c r="N343" s="591"/>
      <c r="O343" s="591"/>
      <c r="P343" s="591"/>
      <c r="Q343" s="591"/>
      <c r="R343" s="591"/>
      <c r="S343" s="591"/>
      <c r="T343" s="591"/>
      <c r="U343" s="591"/>
      <c r="V343" s="591"/>
      <c r="W343" s="591"/>
      <c r="X343" s="591"/>
      <c r="Y343" s="591"/>
      <c r="Z343" s="591"/>
      <c r="AA343" s="591"/>
      <c r="AB343" s="591"/>
      <c r="AC343" s="591"/>
      <c r="AD343" s="591"/>
      <c r="AE343" s="591"/>
    </row>
    <row r="344" spans="1:31">
      <c r="A344" s="591"/>
      <c r="B344" s="591"/>
      <c r="C344" s="591"/>
      <c r="D344" s="591"/>
      <c r="E344" s="591"/>
      <c r="F344" s="591"/>
      <c r="G344" s="591"/>
      <c r="H344" s="591"/>
      <c r="I344" s="591"/>
      <c r="J344" s="591"/>
      <c r="K344" s="591"/>
      <c r="L344" s="591"/>
      <c r="M344" s="591"/>
      <c r="N344" s="591"/>
      <c r="O344" s="591"/>
      <c r="P344" s="591"/>
      <c r="Q344" s="591"/>
      <c r="R344" s="591"/>
      <c r="S344" s="591"/>
      <c r="T344" s="591"/>
      <c r="U344" s="591"/>
      <c r="V344" s="591"/>
      <c r="W344" s="591"/>
      <c r="X344" s="591"/>
      <c r="Y344" s="591"/>
      <c r="Z344" s="591"/>
      <c r="AA344" s="591"/>
      <c r="AB344" s="591"/>
      <c r="AC344" s="591"/>
      <c r="AD344" s="591"/>
      <c r="AE344" s="591"/>
    </row>
    <row r="345" spans="1:31">
      <c r="A345" s="591"/>
      <c r="B345" s="591"/>
      <c r="C345" s="591"/>
      <c r="D345" s="591"/>
      <c r="E345" s="591"/>
      <c r="F345" s="591"/>
      <c r="G345" s="591"/>
      <c r="H345" s="591"/>
      <c r="I345" s="591"/>
      <c r="J345" s="591"/>
      <c r="K345" s="591"/>
      <c r="L345" s="591"/>
      <c r="M345" s="591"/>
      <c r="N345" s="591"/>
      <c r="O345" s="591"/>
      <c r="P345" s="591"/>
      <c r="Q345" s="591"/>
      <c r="R345" s="591"/>
      <c r="S345" s="591"/>
      <c r="T345" s="591"/>
      <c r="U345" s="591"/>
      <c r="V345" s="591"/>
      <c r="W345" s="591"/>
      <c r="X345" s="591"/>
      <c r="Y345" s="591"/>
      <c r="Z345" s="591"/>
      <c r="AA345" s="591"/>
      <c r="AB345" s="591"/>
      <c r="AC345" s="591"/>
      <c r="AD345" s="591"/>
      <c r="AE345" s="591"/>
    </row>
    <row r="346" spans="1:31">
      <c r="A346" s="591"/>
      <c r="B346" s="591"/>
      <c r="C346" s="591"/>
      <c r="D346" s="591"/>
      <c r="E346" s="591"/>
      <c r="F346" s="591"/>
      <c r="G346" s="591"/>
      <c r="H346" s="591"/>
      <c r="I346" s="591"/>
      <c r="J346" s="591"/>
      <c r="K346" s="591"/>
      <c r="L346" s="591"/>
      <c r="M346" s="591"/>
      <c r="N346" s="591"/>
      <c r="O346" s="591"/>
      <c r="P346" s="591"/>
      <c r="Q346" s="591"/>
      <c r="R346" s="591"/>
      <c r="S346" s="591"/>
      <c r="T346" s="591"/>
      <c r="U346" s="591"/>
      <c r="V346" s="591"/>
      <c r="W346" s="591"/>
      <c r="X346" s="591"/>
      <c r="Y346" s="591"/>
      <c r="Z346" s="591"/>
      <c r="AA346" s="591"/>
      <c r="AB346" s="591"/>
      <c r="AC346" s="591"/>
      <c r="AD346" s="591"/>
      <c r="AE346" s="591"/>
    </row>
    <row r="347" spans="1:31">
      <c r="A347" s="591"/>
      <c r="B347" s="591"/>
      <c r="C347" s="591"/>
      <c r="D347" s="591"/>
      <c r="E347" s="591"/>
      <c r="F347" s="591"/>
      <c r="G347" s="591"/>
      <c r="H347" s="591"/>
      <c r="I347" s="591"/>
      <c r="J347" s="591"/>
      <c r="K347" s="591"/>
      <c r="L347" s="591"/>
      <c r="M347" s="591"/>
      <c r="N347" s="591"/>
      <c r="O347" s="591"/>
      <c r="P347" s="591"/>
      <c r="Q347" s="591"/>
      <c r="R347" s="591"/>
      <c r="S347" s="591"/>
      <c r="T347" s="591"/>
      <c r="U347" s="591"/>
      <c r="V347" s="591"/>
      <c r="W347" s="591"/>
      <c r="X347" s="591"/>
      <c r="Y347" s="591"/>
      <c r="Z347" s="591"/>
      <c r="AA347" s="591"/>
      <c r="AB347" s="591"/>
      <c r="AC347" s="591"/>
      <c r="AD347" s="591"/>
      <c r="AE347" s="591"/>
    </row>
    <row r="348" spans="1:31">
      <c r="A348" s="591"/>
      <c r="B348" s="591"/>
      <c r="C348" s="591"/>
      <c r="D348" s="591"/>
      <c r="E348" s="591"/>
      <c r="F348" s="591"/>
      <c r="G348" s="591"/>
      <c r="H348" s="591"/>
      <c r="I348" s="591"/>
      <c r="J348" s="591"/>
      <c r="K348" s="591"/>
      <c r="L348" s="591"/>
      <c r="M348" s="591"/>
      <c r="N348" s="591"/>
      <c r="O348" s="591"/>
      <c r="P348" s="591"/>
      <c r="Q348" s="591"/>
      <c r="R348" s="591"/>
      <c r="S348" s="591"/>
      <c r="T348" s="591"/>
      <c r="U348" s="591"/>
      <c r="V348" s="591"/>
      <c r="W348" s="591"/>
      <c r="X348" s="591"/>
      <c r="Y348" s="591"/>
      <c r="Z348" s="591"/>
      <c r="AA348" s="591"/>
      <c r="AB348" s="591"/>
      <c r="AC348" s="591"/>
      <c r="AD348" s="591"/>
      <c r="AE348" s="591"/>
    </row>
    <row r="349" spans="1:31">
      <c r="A349" s="591"/>
      <c r="B349" s="591"/>
      <c r="C349" s="591"/>
      <c r="D349" s="591"/>
      <c r="E349" s="591"/>
      <c r="F349" s="591"/>
      <c r="G349" s="591"/>
      <c r="H349" s="591"/>
      <c r="I349" s="591"/>
      <c r="J349" s="591"/>
      <c r="K349" s="591"/>
      <c r="L349" s="591"/>
      <c r="M349" s="591"/>
      <c r="N349" s="591"/>
      <c r="O349" s="591"/>
      <c r="P349" s="591"/>
      <c r="Q349" s="591"/>
      <c r="R349" s="591"/>
      <c r="S349" s="591"/>
      <c r="T349" s="591"/>
      <c r="U349" s="591"/>
      <c r="V349" s="591"/>
      <c r="W349" s="591"/>
      <c r="X349" s="591"/>
      <c r="Y349" s="591"/>
      <c r="Z349" s="591"/>
      <c r="AA349" s="591"/>
      <c r="AB349" s="591"/>
      <c r="AC349" s="591"/>
      <c r="AD349" s="591"/>
      <c r="AE349" s="591"/>
    </row>
    <row r="350" spans="1:31">
      <c r="A350" s="591"/>
      <c r="B350" s="591"/>
      <c r="C350" s="591"/>
      <c r="D350" s="591"/>
      <c r="E350" s="591"/>
      <c r="F350" s="591"/>
      <c r="G350" s="591"/>
      <c r="H350" s="591"/>
      <c r="I350" s="591"/>
      <c r="J350" s="591"/>
      <c r="K350" s="591"/>
      <c r="L350" s="591"/>
      <c r="M350" s="591"/>
      <c r="N350" s="591"/>
      <c r="O350" s="591"/>
      <c r="P350" s="591"/>
      <c r="Q350" s="591"/>
      <c r="R350" s="591"/>
      <c r="S350" s="591"/>
      <c r="T350" s="591"/>
      <c r="U350" s="591"/>
      <c r="V350" s="591"/>
      <c r="W350" s="591"/>
      <c r="X350" s="591"/>
      <c r="Y350" s="591"/>
      <c r="Z350" s="591"/>
      <c r="AA350" s="591"/>
      <c r="AB350" s="591"/>
      <c r="AC350" s="591"/>
      <c r="AD350" s="591"/>
      <c r="AE350" s="591"/>
    </row>
    <row r="351" spans="1:31">
      <c r="A351" s="591"/>
      <c r="B351" s="591"/>
      <c r="C351" s="591"/>
      <c r="D351" s="591"/>
      <c r="E351" s="591"/>
      <c r="F351" s="591"/>
      <c r="G351" s="591"/>
      <c r="H351" s="591"/>
      <c r="I351" s="591"/>
      <c r="J351" s="591"/>
      <c r="K351" s="591"/>
      <c r="L351" s="591"/>
      <c r="M351" s="591"/>
      <c r="N351" s="591"/>
      <c r="O351" s="591"/>
      <c r="P351" s="591"/>
      <c r="Q351" s="591"/>
      <c r="R351" s="591"/>
      <c r="S351" s="591"/>
      <c r="T351" s="591"/>
      <c r="U351" s="591"/>
      <c r="V351" s="591"/>
      <c r="W351" s="591"/>
      <c r="X351" s="591"/>
      <c r="Y351" s="591"/>
      <c r="Z351" s="591"/>
      <c r="AA351" s="591"/>
      <c r="AB351" s="591"/>
      <c r="AC351" s="591"/>
      <c r="AD351" s="591"/>
      <c r="AE351" s="591"/>
    </row>
    <row r="352" spans="1:31">
      <c r="A352" s="591"/>
      <c r="B352" s="591"/>
      <c r="C352" s="591"/>
      <c r="D352" s="591"/>
      <c r="E352" s="591"/>
      <c r="F352" s="591"/>
      <c r="G352" s="591"/>
      <c r="H352" s="591"/>
      <c r="I352" s="591"/>
      <c r="J352" s="591"/>
      <c r="K352" s="591"/>
      <c r="L352" s="591"/>
      <c r="M352" s="591"/>
      <c r="N352" s="591"/>
      <c r="O352" s="591"/>
      <c r="P352" s="591"/>
      <c r="Q352" s="591"/>
      <c r="R352" s="591"/>
      <c r="S352" s="591"/>
      <c r="T352" s="591"/>
      <c r="U352" s="591"/>
      <c r="V352" s="591"/>
      <c r="W352" s="591"/>
      <c r="X352" s="591"/>
      <c r="Y352" s="591"/>
      <c r="Z352" s="591"/>
      <c r="AA352" s="591"/>
      <c r="AB352" s="591"/>
      <c r="AC352" s="591"/>
      <c r="AD352" s="591"/>
      <c r="AE352" s="591"/>
    </row>
    <row r="353" spans="1:31">
      <c r="A353" s="591"/>
      <c r="B353" s="591"/>
      <c r="C353" s="591"/>
      <c r="D353" s="591"/>
      <c r="E353" s="591"/>
      <c r="F353" s="591"/>
      <c r="G353" s="591"/>
      <c r="H353" s="591"/>
      <c r="I353" s="591"/>
      <c r="J353" s="591"/>
      <c r="K353" s="591"/>
      <c r="L353" s="591"/>
      <c r="M353" s="591"/>
      <c r="N353" s="591"/>
      <c r="O353" s="591"/>
      <c r="P353" s="591"/>
      <c r="Q353" s="591"/>
      <c r="R353" s="591"/>
      <c r="S353" s="591"/>
      <c r="T353" s="591"/>
      <c r="U353" s="591"/>
      <c r="V353" s="591"/>
      <c r="W353" s="591"/>
      <c r="X353" s="591"/>
      <c r="Y353" s="591"/>
      <c r="Z353" s="591"/>
      <c r="AA353" s="591"/>
      <c r="AB353" s="591"/>
      <c r="AC353" s="591"/>
      <c r="AD353" s="591"/>
      <c r="AE353" s="591"/>
    </row>
    <row r="354" spans="1:31">
      <c r="A354" s="591"/>
      <c r="B354" s="591"/>
      <c r="C354" s="591"/>
      <c r="D354" s="591"/>
      <c r="E354" s="591"/>
      <c r="F354" s="591"/>
      <c r="G354" s="591"/>
      <c r="H354" s="591"/>
      <c r="I354" s="591"/>
      <c r="J354" s="591"/>
      <c r="K354" s="591"/>
      <c r="L354" s="591"/>
      <c r="M354" s="591"/>
      <c r="N354" s="591"/>
      <c r="O354" s="591"/>
      <c r="P354" s="591"/>
      <c r="Q354" s="591"/>
      <c r="R354" s="591"/>
      <c r="S354" s="591"/>
      <c r="T354" s="591"/>
      <c r="U354" s="591"/>
      <c r="V354" s="591"/>
      <c r="W354" s="591"/>
      <c r="X354" s="591"/>
      <c r="Y354" s="591"/>
      <c r="Z354" s="591"/>
      <c r="AA354" s="591"/>
      <c r="AB354" s="591"/>
      <c r="AC354" s="591"/>
      <c r="AD354" s="591"/>
      <c r="AE354" s="591"/>
    </row>
    <row r="355" spans="1:31">
      <c r="A355" s="591"/>
      <c r="B355" s="591"/>
      <c r="C355" s="591"/>
      <c r="D355" s="591"/>
      <c r="E355" s="591"/>
      <c r="F355" s="591"/>
      <c r="G355" s="591"/>
      <c r="H355" s="591"/>
      <c r="I355" s="591"/>
      <c r="J355" s="591"/>
      <c r="K355" s="591"/>
      <c r="L355" s="591"/>
      <c r="M355" s="591"/>
      <c r="N355" s="591"/>
      <c r="O355" s="591"/>
      <c r="P355" s="591"/>
      <c r="Q355" s="591"/>
      <c r="R355" s="591"/>
      <c r="S355" s="591"/>
      <c r="T355" s="591"/>
      <c r="U355" s="591"/>
      <c r="V355" s="591"/>
      <c r="W355" s="591"/>
      <c r="X355" s="591"/>
      <c r="Y355" s="591"/>
      <c r="Z355" s="591"/>
      <c r="AA355" s="591"/>
      <c r="AB355" s="591"/>
      <c r="AC355" s="591"/>
      <c r="AD355" s="591"/>
      <c r="AE355" s="591"/>
    </row>
    <row r="356" spans="1:31">
      <c r="A356" s="591"/>
      <c r="B356" s="591"/>
      <c r="C356" s="591"/>
      <c r="D356" s="591"/>
      <c r="E356" s="591"/>
      <c r="F356" s="591"/>
      <c r="G356" s="591"/>
      <c r="H356" s="591"/>
      <c r="I356" s="591"/>
      <c r="J356" s="591"/>
      <c r="K356" s="591"/>
      <c r="L356" s="591"/>
      <c r="M356" s="591"/>
      <c r="N356" s="591"/>
      <c r="O356" s="591"/>
      <c r="P356" s="591"/>
      <c r="Q356" s="591"/>
      <c r="R356" s="591"/>
      <c r="S356" s="591"/>
      <c r="T356" s="591"/>
      <c r="U356" s="591"/>
      <c r="V356" s="591"/>
      <c r="W356" s="591"/>
      <c r="X356" s="591"/>
      <c r="Y356" s="591"/>
      <c r="Z356" s="591"/>
      <c r="AA356" s="591"/>
      <c r="AB356" s="591"/>
      <c r="AC356" s="591"/>
      <c r="AD356" s="591"/>
      <c r="AE356" s="591"/>
    </row>
    <row r="357" spans="1:31">
      <c r="A357" s="591"/>
      <c r="B357" s="591"/>
      <c r="C357" s="591"/>
      <c r="D357" s="591"/>
      <c r="E357" s="591"/>
      <c r="F357" s="591"/>
      <c r="G357" s="591"/>
      <c r="H357" s="591"/>
      <c r="I357" s="591"/>
      <c r="J357" s="591"/>
      <c r="K357" s="591"/>
      <c r="L357" s="591"/>
      <c r="M357" s="591"/>
      <c r="N357" s="591"/>
      <c r="O357" s="591"/>
      <c r="P357" s="591"/>
      <c r="Q357" s="591"/>
      <c r="R357" s="591"/>
      <c r="S357" s="591"/>
      <c r="T357" s="591"/>
      <c r="U357" s="591"/>
      <c r="V357" s="591"/>
      <c r="W357" s="591"/>
      <c r="X357" s="591"/>
      <c r="Y357" s="591"/>
      <c r="Z357" s="591"/>
      <c r="AA357" s="591"/>
      <c r="AB357" s="591"/>
      <c r="AC357" s="591"/>
      <c r="AD357" s="591"/>
      <c r="AE357" s="591"/>
    </row>
    <row r="358" spans="1:31">
      <c r="A358" s="591"/>
      <c r="B358" s="591"/>
      <c r="C358" s="591"/>
      <c r="D358" s="591"/>
      <c r="E358" s="591"/>
      <c r="F358" s="591"/>
      <c r="G358" s="591"/>
      <c r="H358" s="591"/>
      <c r="I358" s="591"/>
      <c r="J358" s="591"/>
      <c r="K358" s="591"/>
      <c r="L358" s="591"/>
      <c r="M358" s="591"/>
      <c r="N358" s="591"/>
      <c r="O358" s="591"/>
      <c r="P358" s="591"/>
      <c r="Q358" s="591"/>
      <c r="R358" s="591"/>
      <c r="S358" s="591"/>
      <c r="T358" s="591"/>
      <c r="U358" s="591"/>
      <c r="V358" s="591"/>
      <c r="W358" s="591"/>
      <c r="X358" s="591"/>
      <c r="Y358" s="591"/>
      <c r="Z358" s="591"/>
      <c r="AA358" s="591"/>
      <c r="AB358" s="591"/>
      <c r="AC358" s="591"/>
      <c r="AD358" s="591"/>
      <c r="AE358" s="591"/>
    </row>
    <row r="359" spans="1:31">
      <c r="A359" s="591"/>
      <c r="B359" s="591"/>
      <c r="C359" s="591"/>
      <c r="D359" s="591"/>
      <c r="E359" s="591"/>
      <c r="F359" s="591"/>
      <c r="G359" s="591"/>
      <c r="H359" s="591"/>
      <c r="I359" s="591"/>
      <c r="J359" s="591"/>
      <c r="K359" s="591"/>
      <c r="L359" s="591"/>
      <c r="M359" s="591"/>
      <c r="N359" s="591"/>
      <c r="O359" s="591"/>
      <c r="P359" s="591"/>
      <c r="Q359" s="591"/>
      <c r="R359" s="591"/>
      <c r="S359" s="591"/>
      <c r="T359" s="591"/>
      <c r="U359" s="591"/>
      <c r="V359" s="591"/>
      <c r="W359" s="591"/>
      <c r="X359" s="591"/>
      <c r="Y359" s="591"/>
      <c r="Z359" s="591"/>
      <c r="AA359" s="591"/>
      <c r="AB359" s="591"/>
      <c r="AC359" s="591"/>
      <c r="AD359" s="591"/>
      <c r="AE359" s="591"/>
    </row>
    <row r="360" spans="1:31">
      <c r="A360" s="591"/>
      <c r="B360" s="591"/>
      <c r="C360" s="591"/>
      <c r="D360" s="591"/>
      <c r="E360" s="591"/>
      <c r="F360" s="591"/>
      <c r="G360" s="591"/>
      <c r="H360" s="591"/>
      <c r="I360" s="591"/>
      <c r="J360" s="591"/>
      <c r="K360" s="591"/>
      <c r="L360" s="591"/>
      <c r="M360" s="591"/>
      <c r="N360" s="591"/>
      <c r="O360" s="591"/>
      <c r="P360" s="591"/>
      <c r="Q360" s="591"/>
      <c r="R360" s="591"/>
      <c r="S360" s="591"/>
      <c r="T360" s="591"/>
      <c r="U360" s="591"/>
      <c r="V360" s="591"/>
      <c r="W360" s="591"/>
      <c r="X360" s="591"/>
      <c r="Y360" s="591"/>
      <c r="Z360" s="591"/>
      <c r="AA360" s="591"/>
      <c r="AB360" s="591"/>
      <c r="AC360" s="591"/>
      <c r="AD360" s="591"/>
      <c r="AE360" s="591"/>
    </row>
    <row r="361" spans="1:31">
      <c r="A361" s="591"/>
      <c r="B361" s="591"/>
      <c r="C361" s="591"/>
      <c r="D361" s="591"/>
      <c r="E361" s="591"/>
      <c r="F361" s="591"/>
      <c r="G361" s="591"/>
      <c r="H361" s="591"/>
      <c r="I361" s="591"/>
      <c r="J361" s="591"/>
      <c r="K361" s="591"/>
      <c r="L361" s="591"/>
      <c r="M361" s="591"/>
      <c r="N361" s="591"/>
      <c r="O361" s="591"/>
      <c r="P361" s="591"/>
      <c r="Q361" s="591"/>
      <c r="R361" s="591"/>
      <c r="S361" s="591"/>
      <c r="T361" s="591"/>
      <c r="U361" s="591"/>
      <c r="V361" s="591"/>
      <c r="W361" s="591"/>
      <c r="X361" s="591"/>
      <c r="Y361" s="591"/>
      <c r="Z361" s="591"/>
      <c r="AA361" s="591"/>
      <c r="AB361" s="591"/>
      <c r="AC361" s="591"/>
      <c r="AD361" s="591"/>
      <c r="AE361" s="591"/>
    </row>
    <row r="362" spans="1:31">
      <c r="A362" s="591"/>
      <c r="B362" s="591"/>
      <c r="C362" s="591"/>
      <c r="D362" s="591"/>
      <c r="E362" s="591"/>
      <c r="F362" s="591"/>
      <c r="G362" s="591"/>
      <c r="H362" s="591"/>
      <c r="I362" s="591"/>
      <c r="J362" s="591"/>
      <c r="K362" s="591"/>
      <c r="L362" s="591"/>
      <c r="M362" s="591"/>
      <c r="N362" s="591"/>
      <c r="O362" s="591"/>
      <c r="P362" s="591"/>
      <c r="Q362" s="591"/>
      <c r="R362" s="591"/>
      <c r="S362" s="591"/>
      <c r="T362" s="591"/>
      <c r="U362" s="591"/>
      <c r="V362" s="591"/>
      <c r="W362" s="591"/>
      <c r="X362" s="591"/>
      <c r="Y362" s="591"/>
      <c r="Z362" s="591"/>
      <c r="AA362" s="591"/>
      <c r="AB362" s="591"/>
      <c r="AC362" s="591"/>
      <c r="AD362" s="591"/>
      <c r="AE362" s="591"/>
    </row>
    <row r="363" spans="1:31">
      <c r="A363" s="591"/>
      <c r="B363" s="591"/>
      <c r="C363" s="591"/>
      <c r="D363" s="591"/>
      <c r="E363" s="591"/>
      <c r="F363" s="591"/>
      <c r="G363" s="591"/>
      <c r="H363" s="591"/>
      <c r="I363" s="591"/>
      <c r="J363" s="591"/>
      <c r="K363" s="591"/>
      <c r="L363" s="591"/>
      <c r="M363" s="591"/>
      <c r="N363" s="591"/>
      <c r="O363" s="591"/>
      <c r="P363" s="591"/>
      <c r="Q363" s="591"/>
      <c r="R363" s="591"/>
      <c r="S363" s="591"/>
      <c r="T363" s="591"/>
      <c r="U363" s="591"/>
      <c r="V363" s="591"/>
      <c r="W363" s="591"/>
      <c r="X363" s="591"/>
      <c r="Y363" s="591"/>
      <c r="Z363" s="591"/>
      <c r="AA363" s="591"/>
      <c r="AB363" s="591"/>
      <c r="AC363" s="591"/>
      <c r="AD363" s="591"/>
      <c r="AE363" s="591"/>
    </row>
    <row r="364" spans="1:31">
      <c r="A364" s="591"/>
      <c r="B364" s="591"/>
      <c r="C364" s="591"/>
      <c r="D364" s="591"/>
      <c r="E364" s="591"/>
      <c r="F364" s="591"/>
      <c r="G364" s="591"/>
      <c r="H364" s="591"/>
      <c r="I364" s="591"/>
      <c r="J364" s="591"/>
      <c r="K364" s="591"/>
      <c r="L364" s="591"/>
      <c r="M364" s="591"/>
      <c r="N364" s="591"/>
      <c r="O364" s="591"/>
      <c r="P364" s="591"/>
      <c r="Q364" s="591"/>
      <c r="R364" s="591"/>
      <c r="S364" s="591"/>
      <c r="T364" s="591"/>
      <c r="U364" s="591"/>
      <c r="V364" s="591"/>
      <c r="W364" s="591"/>
      <c r="X364" s="591"/>
      <c r="Y364" s="591"/>
      <c r="Z364" s="591"/>
      <c r="AA364" s="591"/>
      <c r="AB364" s="591"/>
      <c r="AC364" s="591"/>
      <c r="AD364" s="591"/>
      <c r="AE364" s="591"/>
    </row>
    <row r="365" spans="1:31">
      <c r="A365" s="591"/>
      <c r="B365" s="591"/>
      <c r="C365" s="591"/>
      <c r="D365" s="591"/>
      <c r="E365" s="591"/>
      <c r="F365" s="591"/>
      <c r="G365" s="591"/>
      <c r="H365" s="591"/>
      <c r="I365" s="591"/>
      <c r="J365" s="591"/>
      <c r="K365" s="591"/>
      <c r="L365" s="591"/>
      <c r="M365" s="591"/>
      <c r="N365" s="591"/>
      <c r="O365" s="591"/>
      <c r="P365" s="591"/>
      <c r="Q365" s="591"/>
      <c r="R365" s="591"/>
      <c r="S365" s="591"/>
      <c r="T365" s="591"/>
      <c r="U365" s="591"/>
      <c r="V365" s="591"/>
      <c r="W365" s="591"/>
      <c r="X365" s="591"/>
      <c r="Y365" s="591"/>
      <c r="Z365" s="591"/>
      <c r="AA365" s="591"/>
      <c r="AB365" s="591"/>
      <c r="AC365" s="591"/>
      <c r="AD365" s="591"/>
      <c r="AE365" s="591"/>
    </row>
    <row r="366" spans="1:31">
      <c r="A366" s="591"/>
      <c r="B366" s="591"/>
      <c r="C366" s="591"/>
      <c r="D366" s="591"/>
      <c r="E366" s="591"/>
      <c r="F366" s="591"/>
      <c r="G366" s="591"/>
      <c r="H366" s="591"/>
      <c r="I366" s="591"/>
      <c r="J366" s="591"/>
      <c r="K366" s="591"/>
      <c r="L366" s="591"/>
      <c r="M366" s="591"/>
      <c r="N366" s="591"/>
      <c r="O366" s="591"/>
      <c r="P366" s="591"/>
      <c r="Q366" s="591"/>
      <c r="R366" s="591"/>
      <c r="S366" s="591"/>
      <c r="T366" s="591"/>
      <c r="U366" s="591"/>
      <c r="V366" s="591"/>
      <c r="W366" s="591"/>
      <c r="X366" s="591"/>
      <c r="Y366" s="591"/>
      <c r="Z366" s="591"/>
      <c r="AA366" s="591"/>
      <c r="AB366" s="591"/>
      <c r="AC366" s="591"/>
      <c r="AD366" s="591"/>
      <c r="AE366" s="591"/>
    </row>
    <row r="367" spans="1:31">
      <c r="A367" s="591"/>
      <c r="B367" s="591"/>
      <c r="C367" s="591"/>
      <c r="D367" s="591"/>
      <c r="E367" s="591"/>
      <c r="F367" s="591"/>
      <c r="G367" s="591"/>
      <c r="H367" s="591"/>
      <c r="I367" s="591"/>
      <c r="J367" s="591"/>
      <c r="K367" s="591"/>
      <c r="L367" s="591"/>
      <c r="M367" s="591"/>
      <c r="N367" s="591"/>
      <c r="O367" s="591"/>
      <c r="P367" s="591"/>
      <c r="Q367" s="591"/>
      <c r="R367" s="591"/>
      <c r="S367" s="591"/>
      <c r="T367" s="591"/>
      <c r="U367" s="591"/>
      <c r="V367" s="591"/>
      <c r="W367" s="591"/>
      <c r="X367" s="591"/>
      <c r="Y367" s="591"/>
      <c r="Z367" s="591"/>
      <c r="AA367" s="591"/>
      <c r="AB367" s="591"/>
      <c r="AC367" s="591"/>
      <c r="AD367" s="591"/>
      <c r="AE367" s="591"/>
    </row>
    <row r="368" spans="1:31">
      <c r="A368" s="591"/>
      <c r="B368" s="591"/>
      <c r="C368" s="591"/>
      <c r="D368" s="591"/>
      <c r="E368" s="591"/>
      <c r="F368" s="591"/>
      <c r="G368" s="591"/>
      <c r="H368" s="591"/>
      <c r="I368" s="591"/>
      <c r="J368" s="591"/>
      <c r="K368" s="591"/>
      <c r="L368" s="591"/>
      <c r="M368" s="591"/>
      <c r="N368" s="591"/>
      <c r="O368" s="591"/>
      <c r="P368" s="591"/>
      <c r="Q368" s="591"/>
      <c r="R368" s="591"/>
      <c r="S368" s="591"/>
      <c r="T368" s="591"/>
      <c r="U368" s="591"/>
      <c r="V368" s="591"/>
      <c r="W368" s="591"/>
      <c r="X368" s="591"/>
      <c r="Y368" s="591"/>
      <c r="Z368" s="591"/>
      <c r="AA368" s="591"/>
      <c r="AB368" s="591"/>
      <c r="AC368" s="591"/>
      <c r="AD368" s="591"/>
      <c r="AE368" s="591"/>
    </row>
    <row r="369" spans="1:31">
      <c r="A369" s="591"/>
      <c r="B369" s="591"/>
      <c r="C369" s="591"/>
      <c r="D369" s="591"/>
      <c r="E369" s="591"/>
      <c r="F369" s="591"/>
      <c r="G369" s="591"/>
      <c r="H369" s="591"/>
      <c r="I369" s="591"/>
      <c r="J369" s="591"/>
      <c r="K369" s="591"/>
      <c r="L369" s="591"/>
      <c r="M369" s="591"/>
      <c r="N369" s="591"/>
      <c r="O369" s="591"/>
      <c r="P369" s="591"/>
      <c r="Q369" s="591"/>
      <c r="R369" s="591"/>
      <c r="S369" s="591"/>
      <c r="T369" s="591"/>
      <c r="U369" s="591"/>
      <c r="V369" s="591"/>
      <c r="W369" s="591"/>
      <c r="X369" s="591"/>
      <c r="Y369" s="591"/>
      <c r="Z369" s="591"/>
      <c r="AA369" s="591"/>
      <c r="AB369" s="591"/>
      <c r="AC369" s="591"/>
      <c r="AD369" s="591"/>
      <c r="AE369" s="591"/>
    </row>
    <row r="370" spans="1:31">
      <c r="A370" s="591"/>
      <c r="B370" s="591"/>
      <c r="C370" s="591"/>
      <c r="D370" s="591"/>
      <c r="E370" s="591"/>
      <c r="F370" s="591"/>
      <c r="G370" s="591"/>
      <c r="H370" s="591"/>
      <c r="I370" s="591"/>
      <c r="J370" s="591"/>
      <c r="K370" s="591"/>
      <c r="L370" s="591"/>
      <c r="M370" s="591"/>
      <c r="N370" s="591"/>
      <c r="O370" s="591"/>
      <c r="P370" s="591"/>
      <c r="Q370" s="591"/>
      <c r="R370" s="591"/>
      <c r="S370" s="591"/>
      <c r="T370" s="591"/>
      <c r="U370" s="591"/>
      <c r="V370" s="591"/>
      <c r="W370" s="591"/>
      <c r="X370" s="591"/>
      <c r="Y370" s="591"/>
      <c r="Z370" s="591"/>
      <c r="AA370" s="591"/>
      <c r="AB370" s="591"/>
      <c r="AC370" s="591"/>
      <c r="AD370" s="591"/>
      <c r="AE370" s="591"/>
    </row>
    <row r="371" spans="1:31">
      <c r="A371" s="591"/>
      <c r="B371" s="591"/>
      <c r="C371" s="591"/>
      <c r="D371" s="591"/>
      <c r="E371" s="591"/>
      <c r="F371" s="591"/>
      <c r="G371" s="591"/>
      <c r="H371" s="591"/>
      <c r="I371" s="591"/>
      <c r="J371" s="591"/>
      <c r="K371" s="591"/>
      <c r="L371" s="591"/>
      <c r="M371" s="591"/>
      <c r="N371" s="591"/>
      <c r="O371" s="591"/>
      <c r="P371" s="591"/>
      <c r="Q371" s="591"/>
      <c r="R371" s="591"/>
      <c r="S371" s="591"/>
      <c r="T371" s="591"/>
      <c r="U371" s="591"/>
      <c r="V371" s="591"/>
      <c r="W371" s="591"/>
      <c r="X371" s="591"/>
      <c r="Y371" s="591"/>
      <c r="Z371" s="591"/>
      <c r="AA371" s="591"/>
      <c r="AB371" s="591"/>
      <c r="AC371" s="591"/>
      <c r="AD371" s="591"/>
      <c r="AE371" s="591"/>
    </row>
    <row r="372" spans="1:31">
      <c r="A372" s="591"/>
      <c r="B372" s="591"/>
      <c r="C372" s="591"/>
      <c r="D372" s="591"/>
      <c r="E372" s="591"/>
      <c r="F372" s="591"/>
      <c r="G372" s="591"/>
      <c r="H372" s="591"/>
      <c r="I372" s="591"/>
      <c r="J372" s="591"/>
      <c r="K372" s="591"/>
      <c r="L372" s="591"/>
      <c r="M372" s="591"/>
      <c r="N372" s="591"/>
      <c r="O372" s="591"/>
      <c r="P372" s="591"/>
      <c r="Q372" s="591"/>
      <c r="R372" s="591"/>
      <c r="S372" s="591"/>
      <c r="T372" s="591"/>
      <c r="U372" s="591"/>
      <c r="V372" s="591"/>
      <c r="W372" s="591"/>
      <c r="X372" s="591"/>
      <c r="Y372" s="591"/>
      <c r="Z372" s="591"/>
      <c r="AA372" s="591"/>
      <c r="AB372" s="591"/>
      <c r="AC372" s="591"/>
      <c r="AD372" s="591"/>
      <c r="AE372" s="591"/>
    </row>
    <row r="373" spans="1:31">
      <c r="A373" s="591"/>
      <c r="B373" s="591"/>
      <c r="C373" s="591"/>
      <c r="D373" s="591"/>
      <c r="E373" s="591"/>
      <c r="F373" s="591"/>
      <c r="G373" s="591"/>
      <c r="H373" s="591"/>
      <c r="I373" s="591"/>
      <c r="J373" s="591"/>
      <c r="K373" s="591"/>
      <c r="L373" s="591"/>
      <c r="M373" s="591"/>
      <c r="N373" s="591"/>
      <c r="O373" s="591"/>
      <c r="P373" s="591"/>
      <c r="Q373" s="591"/>
      <c r="R373" s="591"/>
      <c r="S373" s="591"/>
      <c r="T373" s="591"/>
      <c r="U373" s="591"/>
      <c r="V373" s="591"/>
      <c r="W373" s="591"/>
      <c r="X373" s="591"/>
      <c r="Y373" s="591"/>
      <c r="Z373" s="591"/>
      <c r="AA373" s="591"/>
      <c r="AB373" s="591"/>
      <c r="AC373" s="591"/>
      <c r="AD373" s="591"/>
      <c r="AE373" s="591"/>
    </row>
    <row r="374" spans="1:31">
      <c r="A374" s="591"/>
      <c r="B374" s="591"/>
      <c r="C374" s="591"/>
      <c r="D374" s="591"/>
      <c r="E374" s="591"/>
      <c r="F374" s="591"/>
      <c r="G374" s="591"/>
      <c r="H374" s="591"/>
      <c r="I374" s="591"/>
      <c r="J374" s="591"/>
      <c r="K374" s="591"/>
      <c r="L374" s="591"/>
      <c r="M374" s="591"/>
      <c r="N374" s="591"/>
      <c r="O374" s="591"/>
      <c r="P374" s="591"/>
      <c r="Q374" s="591"/>
      <c r="R374" s="591"/>
      <c r="S374" s="591"/>
      <c r="T374" s="591"/>
      <c r="U374" s="591"/>
      <c r="V374" s="591"/>
      <c r="W374" s="591"/>
      <c r="X374" s="591"/>
      <c r="Y374" s="591"/>
      <c r="Z374" s="591"/>
      <c r="AA374" s="591"/>
      <c r="AB374" s="591"/>
      <c r="AC374" s="591"/>
      <c r="AD374" s="591"/>
      <c r="AE374" s="591"/>
    </row>
    <row r="375" spans="1:31">
      <c r="A375" s="591"/>
      <c r="B375" s="591"/>
      <c r="C375" s="591"/>
      <c r="D375" s="591"/>
      <c r="E375" s="591"/>
      <c r="F375" s="591"/>
      <c r="G375" s="591"/>
      <c r="H375" s="591"/>
      <c r="I375" s="591"/>
      <c r="J375" s="591"/>
      <c r="K375" s="591"/>
      <c r="L375" s="591"/>
      <c r="M375" s="591"/>
      <c r="N375" s="591"/>
      <c r="O375" s="591"/>
      <c r="P375" s="591"/>
      <c r="Q375" s="591"/>
      <c r="R375" s="591"/>
      <c r="S375" s="591"/>
      <c r="T375" s="591"/>
      <c r="U375" s="591"/>
      <c r="V375" s="591"/>
      <c r="W375" s="591"/>
      <c r="X375" s="591"/>
      <c r="Y375" s="591"/>
      <c r="Z375" s="591"/>
      <c r="AA375" s="591"/>
      <c r="AB375" s="591"/>
      <c r="AC375" s="591"/>
      <c r="AD375" s="591"/>
      <c r="AE375" s="591"/>
    </row>
    <row r="376" spans="1:31">
      <c r="A376" s="591"/>
      <c r="B376" s="591"/>
      <c r="C376" s="591"/>
      <c r="D376" s="591"/>
      <c r="E376" s="591"/>
      <c r="F376" s="591"/>
      <c r="G376" s="591"/>
      <c r="H376" s="591"/>
      <c r="I376" s="591"/>
      <c r="J376" s="591"/>
      <c r="K376" s="591"/>
      <c r="L376" s="591"/>
      <c r="M376" s="591"/>
      <c r="N376" s="591"/>
      <c r="O376" s="591"/>
      <c r="P376" s="591"/>
      <c r="Q376" s="591"/>
      <c r="R376" s="591"/>
      <c r="S376" s="591"/>
      <c r="T376" s="591"/>
      <c r="U376" s="591"/>
      <c r="V376" s="591"/>
      <c r="W376" s="591"/>
      <c r="X376" s="591"/>
      <c r="Y376" s="591"/>
      <c r="Z376" s="591"/>
      <c r="AA376" s="591"/>
      <c r="AB376" s="591"/>
      <c r="AC376" s="591"/>
      <c r="AD376" s="591"/>
      <c r="AE376" s="591"/>
    </row>
    <row r="377" spans="1:31">
      <c r="A377" s="591"/>
      <c r="B377" s="591"/>
      <c r="C377" s="591"/>
      <c r="D377" s="591"/>
      <c r="E377" s="591"/>
      <c r="F377" s="591"/>
      <c r="G377" s="591"/>
      <c r="H377" s="591"/>
      <c r="I377" s="591"/>
      <c r="J377" s="591"/>
      <c r="K377" s="591"/>
      <c r="L377" s="591"/>
      <c r="M377" s="591"/>
      <c r="N377" s="591"/>
      <c r="O377" s="591"/>
      <c r="P377" s="591"/>
      <c r="Q377" s="591"/>
      <c r="R377" s="591"/>
      <c r="S377" s="591"/>
      <c r="T377" s="591"/>
      <c r="U377" s="591"/>
      <c r="V377" s="591"/>
      <c r="W377" s="591"/>
      <c r="X377" s="591"/>
      <c r="Y377" s="591"/>
      <c r="Z377" s="591"/>
      <c r="AA377" s="591"/>
      <c r="AB377" s="591"/>
      <c r="AC377" s="591"/>
      <c r="AD377" s="591"/>
      <c r="AE377" s="591"/>
    </row>
    <row r="378" spans="1:31">
      <c r="A378" s="591"/>
      <c r="B378" s="591"/>
      <c r="C378" s="591"/>
      <c r="D378" s="591"/>
      <c r="E378" s="591"/>
      <c r="F378" s="591"/>
      <c r="G378" s="591"/>
      <c r="H378" s="591"/>
      <c r="I378" s="591"/>
      <c r="J378" s="591"/>
      <c r="K378" s="591"/>
      <c r="L378" s="591"/>
      <c r="M378" s="591"/>
      <c r="N378" s="591"/>
      <c r="O378" s="591"/>
      <c r="P378" s="591"/>
      <c r="Q378" s="591"/>
      <c r="R378" s="591"/>
      <c r="S378" s="591"/>
      <c r="T378" s="591"/>
      <c r="U378" s="591"/>
      <c r="V378" s="591"/>
      <c r="W378" s="591"/>
      <c r="X378" s="591"/>
      <c r="Y378" s="591"/>
      <c r="Z378" s="591"/>
      <c r="AA378" s="591"/>
      <c r="AB378" s="591"/>
      <c r="AC378" s="591"/>
      <c r="AD378" s="591"/>
      <c r="AE378" s="591"/>
    </row>
    <row r="379" spans="1:31">
      <c r="A379" s="591"/>
      <c r="B379" s="591"/>
      <c r="C379" s="591"/>
      <c r="D379" s="591"/>
      <c r="E379" s="591"/>
      <c r="F379" s="591"/>
      <c r="G379" s="591"/>
      <c r="H379" s="591"/>
      <c r="I379" s="591"/>
      <c r="J379" s="591"/>
      <c r="K379" s="591"/>
      <c r="L379" s="591"/>
      <c r="M379" s="591"/>
      <c r="N379" s="591"/>
      <c r="O379" s="591"/>
      <c r="P379" s="591"/>
      <c r="Q379" s="591"/>
      <c r="R379" s="591"/>
      <c r="S379" s="591"/>
      <c r="T379" s="591"/>
      <c r="U379" s="591"/>
      <c r="V379" s="591"/>
      <c r="W379" s="591"/>
      <c r="X379" s="591"/>
      <c r="Y379" s="591"/>
      <c r="Z379" s="591"/>
      <c r="AA379" s="591"/>
      <c r="AB379" s="591"/>
      <c r="AC379" s="591"/>
      <c r="AD379" s="591"/>
      <c r="AE379" s="591"/>
    </row>
    <row r="380" spans="1:31">
      <c r="A380" s="591"/>
      <c r="B380" s="591"/>
      <c r="C380" s="591"/>
      <c r="D380" s="591"/>
      <c r="E380" s="591"/>
      <c r="F380" s="591"/>
      <c r="G380" s="591"/>
      <c r="H380" s="591"/>
      <c r="I380" s="591"/>
      <c r="J380" s="591"/>
      <c r="K380" s="591"/>
      <c r="L380" s="591"/>
      <c r="M380" s="591"/>
      <c r="N380" s="591"/>
      <c r="O380" s="591"/>
      <c r="P380" s="591"/>
      <c r="Q380" s="591"/>
      <c r="R380" s="591"/>
      <c r="S380" s="591"/>
      <c r="T380" s="591"/>
      <c r="U380" s="591"/>
      <c r="V380" s="591"/>
      <c r="W380" s="591"/>
      <c r="X380" s="591"/>
      <c r="Y380" s="591"/>
      <c r="Z380" s="591"/>
      <c r="AA380" s="591"/>
      <c r="AB380" s="591"/>
      <c r="AC380" s="591"/>
      <c r="AD380" s="591"/>
      <c r="AE380" s="591"/>
    </row>
    <row r="381" spans="1:31">
      <c r="A381" s="591"/>
      <c r="B381" s="591"/>
      <c r="C381" s="591"/>
      <c r="D381" s="591"/>
      <c r="E381" s="591"/>
      <c r="F381" s="591"/>
      <c r="G381" s="591"/>
      <c r="H381" s="591"/>
      <c r="I381" s="591"/>
      <c r="J381" s="591"/>
      <c r="K381" s="591"/>
      <c r="L381" s="591"/>
      <c r="M381" s="591"/>
      <c r="N381" s="591"/>
      <c r="O381" s="591"/>
      <c r="P381" s="591"/>
      <c r="Q381" s="591"/>
      <c r="R381" s="591"/>
      <c r="S381" s="591"/>
      <c r="T381" s="591"/>
      <c r="U381" s="591"/>
      <c r="V381" s="591"/>
      <c r="W381" s="591"/>
      <c r="X381" s="591"/>
      <c r="Y381" s="591"/>
      <c r="Z381" s="591"/>
      <c r="AA381" s="591"/>
      <c r="AB381" s="591"/>
      <c r="AC381" s="591"/>
      <c r="AD381" s="591"/>
      <c r="AE381" s="591"/>
    </row>
    <row r="382" spans="1:31">
      <c r="A382" s="591"/>
      <c r="B382" s="591"/>
      <c r="C382" s="591"/>
      <c r="D382" s="591"/>
      <c r="E382" s="591"/>
      <c r="F382" s="591"/>
      <c r="G382" s="591"/>
      <c r="H382" s="591"/>
      <c r="I382" s="591"/>
      <c r="J382" s="591"/>
      <c r="K382" s="591"/>
      <c r="L382" s="591"/>
      <c r="M382" s="591"/>
      <c r="N382" s="591"/>
      <c r="O382" s="591"/>
      <c r="P382" s="591"/>
      <c r="Q382" s="591"/>
      <c r="R382" s="591"/>
      <c r="S382" s="591"/>
      <c r="T382" s="591"/>
      <c r="U382" s="591"/>
      <c r="V382" s="591"/>
      <c r="W382" s="591"/>
      <c r="X382" s="591"/>
      <c r="Y382" s="591"/>
      <c r="Z382" s="591"/>
      <c r="AA382" s="591"/>
      <c r="AB382" s="591"/>
      <c r="AC382" s="591"/>
      <c r="AD382" s="591"/>
      <c r="AE382" s="591"/>
    </row>
    <row r="383" spans="1:31">
      <c r="A383" s="591"/>
      <c r="B383" s="591"/>
      <c r="C383" s="591"/>
      <c r="D383" s="591"/>
      <c r="E383" s="591"/>
      <c r="F383" s="591"/>
      <c r="G383" s="591"/>
      <c r="H383" s="591"/>
      <c r="I383" s="591"/>
      <c r="J383" s="591"/>
      <c r="K383" s="591"/>
      <c r="L383" s="591"/>
      <c r="M383" s="591"/>
      <c r="N383" s="591"/>
      <c r="O383" s="591"/>
      <c r="P383" s="591"/>
      <c r="Q383" s="591"/>
      <c r="R383" s="591"/>
      <c r="S383" s="591"/>
      <c r="T383" s="591"/>
      <c r="U383" s="591"/>
      <c r="V383" s="591"/>
      <c r="W383" s="591"/>
      <c r="X383" s="591"/>
      <c r="Y383" s="591"/>
      <c r="Z383" s="591"/>
      <c r="AA383" s="591"/>
      <c r="AB383" s="591"/>
      <c r="AC383" s="591"/>
      <c r="AD383" s="591"/>
      <c r="AE383" s="591"/>
    </row>
    <row r="384" spans="1:31">
      <c r="A384" s="591"/>
      <c r="B384" s="591"/>
      <c r="C384" s="591"/>
      <c r="D384" s="591"/>
      <c r="E384" s="591"/>
      <c r="F384" s="591"/>
      <c r="G384" s="591"/>
      <c r="H384" s="591"/>
      <c r="I384" s="591"/>
      <c r="J384" s="591"/>
      <c r="K384" s="591"/>
      <c r="L384" s="591"/>
      <c r="M384" s="591"/>
      <c r="N384" s="591"/>
      <c r="O384" s="591"/>
      <c r="P384" s="591"/>
      <c r="Q384" s="591"/>
      <c r="R384" s="591"/>
      <c r="S384" s="591"/>
      <c r="T384" s="591"/>
      <c r="U384" s="591"/>
      <c r="V384" s="591"/>
      <c r="W384" s="591"/>
      <c r="X384" s="591"/>
      <c r="Y384" s="591"/>
      <c r="Z384" s="591"/>
      <c r="AA384" s="591"/>
      <c r="AB384" s="591"/>
      <c r="AC384" s="591"/>
      <c r="AD384" s="591"/>
      <c r="AE384" s="591"/>
    </row>
    <row r="385" spans="1:31">
      <c r="A385" s="591"/>
      <c r="B385" s="591"/>
      <c r="C385" s="591"/>
      <c r="D385" s="591"/>
      <c r="E385" s="591"/>
      <c r="F385" s="591"/>
      <c r="G385" s="591"/>
      <c r="H385" s="591"/>
      <c r="I385" s="591"/>
      <c r="J385" s="591"/>
      <c r="K385" s="591"/>
      <c r="L385" s="591"/>
      <c r="M385" s="591"/>
      <c r="N385" s="591"/>
      <c r="O385" s="591"/>
      <c r="P385" s="591"/>
      <c r="Q385" s="591"/>
      <c r="R385" s="591"/>
      <c r="S385" s="591"/>
      <c r="T385" s="591"/>
      <c r="U385" s="591"/>
      <c r="V385" s="591"/>
      <c r="W385" s="591"/>
      <c r="X385" s="591"/>
      <c r="Y385" s="591"/>
      <c r="Z385" s="591"/>
      <c r="AA385" s="591"/>
      <c r="AB385" s="591"/>
      <c r="AC385" s="591"/>
      <c r="AD385" s="591"/>
      <c r="AE385" s="591"/>
    </row>
    <row r="386" spans="1:31">
      <c r="A386" s="591"/>
      <c r="B386" s="591"/>
      <c r="C386" s="591"/>
      <c r="D386" s="591"/>
      <c r="E386" s="591"/>
      <c r="F386" s="591"/>
      <c r="G386" s="591"/>
      <c r="H386" s="591"/>
      <c r="I386" s="591"/>
      <c r="J386" s="591"/>
      <c r="K386" s="591"/>
      <c r="L386" s="591"/>
      <c r="M386" s="591"/>
      <c r="N386" s="591"/>
      <c r="O386" s="591"/>
      <c r="P386" s="591"/>
      <c r="Q386" s="591"/>
      <c r="R386" s="591"/>
      <c r="S386" s="591"/>
      <c r="T386" s="591"/>
      <c r="U386" s="591"/>
      <c r="V386" s="591"/>
      <c r="W386" s="591"/>
      <c r="X386" s="591"/>
      <c r="Y386" s="591"/>
      <c r="Z386" s="591"/>
      <c r="AA386" s="591"/>
      <c r="AB386" s="591"/>
      <c r="AC386" s="591"/>
      <c r="AD386" s="591"/>
      <c r="AE386" s="591"/>
    </row>
    <row r="387" spans="1:31">
      <c r="A387" s="591"/>
      <c r="B387" s="591"/>
      <c r="C387" s="591"/>
      <c r="D387" s="591"/>
      <c r="E387" s="591"/>
      <c r="F387" s="591"/>
      <c r="G387" s="591"/>
      <c r="H387" s="591"/>
      <c r="I387" s="591"/>
      <c r="J387" s="591"/>
      <c r="K387" s="591"/>
      <c r="L387" s="591"/>
      <c r="M387" s="591"/>
      <c r="N387" s="591"/>
      <c r="O387" s="591"/>
      <c r="P387" s="591"/>
      <c r="Q387" s="591"/>
      <c r="R387" s="591"/>
      <c r="S387" s="591"/>
      <c r="T387" s="591"/>
      <c r="U387" s="591"/>
      <c r="V387" s="591"/>
      <c r="W387" s="591"/>
      <c r="X387" s="591"/>
      <c r="Y387" s="591"/>
      <c r="Z387" s="591"/>
      <c r="AA387" s="591"/>
      <c r="AB387" s="591"/>
      <c r="AC387" s="591"/>
      <c r="AD387" s="591"/>
      <c r="AE387" s="591"/>
    </row>
    <row r="388" spans="1:31">
      <c r="A388" s="591"/>
      <c r="B388" s="591"/>
      <c r="C388" s="591"/>
      <c r="D388" s="591"/>
      <c r="E388" s="591"/>
      <c r="F388" s="591"/>
      <c r="G388" s="591"/>
      <c r="H388" s="591"/>
      <c r="I388" s="591"/>
      <c r="J388" s="591"/>
      <c r="K388" s="591"/>
      <c r="L388" s="591"/>
      <c r="M388" s="591"/>
      <c r="N388" s="591"/>
      <c r="O388" s="591"/>
      <c r="P388" s="591"/>
      <c r="Q388" s="591"/>
      <c r="R388" s="591"/>
      <c r="S388" s="591"/>
      <c r="T388" s="591"/>
      <c r="U388" s="591"/>
      <c r="V388" s="591"/>
      <c r="W388" s="591"/>
      <c r="X388" s="591"/>
      <c r="Y388" s="591"/>
      <c r="Z388" s="591"/>
      <c r="AA388" s="591"/>
      <c r="AB388" s="591"/>
      <c r="AC388" s="591"/>
      <c r="AD388" s="591"/>
      <c r="AE388" s="591"/>
    </row>
    <row r="389" spans="1:31">
      <c r="A389" s="591"/>
      <c r="B389" s="591"/>
      <c r="C389" s="591"/>
      <c r="D389" s="591"/>
      <c r="E389" s="591"/>
      <c r="F389" s="591"/>
      <c r="G389" s="591"/>
      <c r="H389" s="591"/>
      <c r="I389" s="591"/>
      <c r="J389" s="591"/>
      <c r="K389" s="591"/>
      <c r="L389" s="591"/>
      <c r="M389" s="591"/>
      <c r="N389" s="591"/>
      <c r="O389" s="591"/>
      <c r="P389" s="591"/>
      <c r="Q389" s="591"/>
      <c r="R389" s="591"/>
      <c r="S389" s="591"/>
      <c r="T389" s="591"/>
      <c r="U389" s="591"/>
      <c r="V389" s="591"/>
      <c r="W389" s="591"/>
      <c r="X389" s="591"/>
      <c r="Y389" s="591"/>
      <c r="Z389" s="591"/>
      <c r="AA389" s="591"/>
      <c r="AB389" s="591"/>
      <c r="AC389" s="591"/>
      <c r="AD389" s="591"/>
      <c r="AE389" s="591"/>
    </row>
    <row r="390" spans="1:31">
      <c r="A390" s="591"/>
      <c r="B390" s="591"/>
      <c r="C390" s="591"/>
      <c r="D390" s="591"/>
      <c r="E390" s="591"/>
      <c r="F390" s="591"/>
      <c r="G390" s="591"/>
      <c r="H390" s="591"/>
      <c r="I390" s="591"/>
      <c r="J390" s="591"/>
      <c r="K390" s="591"/>
      <c r="L390" s="591"/>
      <c r="M390" s="591"/>
      <c r="N390" s="591"/>
      <c r="O390" s="591"/>
      <c r="P390" s="591"/>
      <c r="Q390" s="591"/>
      <c r="R390" s="591"/>
      <c r="S390" s="591"/>
      <c r="T390" s="591"/>
      <c r="U390" s="591"/>
      <c r="V390" s="591"/>
      <c r="W390" s="591"/>
      <c r="X390" s="591"/>
      <c r="Y390" s="591"/>
      <c r="Z390" s="591"/>
      <c r="AA390" s="591"/>
      <c r="AB390" s="591"/>
      <c r="AC390" s="591"/>
      <c r="AD390" s="591"/>
      <c r="AE390" s="591"/>
    </row>
    <row r="391" spans="1:31">
      <c r="A391" s="591"/>
      <c r="B391" s="591"/>
      <c r="C391" s="591"/>
      <c r="D391" s="591"/>
      <c r="E391" s="591"/>
      <c r="F391" s="591"/>
      <c r="G391" s="591"/>
      <c r="H391" s="591"/>
      <c r="I391" s="591"/>
      <c r="J391" s="591"/>
      <c r="K391" s="591"/>
      <c r="L391" s="591"/>
      <c r="M391" s="591"/>
      <c r="N391" s="591"/>
      <c r="O391" s="591"/>
      <c r="P391" s="591"/>
      <c r="Q391" s="591"/>
      <c r="R391" s="591"/>
      <c r="S391" s="591"/>
      <c r="T391" s="591"/>
      <c r="U391" s="591"/>
      <c r="V391" s="591"/>
      <c r="W391" s="591"/>
      <c r="X391" s="591"/>
      <c r="Y391" s="591"/>
      <c r="Z391" s="591"/>
      <c r="AA391" s="591"/>
      <c r="AB391" s="591"/>
      <c r="AC391" s="591"/>
      <c r="AD391" s="591"/>
      <c r="AE391" s="591"/>
    </row>
    <row r="392" spans="1:31">
      <c r="A392" s="591"/>
      <c r="B392" s="591"/>
      <c r="C392" s="591"/>
      <c r="D392" s="591"/>
      <c r="E392" s="591"/>
      <c r="F392" s="591"/>
      <c r="G392" s="591"/>
      <c r="H392" s="591"/>
      <c r="I392" s="591"/>
      <c r="J392" s="591"/>
      <c r="K392" s="591"/>
      <c r="L392" s="591"/>
      <c r="M392" s="591"/>
      <c r="N392" s="591"/>
      <c r="O392" s="591"/>
      <c r="P392" s="591"/>
      <c r="Q392" s="591"/>
      <c r="R392" s="591"/>
      <c r="S392" s="591"/>
      <c r="T392" s="591"/>
      <c r="U392" s="591"/>
      <c r="V392" s="591"/>
      <c r="W392" s="591"/>
      <c r="X392" s="591"/>
      <c r="Y392" s="591"/>
      <c r="Z392" s="591"/>
      <c r="AA392" s="591"/>
      <c r="AB392" s="591"/>
      <c r="AC392" s="591"/>
      <c r="AD392" s="591"/>
      <c r="AE392" s="591"/>
    </row>
    <row r="393" spans="1:31">
      <c r="A393" s="591"/>
      <c r="B393" s="591"/>
      <c r="C393" s="591"/>
      <c r="D393" s="591"/>
      <c r="E393" s="591"/>
      <c r="F393" s="591"/>
      <c r="G393" s="591"/>
      <c r="H393" s="591"/>
      <c r="I393" s="591"/>
      <c r="J393" s="591"/>
      <c r="K393" s="591"/>
      <c r="L393" s="591"/>
      <c r="M393" s="591"/>
      <c r="N393" s="591"/>
      <c r="O393" s="591"/>
      <c r="P393" s="591"/>
      <c r="Q393" s="591"/>
      <c r="R393" s="591"/>
      <c r="S393" s="591"/>
      <c r="T393" s="591"/>
      <c r="U393" s="591"/>
      <c r="V393" s="591"/>
      <c r="W393" s="591"/>
      <c r="X393" s="591"/>
      <c r="Y393" s="591"/>
      <c r="Z393" s="591"/>
      <c r="AA393" s="591"/>
      <c r="AB393" s="591"/>
      <c r="AC393" s="591"/>
      <c r="AD393" s="591"/>
      <c r="AE393" s="591"/>
    </row>
    <row r="394" spans="1:31">
      <c r="A394" s="591"/>
      <c r="B394" s="591"/>
      <c r="C394" s="591"/>
      <c r="D394" s="591"/>
      <c r="E394" s="591"/>
      <c r="F394" s="591"/>
      <c r="G394" s="591"/>
      <c r="H394" s="591"/>
      <c r="I394" s="591"/>
      <c r="J394" s="591"/>
      <c r="K394" s="591"/>
      <c r="L394" s="591"/>
      <c r="M394" s="591"/>
      <c r="N394" s="591"/>
      <c r="O394" s="591"/>
      <c r="P394" s="591"/>
      <c r="Q394" s="591"/>
      <c r="R394" s="591"/>
      <c r="S394" s="591"/>
      <c r="T394" s="591"/>
      <c r="U394" s="591"/>
      <c r="V394" s="591"/>
      <c r="W394" s="591"/>
      <c r="X394" s="591"/>
      <c r="Y394" s="591"/>
      <c r="Z394" s="591"/>
      <c r="AA394" s="591"/>
      <c r="AB394" s="591"/>
      <c r="AC394" s="591"/>
      <c r="AD394" s="591"/>
      <c r="AE394" s="591"/>
    </row>
    <row r="395" spans="1:31">
      <c r="A395" s="591"/>
      <c r="B395" s="591"/>
      <c r="C395" s="591"/>
      <c r="D395" s="591"/>
      <c r="E395" s="591"/>
      <c r="F395" s="591"/>
      <c r="G395" s="591"/>
      <c r="H395" s="591"/>
      <c r="I395" s="591"/>
      <c r="J395" s="591"/>
      <c r="K395" s="591"/>
      <c r="L395" s="591"/>
      <c r="M395" s="591"/>
      <c r="N395" s="591"/>
      <c r="O395" s="591"/>
      <c r="P395" s="591"/>
      <c r="Q395" s="591"/>
      <c r="R395" s="591"/>
      <c r="S395" s="591"/>
      <c r="T395" s="591"/>
      <c r="U395" s="591"/>
      <c r="V395" s="591"/>
      <c r="W395" s="591"/>
      <c r="X395" s="591"/>
      <c r="Y395" s="591"/>
      <c r="Z395" s="591"/>
      <c r="AA395" s="591"/>
      <c r="AB395" s="591"/>
      <c r="AC395" s="591"/>
      <c r="AD395" s="591"/>
      <c r="AE395" s="591"/>
    </row>
    <row r="396" spans="1:31">
      <c r="A396" s="591"/>
      <c r="B396" s="591"/>
      <c r="C396" s="591"/>
      <c r="D396" s="591"/>
      <c r="E396" s="591"/>
      <c r="F396" s="591"/>
      <c r="G396" s="591"/>
      <c r="H396" s="591"/>
      <c r="I396" s="591"/>
      <c r="J396" s="591"/>
      <c r="K396" s="591"/>
      <c r="L396" s="591"/>
      <c r="M396" s="591"/>
      <c r="N396" s="591"/>
      <c r="O396" s="591"/>
      <c r="P396" s="591"/>
      <c r="Q396" s="591"/>
      <c r="R396" s="591"/>
      <c r="S396" s="591"/>
      <c r="T396" s="591"/>
      <c r="U396" s="591"/>
      <c r="V396" s="591"/>
      <c r="W396" s="591"/>
      <c r="X396" s="591"/>
      <c r="Y396" s="591"/>
      <c r="Z396" s="591"/>
      <c r="AA396" s="591"/>
      <c r="AB396" s="591"/>
      <c r="AC396" s="591"/>
      <c r="AD396" s="591"/>
      <c r="AE396" s="591"/>
    </row>
    <row r="397" spans="1:31">
      <c r="A397" s="591"/>
      <c r="B397" s="591"/>
      <c r="C397" s="591"/>
      <c r="D397" s="591"/>
      <c r="E397" s="591"/>
      <c r="F397" s="591"/>
      <c r="G397" s="591"/>
      <c r="H397" s="591"/>
      <c r="I397" s="591"/>
      <c r="J397" s="591"/>
      <c r="K397" s="591"/>
      <c r="L397" s="591"/>
      <c r="M397" s="591"/>
      <c r="N397" s="591"/>
      <c r="O397" s="591"/>
      <c r="P397" s="591"/>
      <c r="Q397" s="591"/>
      <c r="R397" s="591"/>
      <c r="S397" s="591"/>
      <c r="T397" s="591"/>
      <c r="U397" s="591"/>
      <c r="V397" s="591"/>
      <c r="W397" s="591"/>
      <c r="X397" s="591"/>
      <c r="Y397" s="591"/>
      <c r="Z397" s="591"/>
      <c r="AA397" s="591"/>
      <c r="AB397" s="591"/>
      <c r="AC397" s="591"/>
      <c r="AD397" s="591"/>
      <c r="AE397" s="591"/>
    </row>
    <row r="398" spans="1:31">
      <c r="A398" s="591"/>
      <c r="B398" s="591"/>
      <c r="C398" s="591"/>
      <c r="D398" s="591"/>
      <c r="E398" s="591"/>
      <c r="F398" s="591"/>
      <c r="G398" s="591"/>
      <c r="H398" s="591"/>
      <c r="I398" s="591"/>
      <c r="J398" s="591"/>
      <c r="K398" s="591"/>
      <c r="L398" s="591"/>
      <c r="M398" s="591"/>
      <c r="N398" s="591"/>
      <c r="O398" s="591"/>
      <c r="P398" s="591"/>
      <c r="Q398" s="591"/>
      <c r="R398" s="591"/>
      <c r="S398" s="591"/>
      <c r="T398" s="591"/>
      <c r="U398" s="591"/>
      <c r="V398" s="591"/>
      <c r="W398" s="591"/>
      <c r="X398" s="591"/>
      <c r="Y398" s="591"/>
      <c r="Z398" s="591"/>
      <c r="AA398" s="591"/>
      <c r="AB398" s="591"/>
      <c r="AC398" s="591"/>
      <c r="AD398" s="591"/>
      <c r="AE398" s="591"/>
    </row>
    <row r="399" spans="1:31">
      <c r="A399" s="591"/>
      <c r="B399" s="591"/>
      <c r="C399" s="591"/>
      <c r="D399" s="591"/>
      <c r="E399" s="591"/>
      <c r="F399" s="591"/>
      <c r="G399" s="591"/>
      <c r="H399" s="591"/>
      <c r="I399" s="591"/>
      <c r="J399" s="591"/>
      <c r="K399" s="591"/>
      <c r="L399" s="591"/>
      <c r="M399" s="591"/>
      <c r="N399" s="591"/>
      <c r="O399" s="591"/>
      <c r="P399" s="591"/>
      <c r="Q399" s="591"/>
      <c r="R399" s="591"/>
      <c r="S399" s="591"/>
      <c r="T399" s="591"/>
      <c r="U399" s="591"/>
      <c r="V399" s="591"/>
      <c r="W399" s="591"/>
      <c r="X399" s="591"/>
      <c r="Y399" s="591"/>
      <c r="Z399" s="591"/>
      <c r="AA399" s="591"/>
      <c r="AB399" s="591"/>
      <c r="AC399" s="591"/>
      <c r="AD399" s="591"/>
      <c r="AE399" s="591"/>
    </row>
    <row r="400" spans="1:31">
      <c r="A400" s="591"/>
      <c r="B400" s="591"/>
      <c r="C400" s="591"/>
      <c r="D400" s="591"/>
      <c r="E400" s="591"/>
      <c r="F400" s="591"/>
      <c r="G400" s="591"/>
      <c r="H400" s="591"/>
      <c r="I400" s="591"/>
      <c r="J400" s="591"/>
      <c r="K400" s="591"/>
      <c r="L400" s="591"/>
      <c r="M400" s="591"/>
      <c r="N400" s="591"/>
      <c r="O400" s="591"/>
      <c r="P400" s="591"/>
      <c r="Q400" s="591"/>
      <c r="R400" s="591"/>
      <c r="S400" s="591"/>
      <c r="T400" s="591"/>
      <c r="U400" s="591"/>
      <c r="V400" s="591"/>
      <c r="W400" s="591"/>
      <c r="X400" s="591"/>
      <c r="Y400" s="591"/>
      <c r="Z400" s="591"/>
      <c r="AA400" s="591"/>
      <c r="AB400" s="591"/>
      <c r="AC400" s="591"/>
      <c r="AD400" s="591"/>
      <c r="AE400" s="591"/>
    </row>
    <row r="401" spans="1:31">
      <c r="A401" s="591"/>
      <c r="B401" s="591"/>
      <c r="C401" s="591"/>
      <c r="D401" s="591"/>
      <c r="E401" s="591"/>
      <c r="F401" s="591"/>
      <c r="G401" s="591"/>
      <c r="H401" s="591"/>
      <c r="I401" s="591"/>
      <c r="J401" s="591"/>
      <c r="K401" s="591"/>
      <c r="L401" s="591"/>
      <c r="M401" s="591"/>
      <c r="N401" s="591"/>
      <c r="O401" s="591"/>
      <c r="P401" s="591"/>
      <c r="Q401" s="591"/>
      <c r="R401" s="591"/>
      <c r="S401" s="591"/>
      <c r="T401" s="591"/>
      <c r="U401" s="591"/>
      <c r="V401" s="591"/>
      <c r="W401" s="591"/>
      <c r="X401" s="591"/>
      <c r="Y401" s="591"/>
      <c r="Z401" s="591"/>
      <c r="AA401" s="591"/>
      <c r="AB401" s="591"/>
      <c r="AC401" s="591"/>
      <c r="AD401" s="591"/>
      <c r="AE401" s="591"/>
    </row>
    <row r="402" spans="1:31">
      <c r="A402" s="591"/>
      <c r="B402" s="591"/>
      <c r="C402" s="591"/>
      <c r="D402" s="591"/>
      <c r="E402" s="591"/>
      <c r="F402" s="591"/>
      <c r="G402" s="591"/>
      <c r="H402" s="591"/>
      <c r="I402" s="591"/>
      <c r="J402" s="591"/>
      <c r="K402" s="591"/>
      <c r="L402" s="591"/>
      <c r="M402" s="591"/>
      <c r="N402" s="591"/>
      <c r="O402" s="591"/>
      <c r="P402" s="591"/>
      <c r="Q402" s="591"/>
      <c r="R402" s="591"/>
      <c r="S402" s="591"/>
      <c r="T402" s="591"/>
      <c r="U402" s="591"/>
      <c r="V402" s="591"/>
      <c r="W402" s="591"/>
      <c r="X402" s="591"/>
      <c r="Y402" s="591"/>
      <c r="Z402" s="591"/>
      <c r="AA402" s="591"/>
      <c r="AB402" s="591"/>
      <c r="AC402" s="591"/>
      <c r="AD402" s="591"/>
      <c r="AE402" s="591"/>
    </row>
    <row r="403" spans="1:31">
      <c r="A403" s="591"/>
      <c r="B403" s="591"/>
      <c r="C403" s="591"/>
      <c r="D403" s="591"/>
      <c r="E403" s="591"/>
      <c r="F403" s="591"/>
      <c r="G403" s="591"/>
      <c r="H403" s="591"/>
      <c r="I403" s="591"/>
      <c r="J403" s="591"/>
      <c r="K403" s="591"/>
      <c r="L403" s="591"/>
      <c r="M403" s="591"/>
      <c r="N403" s="591"/>
      <c r="O403" s="591"/>
      <c r="P403" s="591"/>
      <c r="Q403" s="591"/>
      <c r="R403" s="591"/>
      <c r="S403" s="591"/>
      <c r="T403" s="591"/>
      <c r="U403" s="591"/>
      <c r="V403" s="591"/>
      <c r="W403" s="591"/>
      <c r="X403" s="591"/>
      <c r="Y403" s="591"/>
      <c r="Z403" s="591"/>
      <c r="AA403" s="591"/>
      <c r="AB403" s="591"/>
      <c r="AC403" s="591"/>
      <c r="AD403" s="591"/>
      <c r="AE403" s="591"/>
    </row>
    <row r="404" spans="1:31">
      <c r="A404" s="591"/>
      <c r="B404" s="591"/>
      <c r="C404" s="591"/>
      <c r="D404" s="591"/>
      <c r="E404" s="591"/>
      <c r="F404" s="591"/>
      <c r="G404" s="591"/>
      <c r="H404" s="591"/>
      <c r="I404" s="591"/>
      <c r="J404" s="591"/>
      <c r="K404" s="591"/>
      <c r="L404" s="591"/>
      <c r="M404" s="591"/>
      <c r="N404" s="591"/>
      <c r="O404" s="591"/>
      <c r="P404" s="591"/>
      <c r="Q404" s="591"/>
      <c r="R404" s="591"/>
      <c r="S404" s="591"/>
      <c r="T404" s="591"/>
      <c r="U404" s="591"/>
      <c r="V404" s="591"/>
      <c r="W404" s="591"/>
      <c r="X404" s="591"/>
      <c r="Y404" s="591"/>
      <c r="Z404" s="591"/>
      <c r="AA404" s="591"/>
      <c r="AB404" s="591"/>
      <c r="AC404" s="591"/>
      <c r="AD404" s="591"/>
      <c r="AE404" s="591"/>
    </row>
    <row r="405" spans="1:31">
      <c r="A405" s="591"/>
      <c r="B405" s="591"/>
      <c r="C405" s="591"/>
      <c r="D405" s="591"/>
      <c r="E405" s="591"/>
      <c r="F405" s="591"/>
      <c r="G405" s="591"/>
      <c r="H405" s="591"/>
      <c r="I405" s="591"/>
      <c r="J405" s="591"/>
      <c r="K405" s="591"/>
      <c r="L405" s="591"/>
      <c r="M405" s="591"/>
      <c r="N405" s="591"/>
      <c r="O405" s="591"/>
      <c r="P405" s="591"/>
      <c r="Q405" s="591"/>
      <c r="R405" s="591"/>
      <c r="S405" s="591"/>
      <c r="T405" s="591"/>
      <c r="U405" s="591"/>
      <c r="V405" s="591"/>
      <c r="W405" s="591"/>
      <c r="X405" s="591"/>
      <c r="Y405" s="591"/>
      <c r="Z405" s="591"/>
      <c r="AA405" s="591"/>
      <c r="AB405" s="591"/>
      <c r="AC405" s="591"/>
      <c r="AD405" s="591"/>
      <c r="AE405" s="591"/>
    </row>
    <row r="406" spans="1:31">
      <c r="A406" s="591"/>
      <c r="B406" s="591"/>
      <c r="C406" s="591"/>
      <c r="D406" s="591"/>
      <c r="E406" s="591"/>
      <c r="F406" s="591"/>
      <c r="G406" s="591"/>
      <c r="H406" s="591"/>
      <c r="I406" s="591"/>
      <c r="J406" s="591"/>
      <c r="K406" s="591"/>
      <c r="L406" s="591"/>
      <c r="M406" s="591"/>
      <c r="N406" s="591"/>
      <c r="O406" s="591"/>
      <c r="P406" s="591"/>
      <c r="Q406" s="591"/>
      <c r="R406" s="591"/>
      <c r="S406" s="591"/>
      <c r="T406" s="591"/>
      <c r="U406" s="591"/>
      <c r="V406" s="591"/>
      <c r="W406" s="591"/>
      <c r="X406" s="591"/>
      <c r="Y406" s="591"/>
      <c r="Z406" s="591"/>
      <c r="AA406" s="591"/>
      <c r="AB406" s="591"/>
      <c r="AC406" s="591"/>
      <c r="AD406" s="591"/>
      <c r="AE406" s="591"/>
    </row>
    <row r="407" spans="1:31">
      <c r="A407" s="591"/>
      <c r="B407" s="591"/>
      <c r="C407" s="591"/>
      <c r="D407" s="591"/>
      <c r="E407" s="591"/>
      <c r="F407" s="591"/>
      <c r="G407" s="591"/>
      <c r="H407" s="591"/>
      <c r="I407" s="591"/>
      <c r="J407" s="591"/>
      <c r="K407" s="591"/>
      <c r="L407" s="591"/>
      <c r="M407" s="591"/>
      <c r="N407" s="591"/>
      <c r="O407" s="591"/>
      <c r="P407" s="591"/>
      <c r="Q407" s="591"/>
      <c r="R407" s="591"/>
      <c r="S407" s="591"/>
      <c r="T407" s="591"/>
      <c r="U407" s="591"/>
      <c r="V407" s="591"/>
      <c r="W407" s="591"/>
      <c r="X407" s="591"/>
      <c r="Y407" s="591"/>
      <c r="Z407" s="591"/>
      <c r="AA407" s="591"/>
      <c r="AB407" s="591"/>
      <c r="AC407" s="591"/>
      <c r="AD407" s="591"/>
      <c r="AE407" s="591"/>
    </row>
    <row r="408" spans="1:31">
      <c r="A408" s="591"/>
      <c r="B408" s="591"/>
      <c r="C408" s="591"/>
      <c r="D408" s="591"/>
      <c r="E408" s="591"/>
      <c r="F408" s="591"/>
      <c r="G408" s="591"/>
      <c r="H408" s="591"/>
      <c r="I408" s="591"/>
      <c r="J408" s="591"/>
      <c r="K408" s="591"/>
      <c r="L408" s="591"/>
      <c r="M408" s="591"/>
      <c r="N408" s="591"/>
      <c r="O408" s="591"/>
      <c r="P408" s="591"/>
      <c r="Q408" s="591"/>
      <c r="R408" s="591"/>
      <c r="S408" s="591"/>
      <c r="T408" s="591"/>
      <c r="U408" s="591"/>
      <c r="V408" s="591"/>
      <c r="W408" s="591"/>
      <c r="X408" s="591"/>
      <c r="Y408" s="591"/>
      <c r="Z408" s="591"/>
      <c r="AA408" s="591"/>
      <c r="AB408" s="591"/>
      <c r="AC408" s="591"/>
      <c r="AD408" s="591"/>
      <c r="AE408" s="591"/>
    </row>
    <row r="409" spans="1:31">
      <c r="A409" s="591"/>
      <c r="B409" s="591"/>
      <c r="C409" s="591"/>
      <c r="D409" s="591"/>
      <c r="E409" s="591"/>
      <c r="F409" s="591"/>
      <c r="G409" s="591"/>
      <c r="H409" s="591"/>
      <c r="I409" s="591"/>
      <c r="J409" s="591"/>
      <c r="K409" s="591"/>
      <c r="L409" s="591"/>
      <c r="M409" s="591"/>
      <c r="N409" s="591"/>
      <c r="O409" s="591"/>
      <c r="P409" s="591"/>
      <c r="Q409" s="591"/>
      <c r="R409" s="591"/>
      <c r="S409" s="591"/>
      <c r="T409" s="591"/>
      <c r="U409" s="591"/>
      <c r="V409" s="591"/>
      <c r="W409" s="591"/>
      <c r="X409" s="591"/>
      <c r="Y409" s="591"/>
      <c r="Z409" s="591"/>
      <c r="AA409" s="591"/>
      <c r="AB409" s="591"/>
      <c r="AC409" s="591"/>
      <c r="AD409" s="591"/>
      <c r="AE409" s="591"/>
    </row>
    <row r="410" spans="1:31">
      <c r="A410" s="591"/>
      <c r="B410" s="591"/>
      <c r="C410" s="591"/>
      <c r="D410" s="591"/>
      <c r="E410" s="591"/>
      <c r="F410" s="591"/>
      <c r="G410" s="591"/>
      <c r="H410" s="591"/>
      <c r="I410" s="591"/>
      <c r="J410" s="591"/>
      <c r="K410" s="591"/>
      <c r="L410" s="591"/>
      <c r="M410" s="591"/>
      <c r="N410" s="591"/>
      <c r="O410" s="591"/>
      <c r="P410" s="591"/>
      <c r="Q410" s="591"/>
      <c r="R410" s="591"/>
      <c r="S410" s="591"/>
      <c r="T410" s="591"/>
      <c r="U410" s="591"/>
      <c r="V410" s="591"/>
      <c r="W410" s="591"/>
      <c r="X410" s="591"/>
      <c r="Y410" s="591"/>
      <c r="Z410" s="591"/>
      <c r="AA410" s="591"/>
      <c r="AB410" s="591"/>
      <c r="AC410" s="591"/>
      <c r="AD410" s="591"/>
      <c r="AE410" s="591"/>
    </row>
    <row r="411" spans="1:31">
      <c r="A411" s="591"/>
      <c r="B411" s="591"/>
      <c r="C411" s="591"/>
      <c r="D411" s="591"/>
      <c r="E411" s="591"/>
      <c r="F411" s="591"/>
      <c r="G411" s="591"/>
      <c r="H411" s="591"/>
      <c r="I411" s="591"/>
      <c r="J411" s="591"/>
      <c r="K411" s="591"/>
      <c r="L411" s="591"/>
      <c r="M411" s="591"/>
      <c r="N411" s="591"/>
      <c r="O411" s="591"/>
      <c r="P411" s="591"/>
      <c r="Q411" s="591"/>
      <c r="R411" s="591"/>
      <c r="S411" s="591"/>
      <c r="T411" s="591"/>
      <c r="U411" s="591"/>
      <c r="V411" s="591"/>
      <c r="W411" s="591"/>
      <c r="X411" s="591"/>
      <c r="Y411" s="591"/>
      <c r="Z411" s="591"/>
      <c r="AA411" s="591"/>
      <c r="AB411" s="591"/>
      <c r="AC411" s="591"/>
      <c r="AD411" s="591"/>
      <c r="AE411" s="591"/>
    </row>
    <row r="412" spans="1:31">
      <c r="A412" s="591"/>
      <c r="B412" s="591"/>
      <c r="C412" s="591"/>
      <c r="D412" s="591"/>
      <c r="E412" s="591"/>
      <c r="F412" s="591"/>
      <c r="G412" s="591"/>
      <c r="H412" s="591"/>
      <c r="I412" s="591"/>
      <c r="J412" s="591"/>
      <c r="K412" s="591"/>
      <c r="L412" s="591"/>
      <c r="M412" s="591"/>
      <c r="N412" s="591"/>
      <c r="O412" s="591"/>
      <c r="P412" s="591"/>
      <c r="Q412" s="591"/>
      <c r="R412" s="591"/>
      <c r="S412" s="591"/>
      <c r="T412" s="591"/>
      <c r="U412" s="591"/>
      <c r="V412" s="591"/>
      <c r="W412" s="591"/>
      <c r="X412" s="591"/>
      <c r="Y412" s="591"/>
      <c r="Z412" s="591"/>
      <c r="AA412" s="591"/>
      <c r="AB412" s="591"/>
      <c r="AC412" s="591"/>
      <c r="AD412" s="591"/>
      <c r="AE412" s="591"/>
    </row>
    <row r="413" spans="1:31">
      <c r="A413" s="591"/>
      <c r="B413" s="591"/>
      <c r="C413" s="591"/>
      <c r="D413" s="591"/>
      <c r="E413" s="591"/>
      <c r="F413" s="591"/>
      <c r="G413" s="591"/>
      <c r="H413" s="591"/>
      <c r="I413" s="591"/>
      <c r="J413" s="591"/>
      <c r="K413" s="591"/>
      <c r="L413" s="591"/>
      <c r="M413" s="591"/>
      <c r="N413" s="591"/>
      <c r="O413" s="591"/>
      <c r="P413" s="591"/>
      <c r="Q413" s="591"/>
      <c r="R413" s="591"/>
      <c r="S413" s="591"/>
      <c r="T413" s="591"/>
      <c r="U413" s="591"/>
      <c r="V413" s="591"/>
      <c r="W413" s="591"/>
      <c r="X413" s="591"/>
      <c r="Y413" s="591"/>
      <c r="Z413" s="591"/>
      <c r="AA413" s="591"/>
      <c r="AB413" s="591"/>
      <c r="AC413" s="591"/>
      <c r="AD413" s="591"/>
      <c r="AE413" s="591"/>
    </row>
    <row r="414" spans="1:31">
      <c r="A414" s="591"/>
      <c r="B414" s="591"/>
      <c r="C414" s="591"/>
      <c r="D414" s="591"/>
      <c r="E414" s="591"/>
      <c r="F414" s="591"/>
      <c r="G414" s="591"/>
      <c r="H414" s="591"/>
      <c r="I414" s="591"/>
      <c r="J414" s="591"/>
      <c r="K414" s="591"/>
      <c r="L414" s="591"/>
      <c r="M414" s="591"/>
      <c r="N414" s="591"/>
      <c r="O414" s="591"/>
      <c r="P414" s="591"/>
      <c r="Q414" s="591"/>
      <c r="R414" s="591"/>
      <c r="S414" s="591"/>
      <c r="T414" s="591"/>
      <c r="U414" s="591"/>
      <c r="V414" s="591"/>
      <c r="W414" s="591"/>
      <c r="X414" s="591"/>
      <c r="Y414" s="591"/>
      <c r="Z414" s="591"/>
      <c r="AA414" s="591"/>
      <c r="AB414" s="591"/>
      <c r="AC414" s="591"/>
      <c r="AD414" s="591"/>
      <c r="AE414" s="591"/>
    </row>
    <row r="415" spans="1:31">
      <c r="A415" s="591"/>
      <c r="B415" s="591"/>
      <c r="C415" s="591"/>
      <c r="D415" s="591"/>
      <c r="E415" s="591"/>
      <c r="F415" s="591"/>
      <c r="G415" s="591"/>
      <c r="H415" s="591"/>
      <c r="I415" s="591"/>
      <c r="J415" s="591"/>
      <c r="K415" s="591"/>
      <c r="L415" s="591"/>
      <c r="M415" s="591"/>
      <c r="N415" s="591"/>
      <c r="O415" s="591"/>
      <c r="P415" s="591"/>
      <c r="Q415" s="591"/>
      <c r="R415" s="591"/>
      <c r="S415" s="591"/>
      <c r="T415" s="591"/>
      <c r="U415" s="591"/>
      <c r="V415" s="591"/>
      <c r="W415" s="591"/>
      <c r="X415" s="591"/>
      <c r="Y415" s="591"/>
      <c r="Z415" s="591"/>
      <c r="AA415" s="591"/>
      <c r="AB415" s="591"/>
      <c r="AC415" s="591"/>
      <c r="AD415" s="591"/>
      <c r="AE415" s="591"/>
    </row>
    <row r="416" spans="1:31">
      <c r="A416" s="591"/>
      <c r="B416" s="591"/>
      <c r="C416" s="591"/>
      <c r="D416" s="591"/>
      <c r="E416" s="591"/>
      <c r="F416" s="591"/>
      <c r="G416" s="591"/>
      <c r="H416" s="591"/>
      <c r="I416" s="591"/>
      <c r="J416" s="591"/>
      <c r="K416" s="591"/>
      <c r="L416" s="591"/>
      <c r="M416" s="591"/>
      <c r="N416" s="591"/>
      <c r="O416" s="591"/>
      <c r="P416" s="591"/>
      <c r="Q416" s="591"/>
      <c r="R416" s="591"/>
      <c r="S416" s="591"/>
      <c r="T416" s="591"/>
      <c r="U416" s="591"/>
      <c r="V416" s="591"/>
      <c r="W416" s="591"/>
      <c r="X416" s="591"/>
      <c r="Y416" s="591"/>
      <c r="Z416" s="591"/>
      <c r="AA416" s="591"/>
      <c r="AB416" s="591"/>
      <c r="AC416" s="591"/>
      <c r="AD416" s="591"/>
      <c r="AE416" s="591"/>
    </row>
    <row r="417" spans="1:31">
      <c r="A417" s="591"/>
      <c r="B417" s="591"/>
      <c r="C417" s="591"/>
      <c r="D417" s="591"/>
      <c r="E417" s="591"/>
      <c r="F417" s="591"/>
      <c r="G417" s="591"/>
      <c r="H417" s="591"/>
      <c r="I417" s="591"/>
      <c r="J417" s="591"/>
      <c r="K417" s="591"/>
      <c r="L417" s="591"/>
      <c r="M417" s="591"/>
      <c r="N417" s="591"/>
      <c r="O417" s="591"/>
      <c r="P417" s="591"/>
      <c r="Q417" s="591"/>
      <c r="R417" s="591"/>
      <c r="S417" s="591"/>
      <c r="T417" s="591"/>
      <c r="U417" s="591"/>
      <c r="V417" s="591"/>
      <c r="W417" s="591"/>
      <c r="X417" s="591"/>
      <c r="Y417" s="591"/>
      <c r="Z417" s="591"/>
      <c r="AA417" s="591"/>
      <c r="AB417" s="591"/>
      <c r="AC417" s="591"/>
      <c r="AD417" s="591"/>
      <c r="AE417" s="591"/>
    </row>
    <row r="418" spans="1:31">
      <c r="A418" s="591"/>
      <c r="B418" s="591"/>
      <c r="C418" s="591"/>
      <c r="D418" s="591"/>
      <c r="E418" s="591"/>
      <c r="F418" s="591"/>
      <c r="G418" s="591"/>
      <c r="H418" s="591"/>
      <c r="I418" s="591"/>
      <c r="J418" s="591"/>
      <c r="K418" s="591"/>
      <c r="L418" s="591"/>
      <c r="M418" s="591"/>
      <c r="N418" s="591"/>
      <c r="O418" s="591"/>
      <c r="P418" s="591"/>
      <c r="Q418" s="591"/>
      <c r="R418" s="591"/>
      <c r="S418" s="591"/>
      <c r="T418" s="591"/>
      <c r="U418" s="591"/>
      <c r="V418" s="591"/>
      <c r="W418" s="591"/>
      <c r="X418" s="591"/>
      <c r="Y418" s="591"/>
      <c r="Z418" s="591"/>
      <c r="AA418" s="591"/>
      <c r="AB418" s="591"/>
      <c r="AC418" s="591"/>
      <c r="AD418" s="591"/>
      <c r="AE418" s="591"/>
    </row>
    <row r="419" spans="1:31">
      <c r="A419" s="591"/>
      <c r="B419" s="591"/>
      <c r="C419" s="591"/>
      <c r="D419" s="591"/>
      <c r="E419" s="591"/>
      <c r="F419" s="591"/>
      <c r="G419" s="591"/>
      <c r="H419" s="591"/>
      <c r="I419" s="591"/>
      <c r="J419" s="591"/>
      <c r="K419" s="591"/>
      <c r="L419" s="591"/>
      <c r="M419" s="591"/>
      <c r="N419" s="591"/>
      <c r="O419" s="591"/>
      <c r="P419" s="591"/>
      <c r="Q419" s="591"/>
      <c r="R419" s="591"/>
      <c r="S419" s="591"/>
      <c r="T419" s="591"/>
      <c r="U419" s="591"/>
      <c r="V419" s="591"/>
      <c r="W419" s="591"/>
      <c r="X419" s="591"/>
      <c r="Y419" s="591"/>
      <c r="Z419" s="591"/>
      <c r="AA419" s="591"/>
      <c r="AB419" s="591"/>
      <c r="AC419" s="591"/>
      <c r="AD419" s="591"/>
      <c r="AE419" s="591"/>
    </row>
    <row r="420" spans="1:31">
      <c r="A420" s="591"/>
      <c r="B420" s="591"/>
      <c r="C420" s="591"/>
      <c r="D420" s="591"/>
      <c r="E420" s="591"/>
      <c r="F420" s="591"/>
      <c r="G420" s="591"/>
      <c r="H420" s="591"/>
      <c r="I420" s="591"/>
      <c r="J420" s="591"/>
      <c r="K420" s="591"/>
      <c r="L420" s="591"/>
      <c r="M420" s="591"/>
      <c r="N420" s="591"/>
      <c r="O420" s="591"/>
      <c r="P420" s="591"/>
      <c r="Q420" s="591"/>
      <c r="R420" s="591"/>
      <c r="S420" s="591"/>
      <c r="T420" s="591"/>
      <c r="U420" s="591"/>
      <c r="V420" s="591"/>
      <c r="W420" s="591"/>
      <c r="X420" s="591"/>
      <c r="Y420" s="591"/>
      <c r="Z420" s="591"/>
      <c r="AA420" s="591"/>
      <c r="AB420" s="591"/>
      <c r="AC420" s="591"/>
      <c r="AD420" s="591"/>
      <c r="AE420" s="591"/>
    </row>
    <row r="421" spans="1:31">
      <c r="A421" s="591"/>
      <c r="B421" s="591"/>
      <c r="C421" s="591"/>
      <c r="D421" s="591"/>
      <c r="E421" s="591"/>
      <c r="F421" s="591"/>
      <c r="G421" s="591"/>
      <c r="H421" s="591"/>
      <c r="I421" s="591"/>
      <c r="J421" s="591"/>
      <c r="K421" s="591"/>
      <c r="L421" s="591"/>
      <c r="M421" s="591"/>
      <c r="N421" s="591"/>
      <c r="O421" s="591"/>
      <c r="P421" s="591"/>
      <c r="Q421" s="591"/>
      <c r="R421" s="591"/>
      <c r="S421" s="591"/>
      <c r="T421" s="591"/>
      <c r="U421" s="591"/>
      <c r="V421" s="591"/>
      <c r="W421" s="591"/>
      <c r="X421" s="591"/>
      <c r="Y421" s="591"/>
      <c r="Z421" s="591"/>
      <c r="AA421" s="591"/>
      <c r="AB421" s="591"/>
      <c r="AC421" s="591"/>
      <c r="AD421" s="591"/>
      <c r="AE421" s="591"/>
    </row>
    <row r="422" spans="1:31">
      <c r="A422" s="591"/>
      <c r="B422" s="591"/>
      <c r="C422" s="591"/>
      <c r="D422" s="591"/>
      <c r="E422" s="591"/>
      <c r="F422" s="591"/>
      <c r="G422" s="591"/>
      <c r="H422" s="591"/>
      <c r="I422" s="591"/>
      <c r="J422" s="591"/>
      <c r="K422" s="591"/>
      <c r="L422" s="591"/>
      <c r="M422" s="591"/>
      <c r="N422" s="591"/>
      <c r="O422" s="591"/>
      <c r="P422" s="591"/>
      <c r="Q422" s="591"/>
      <c r="R422" s="591"/>
      <c r="S422" s="591"/>
      <c r="T422" s="591"/>
      <c r="U422" s="591"/>
      <c r="V422" s="591"/>
      <c r="W422" s="591"/>
      <c r="X422" s="591"/>
      <c r="Y422" s="591"/>
      <c r="Z422" s="591"/>
      <c r="AA422" s="591"/>
      <c r="AB422" s="591"/>
      <c r="AC422" s="591"/>
      <c r="AD422" s="591"/>
      <c r="AE422" s="591"/>
    </row>
    <row r="423" spans="1:31">
      <c r="A423" s="591"/>
      <c r="B423" s="591"/>
      <c r="C423" s="591"/>
      <c r="D423" s="591"/>
      <c r="E423" s="591"/>
      <c r="F423" s="591"/>
      <c r="G423" s="591"/>
      <c r="H423" s="591"/>
      <c r="I423" s="591"/>
      <c r="J423" s="591"/>
      <c r="K423" s="591"/>
      <c r="L423" s="591"/>
      <c r="M423" s="591"/>
      <c r="N423" s="591"/>
      <c r="O423" s="591"/>
      <c r="P423" s="591"/>
      <c r="Q423" s="591"/>
      <c r="R423" s="591"/>
      <c r="S423" s="591"/>
      <c r="T423" s="591"/>
      <c r="U423" s="591"/>
      <c r="V423" s="591"/>
      <c r="W423" s="591"/>
      <c r="X423" s="591"/>
      <c r="Y423" s="591"/>
      <c r="Z423" s="591"/>
      <c r="AA423" s="591"/>
      <c r="AB423" s="591"/>
      <c r="AC423" s="591"/>
      <c r="AD423" s="591"/>
      <c r="AE423" s="591"/>
    </row>
    <row r="424" spans="1:31">
      <c r="A424" s="591"/>
      <c r="B424" s="591"/>
      <c r="C424" s="591"/>
      <c r="D424" s="591"/>
      <c r="E424" s="591"/>
      <c r="F424" s="591"/>
      <c r="G424" s="591"/>
      <c r="H424" s="591"/>
      <c r="I424" s="591"/>
      <c r="J424" s="591"/>
      <c r="K424" s="591"/>
      <c r="L424" s="591"/>
      <c r="M424" s="591"/>
      <c r="N424" s="591"/>
      <c r="O424" s="591"/>
      <c r="P424" s="591"/>
      <c r="Q424" s="591"/>
      <c r="R424" s="591"/>
      <c r="S424" s="591"/>
      <c r="T424" s="591"/>
      <c r="U424" s="591"/>
      <c r="V424" s="591"/>
      <c r="W424" s="591"/>
      <c r="X424" s="591"/>
      <c r="Y424" s="591"/>
      <c r="Z424" s="591"/>
      <c r="AA424" s="591"/>
      <c r="AB424" s="591"/>
      <c r="AC424" s="591"/>
      <c r="AD424" s="591"/>
      <c r="AE424" s="591"/>
    </row>
    <row r="425" spans="1:31">
      <c r="A425" s="591"/>
      <c r="B425" s="591"/>
      <c r="C425" s="591"/>
      <c r="D425" s="591"/>
      <c r="E425" s="591"/>
      <c r="F425" s="591"/>
      <c r="G425" s="591"/>
      <c r="H425" s="591"/>
      <c r="I425" s="591"/>
      <c r="J425" s="591"/>
      <c r="K425" s="591"/>
      <c r="L425" s="591"/>
      <c r="M425" s="591"/>
      <c r="N425" s="591"/>
      <c r="O425" s="591"/>
      <c r="P425" s="591"/>
      <c r="Q425" s="591"/>
      <c r="R425" s="591"/>
      <c r="S425" s="591"/>
      <c r="T425" s="591"/>
      <c r="U425" s="591"/>
      <c r="V425" s="591"/>
      <c r="W425" s="591"/>
      <c r="X425" s="591"/>
      <c r="Y425" s="591"/>
      <c r="Z425" s="591"/>
      <c r="AA425" s="591"/>
      <c r="AB425" s="591"/>
      <c r="AC425" s="591"/>
      <c r="AD425" s="591"/>
      <c r="AE425" s="591"/>
    </row>
    <row r="426" spans="1:31">
      <c r="A426" s="591"/>
      <c r="B426" s="591"/>
      <c r="C426" s="591"/>
      <c r="D426" s="591"/>
      <c r="E426" s="591"/>
      <c r="F426" s="591"/>
      <c r="G426" s="591"/>
      <c r="H426" s="591"/>
      <c r="I426" s="591"/>
      <c r="J426" s="591"/>
      <c r="K426" s="591"/>
      <c r="L426" s="591"/>
      <c r="M426" s="591"/>
      <c r="N426" s="591"/>
      <c r="O426" s="591"/>
      <c r="P426" s="591"/>
      <c r="Q426" s="591"/>
      <c r="R426" s="591"/>
      <c r="S426" s="591"/>
      <c r="T426" s="591"/>
      <c r="U426" s="591"/>
      <c r="V426" s="591"/>
      <c r="W426" s="591"/>
      <c r="X426" s="591"/>
      <c r="Y426" s="591"/>
      <c r="Z426" s="591"/>
      <c r="AA426" s="591"/>
      <c r="AB426" s="591"/>
      <c r="AC426" s="591"/>
      <c r="AD426" s="591"/>
      <c r="AE426" s="591"/>
    </row>
    <row r="427" spans="1:31">
      <c r="A427" s="591"/>
      <c r="B427" s="591"/>
      <c r="C427" s="591"/>
      <c r="D427" s="591"/>
      <c r="E427" s="591"/>
      <c r="F427" s="591"/>
      <c r="G427" s="591"/>
      <c r="H427" s="591"/>
      <c r="I427" s="591"/>
      <c r="J427" s="591"/>
      <c r="K427" s="591"/>
      <c r="L427" s="591"/>
      <c r="M427" s="591"/>
      <c r="N427" s="591"/>
      <c r="O427" s="591"/>
      <c r="P427" s="591"/>
      <c r="Q427" s="591"/>
      <c r="R427" s="591"/>
      <c r="S427" s="591"/>
      <c r="T427" s="591"/>
      <c r="U427" s="591"/>
      <c r="V427" s="591"/>
      <c r="W427" s="591"/>
      <c r="X427" s="591"/>
      <c r="Y427" s="591"/>
      <c r="Z427" s="591"/>
      <c r="AA427" s="591"/>
      <c r="AB427" s="591"/>
      <c r="AC427" s="591"/>
      <c r="AD427" s="591"/>
      <c r="AE427" s="591"/>
    </row>
    <row r="428" spans="1:31">
      <c r="A428" s="591"/>
      <c r="B428" s="591"/>
      <c r="C428" s="591"/>
      <c r="D428" s="591"/>
      <c r="E428" s="591"/>
      <c r="F428" s="591"/>
      <c r="G428" s="591"/>
      <c r="H428" s="591"/>
      <c r="I428" s="591"/>
      <c r="J428" s="591"/>
      <c r="K428" s="591"/>
      <c r="L428" s="591"/>
      <c r="M428" s="591"/>
      <c r="N428" s="591"/>
      <c r="O428" s="591"/>
      <c r="P428" s="591"/>
      <c r="Q428" s="591"/>
      <c r="R428" s="591"/>
      <c r="S428" s="591"/>
      <c r="T428" s="591"/>
      <c r="U428" s="591"/>
      <c r="V428" s="591"/>
      <c r="W428" s="591"/>
      <c r="X428" s="591"/>
      <c r="Y428" s="591"/>
      <c r="Z428" s="591"/>
      <c r="AA428" s="591"/>
      <c r="AB428" s="591"/>
      <c r="AC428" s="591"/>
      <c r="AD428" s="591"/>
      <c r="AE428" s="591"/>
    </row>
    <row r="429" spans="1:31">
      <c r="A429" s="591"/>
      <c r="B429" s="591"/>
      <c r="C429" s="591"/>
      <c r="D429" s="591"/>
      <c r="E429" s="591"/>
      <c r="F429" s="591"/>
      <c r="G429" s="591"/>
      <c r="H429" s="591"/>
      <c r="I429" s="591"/>
      <c r="J429" s="591"/>
      <c r="K429" s="591"/>
      <c r="L429" s="591"/>
      <c r="M429" s="591"/>
      <c r="N429" s="591"/>
      <c r="O429" s="591"/>
      <c r="P429" s="591"/>
      <c r="Q429" s="591"/>
      <c r="R429" s="591"/>
      <c r="S429" s="591"/>
      <c r="T429" s="591"/>
      <c r="U429" s="591"/>
      <c r="V429" s="591"/>
      <c r="W429" s="591"/>
      <c r="X429" s="591"/>
      <c r="Y429" s="591"/>
      <c r="Z429" s="591"/>
      <c r="AA429" s="591"/>
      <c r="AB429" s="591"/>
      <c r="AC429" s="591"/>
      <c r="AD429" s="591"/>
      <c r="AE429" s="591"/>
    </row>
    <row r="430" spans="1:31">
      <c r="A430" s="591"/>
      <c r="B430" s="591"/>
      <c r="C430" s="591"/>
      <c r="D430" s="591"/>
      <c r="E430" s="591"/>
      <c r="F430" s="591"/>
      <c r="G430" s="591"/>
      <c r="H430" s="591"/>
      <c r="I430" s="591"/>
      <c r="J430" s="591"/>
      <c r="K430" s="591"/>
      <c r="L430" s="591"/>
      <c r="M430" s="591"/>
      <c r="N430" s="591"/>
      <c r="O430" s="591"/>
      <c r="P430" s="591"/>
      <c r="Q430" s="591"/>
      <c r="R430" s="591"/>
      <c r="S430" s="591"/>
      <c r="T430" s="591"/>
      <c r="U430" s="591"/>
      <c r="V430" s="591"/>
      <c r="W430" s="591"/>
      <c r="X430" s="591"/>
      <c r="Y430" s="591"/>
      <c r="Z430" s="591"/>
      <c r="AA430" s="591"/>
      <c r="AB430" s="591"/>
      <c r="AC430" s="591"/>
      <c r="AD430" s="591"/>
      <c r="AE430" s="591"/>
    </row>
    <row r="431" spans="1:31">
      <c r="A431" s="591"/>
      <c r="B431" s="591"/>
      <c r="C431" s="591"/>
      <c r="D431" s="591"/>
      <c r="E431" s="591"/>
      <c r="F431" s="591"/>
      <c r="G431" s="591"/>
      <c r="H431" s="591"/>
      <c r="I431" s="591"/>
      <c r="J431" s="591"/>
      <c r="K431" s="591"/>
      <c r="L431" s="591"/>
      <c r="M431" s="591"/>
      <c r="N431" s="591"/>
      <c r="O431" s="591"/>
      <c r="P431" s="591"/>
      <c r="Q431" s="591"/>
      <c r="R431" s="591"/>
      <c r="S431" s="591"/>
      <c r="T431" s="591"/>
      <c r="U431" s="591"/>
      <c r="V431" s="591"/>
      <c r="W431" s="591"/>
      <c r="X431" s="591"/>
      <c r="Y431" s="591"/>
      <c r="Z431" s="591"/>
      <c r="AA431" s="591"/>
      <c r="AB431" s="591"/>
      <c r="AC431" s="591"/>
      <c r="AD431" s="591"/>
      <c r="AE431" s="591"/>
    </row>
    <row r="432" spans="1:31">
      <c r="A432" s="591"/>
      <c r="B432" s="591"/>
      <c r="C432" s="591"/>
      <c r="D432" s="591"/>
      <c r="E432" s="591"/>
      <c r="F432" s="591"/>
      <c r="G432" s="591"/>
      <c r="H432" s="591"/>
      <c r="I432" s="591"/>
      <c r="J432" s="591"/>
      <c r="K432" s="591"/>
      <c r="L432" s="591"/>
      <c r="M432" s="591"/>
      <c r="N432" s="591"/>
      <c r="O432" s="591"/>
      <c r="P432" s="591"/>
      <c r="Q432" s="591"/>
      <c r="R432" s="591"/>
      <c r="S432" s="591"/>
      <c r="T432" s="591"/>
      <c r="U432" s="591"/>
      <c r="V432" s="591"/>
      <c r="W432" s="591"/>
      <c r="X432" s="591"/>
      <c r="Y432" s="591"/>
      <c r="Z432" s="591"/>
      <c r="AA432" s="591"/>
      <c r="AB432" s="591"/>
      <c r="AC432" s="591"/>
      <c r="AD432" s="591"/>
      <c r="AE432" s="591"/>
    </row>
    <row r="433" spans="1:31">
      <c r="A433" s="591"/>
      <c r="B433" s="591"/>
      <c r="C433" s="591"/>
      <c r="D433" s="591"/>
      <c r="E433" s="591"/>
      <c r="F433" s="591"/>
      <c r="G433" s="591"/>
      <c r="H433" s="591"/>
      <c r="I433" s="591"/>
      <c r="J433" s="591"/>
      <c r="K433" s="591"/>
      <c r="L433" s="591"/>
      <c r="M433" s="591"/>
      <c r="N433" s="591"/>
      <c r="O433" s="591"/>
      <c r="P433" s="591"/>
      <c r="Q433" s="591"/>
      <c r="R433" s="591"/>
      <c r="S433" s="591"/>
      <c r="T433" s="591"/>
      <c r="U433" s="591"/>
      <c r="V433" s="591"/>
      <c r="W433" s="591"/>
      <c r="X433" s="591"/>
      <c r="Y433" s="591"/>
      <c r="Z433" s="591"/>
      <c r="AA433" s="591"/>
      <c r="AB433" s="591"/>
      <c r="AC433" s="591"/>
      <c r="AD433" s="591"/>
      <c r="AE433" s="591"/>
    </row>
    <row r="434" spans="1:31">
      <c r="A434" s="591"/>
      <c r="B434" s="591"/>
      <c r="C434" s="591"/>
      <c r="D434" s="591"/>
      <c r="E434" s="591"/>
      <c r="F434" s="591"/>
      <c r="G434" s="591"/>
      <c r="H434" s="591"/>
      <c r="I434" s="591"/>
      <c r="J434" s="591"/>
      <c r="K434" s="591"/>
      <c r="L434" s="591"/>
      <c r="M434" s="591"/>
      <c r="N434" s="591"/>
      <c r="O434" s="591"/>
      <c r="P434" s="591"/>
      <c r="Q434" s="591"/>
      <c r="R434" s="591"/>
      <c r="S434" s="591"/>
      <c r="T434" s="591"/>
      <c r="U434" s="591"/>
      <c r="V434" s="591"/>
      <c r="W434" s="591"/>
      <c r="X434" s="591"/>
      <c r="Y434" s="591"/>
      <c r="Z434" s="591"/>
      <c r="AA434" s="591"/>
      <c r="AB434" s="591"/>
      <c r="AC434" s="591"/>
      <c r="AD434" s="591"/>
      <c r="AE434" s="591"/>
    </row>
    <row r="435" spans="1:31">
      <c r="A435" s="591"/>
      <c r="B435" s="591"/>
      <c r="C435" s="591"/>
      <c r="D435" s="591"/>
      <c r="E435" s="591"/>
      <c r="F435" s="591"/>
      <c r="G435" s="591"/>
      <c r="H435" s="591"/>
      <c r="I435" s="591"/>
      <c r="J435" s="591"/>
      <c r="K435" s="591"/>
      <c r="L435" s="591"/>
      <c r="M435" s="591"/>
      <c r="N435" s="591"/>
      <c r="O435" s="591"/>
      <c r="P435" s="591"/>
      <c r="Q435" s="591"/>
      <c r="R435" s="591"/>
      <c r="S435" s="591"/>
      <c r="T435" s="591"/>
      <c r="U435" s="591"/>
      <c r="V435" s="591"/>
      <c r="W435" s="591"/>
      <c r="X435" s="591"/>
      <c r="Y435" s="591"/>
      <c r="Z435" s="591"/>
      <c r="AA435" s="591"/>
      <c r="AB435" s="591"/>
      <c r="AC435" s="591"/>
      <c r="AD435" s="591"/>
      <c r="AE435" s="591"/>
    </row>
    <row r="436" spans="1:31">
      <c r="A436" s="591"/>
      <c r="B436" s="591"/>
      <c r="C436" s="591"/>
      <c r="D436" s="591"/>
      <c r="E436" s="591"/>
      <c r="F436" s="591"/>
      <c r="G436" s="591"/>
      <c r="H436" s="591"/>
      <c r="I436" s="591"/>
      <c r="J436" s="591"/>
      <c r="K436" s="591"/>
      <c r="L436" s="591"/>
      <c r="M436" s="591"/>
      <c r="N436" s="591"/>
      <c r="O436" s="591"/>
      <c r="P436" s="591"/>
      <c r="Q436" s="591"/>
      <c r="R436" s="591"/>
      <c r="S436" s="591"/>
      <c r="T436" s="591"/>
      <c r="U436" s="591"/>
      <c r="V436" s="591"/>
      <c r="W436" s="591"/>
      <c r="X436" s="591"/>
      <c r="Y436" s="591"/>
      <c r="Z436" s="591"/>
      <c r="AA436" s="591"/>
      <c r="AB436" s="591"/>
      <c r="AC436" s="591"/>
      <c r="AD436" s="591"/>
      <c r="AE436" s="591"/>
    </row>
    <row r="437" spans="1:31">
      <c r="A437" s="591"/>
      <c r="B437" s="591"/>
      <c r="C437" s="591"/>
      <c r="D437" s="591"/>
      <c r="E437" s="591"/>
      <c r="F437" s="591"/>
      <c r="G437" s="591"/>
      <c r="H437" s="591"/>
      <c r="I437" s="591"/>
      <c r="J437" s="591"/>
      <c r="K437" s="591"/>
      <c r="L437" s="591"/>
      <c r="M437" s="591"/>
      <c r="N437" s="591"/>
      <c r="O437" s="591"/>
      <c r="P437" s="591"/>
      <c r="Q437" s="591"/>
      <c r="R437" s="591"/>
      <c r="S437" s="591"/>
      <c r="T437" s="591"/>
      <c r="U437" s="591"/>
      <c r="V437" s="591"/>
      <c r="W437" s="591"/>
      <c r="X437" s="591"/>
      <c r="Y437" s="591"/>
      <c r="Z437" s="591"/>
      <c r="AA437" s="591"/>
      <c r="AB437" s="591"/>
      <c r="AC437" s="591"/>
      <c r="AD437" s="591"/>
      <c r="AE437" s="591"/>
    </row>
    <row r="438" spans="1:31">
      <c r="A438" s="591"/>
      <c r="B438" s="591"/>
      <c r="C438" s="591"/>
      <c r="D438" s="591"/>
      <c r="E438" s="591"/>
      <c r="F438" s="591"/>
      <c r="G438" s="591"/>
      <c r="H438" s="591"/>
      <c r="I438" s="591"/>
      <c r="J438" s="591"/>
      <c r="K438" s="591"/>
      <c r="L438" s="591"/>
      <c r="M438" s="591"/>
      <c r="N438" s="591"/>
      <c r="O438" s="591"/>
      <c r="P438" s="591"/>
      <c r="Q438" s="591"/>
      <c r="R438" s="591"/>
      <c r="S438" s="591"/>
      <c r="T438" s="591"/>
      <c r="U438" s="591"/>
      <c r="V438" s="591"/>
      <c r="W438" s="591"/>
      <c r="X438" s="591"/>
      <c r="Y438" s="591"/>
      <c r="Z438" s="591"/>
      <c r="AA438" s="591"/>
      <c r="AB438" s="591"/>
      <c r="AC438" s="591"/>
      <c r="AD438" s="591"/>
      <c r="AE438" s="591"/>
    </row>
    <row r="439" spans="1:31">
      <c r="A439" s="591"/>
      <c r="B439" s="591"/>
      <c r="C439" s="591"/>
      <c r="D439" s="591"/>
      <c r="E439" s="591"/>
      <c r="F439" s="591"/>
      <c r="G439" s="591"/>
      <c r="H439" s="591"/>
      <c r="I439" s="591"/>
      <c r="J439" s="591"/>
      <c r="K439" s="591"/>
      <c r="L439" s="591"/>
      <c r="M439" s="591"/>
      <c r="N439" s="591"/>
      <c r="O439" s="591"/>
      <c r="P439" s="591"/>
      <c r="Q439" s="591"/>
      <c r="R439" s="591"/>
      <c r="S439" s="591"/>
      <c r="T439" s="591"/>
      <c r="U439" s="591"/>
      <c r="V439" s="591"/>
      <c r="W439" s="591"/>
      <c r="X439" s="591"/>
      <c r="Y439" s="591"/>
      <c r="Z439" s="591"/>
      <c r="AA439" s="591"/>
      <c r="AB439" s="591"/>
      <c r="AC439" s="591"/>
      <c r="AD439" s="591"/>
      <c r="AE439" s="591"/>
    </row>
    <row r="440" spans="1:31">
      <c r="A440" s="591"/>
      <c r="B440" s="591"/>
      <c r="C440" s="591"/>
      <c r="D440" s="591"/>
      <c r="E440" s="591"/>
      <c r="F440" s="591"/>
      <c r="G440" s="591"/>
      <c r="H440" s="591"/>
      <c r="I440" s="591"/>
      <c r="J440" s="591"/>
      <c r="K440" s="591"/>
      <c r="L440" s="591"/>
      <c r="M440" s="591"/>
      <c r="N440" s="591"/>
      <c r="O440" s="591"/>
      <c r="P440" s="591"/>
      <c r="Q440" s="591"/>
      <c r="R440" s="591"/>
      <c r="S440" s="591"/>
      <c r="T440" s="591"/>
      <c r="U440" s="591"/>
      <c r="V440" s="591"/>
      <c r="W440" s="591"/>
      <c r="X440" s="591"/>
      <c r="Y440" s="591"/>
      <c r="Z440" s="591"/>
      <c r="AA440" s="591"/>
      <c r="AB440" s="591"/>
      <c r="AC440" s="591"/>
      <c r="AD440" s="591"/>
      <c r="AE440" s="591"/>
    </row>
    <row r="441" spans="1:31">
      <c r="A441" s="591"/>
      <c r="B441" s="591"/>
      <c r="C441" s="591"/>
      <c r="D441" s="591"/>
      <c r="E441" s="591"/>
      <c r="F441" s="591"/>
      <c r="G441" s="591"/>
      <c r="H441" s="591"/>
      <c r="I441" s="591"/>
      <c r="J441" s="591"/>
      <c r="K441" s="591"/>
      <c r="L441" s="591"/>
      <c r="M441" s="591"/>
      <c r="N441" s="591"/>
      <c r="O441" s="591"/>
      <c r="P441" s="591"/>
      <c r="Q441" s="591"/>
      <c r="R441" s="591"/>
      <c r="S441" s="591"/>
      <c r="T441" s="591"/>
      <c r="U441" s="591"/>
      <c r="V441" s="591"/>
      <c r="W441" s="591"/>
      <c r="X441" s="591"/>
      <c r="Y441" s="591"/>
      <c r="Z441" s="591"/>
      <c r="AA441" s="591"/>
      <c r="AB441" s="591"/>
      <c r="AC441" s="591"/>
      <c r="AD441" s="591"/>
      <c r="AE441" s="591"/>
    </row>
    <row r="442" spans="1:31">
      <c r="A442" s="591"/>
      <c r="B442" s="591"/>
      <c r="C442" s="591"/>
      <c r="D442" s="591"/>
      <c r="E442" s="591"/>
      <c r="F442" s="591"/>
      <c r="G442" s="591"/>
      <c r="H442" s="591"/>
      <c r="I442" s="591"/>
      <c r="J442" s="591"/>
      <c r="K442" s="591"/>
      <c r="L442" s="591"/>
      <c r="M442" s="591"/>
      <c r="N442" s="591"/>
      <c r="O442" s="591"/>
      <c r="P442" s="591"/>
      <c r="Q442" s="591"/>
      <c r="R442" s="591"/>
      <c r="S442" s="591"/>
      <c r="T442" s="591"/>
      <c r="U442" s="591"/>
      <c r="V442" s="591"/>
      <c r="W442" s="591"/>
      <c r="X442" s="591"/>
      <c r="Y442" s="591"/>
      <c r="Z442" s="591"/>
      <c r="AA442" s="591"/>
      <c r="AB442" s="591"/>
      <c r="AC442" s="591"/>
      <c r="AD442" s="591"/>
      <c r="AE442" s="591"/>
    </row>
    <row r="443" spans="1:31">
      <c r="A443" s="591"/>
      <c r="B443" s="591"/>
      <c r="C443" s="591"/>
      <c r="D443" s="591"/>
      <c r="E443" s="591"/>
      <c r="F443" s="591"/>
      <c r="G443" s="591"/>
      <c r="H443" s="591"/>
      <c r="I443" s="591"/>
      <c r="J443" s="591"/>
      <c r="K443" s="591"/>
      <c r="L443" s="591"/>
      <c r="M443" s="591"/>
      <c r="N443" s="591"/>
      <c r="O443" s="591"/>
      <c r="P443" s="591"/>
      <c r="Q443" s="591"/>
      <c r="R443" s="591"/>
      <c r="S443" s="591"/>
      <c r="T443" s="591"/>
      <c r="U443" s="591"/>
      <c r="V443" s="591"/>
      <c r="W443" s="591"/>
      <c r="X443" s="591"/>
      <c r="Y443" s="591"/>
      <c r="Z443" s="591"/>
      <c r="AA443" s="591"/>
      <c r="AB443" s="591"/>
      <c r="AC443" s="591"/>
      <c r="AD443" s="591"/>
      <c r="AE443" s="591"/>
    </row>
    <row r="444" spans="1:31">
      <c r="A444" s="591"/>
      <c r="B444" s="591"/>
      <c r="C444" s="591"/>
      <c r="D444" s="591"/>
      <c r="E444" s="591"/>
      <c r="F444" s="591"/>
      <c r="G444" s="591"/>
      <c r="H444" s="591"/>
      <c r="I444" s="591"/>
      <c r="J444" s="591"/>
      <c r="K444" s="591"/>
      <c r="L444" s="591"/>
      <c r="M444" s="591"/>
      <c r="N444" s="591"/>
      <c r="O444" s="591"/>
      <c r="P444" s="591"/>
      <c r="Q444" s="591"/>
      <c r="R444" s="591"/>
      <c r="S444" s="591"/>
      <c r="T444" s="591"/>
      <c r="U444" s="591"/>
      <c r="V444" s="591"/>
      <c r="W444" s="591"/>
      <c r="X444" s="591"/>
      <c r="Y444" s="591"/>
      <c r="Z444" s="591"/>
      <c r="AA444" s="591"/>
      <c r="AB444" s="591"/>
      <c r="AC444" s="591"/>
      <c r="AD444" s="591"/>
      <c r="AE444" s="591"/>
    </row>
    <row r="445" spans="1:31">
      <c r="A445" s="591"/>
      <c r="B445" s="591"/>
      <c r="C445" s="591"/>
      <c r="D445" s="591"/>
      <c r="E445" s="591"/>
      <c r="F445" s="591"/>
      <c r="G445" s="591"/>
      <c r="H445" s="591"/>
      <c r="I445" s="591"/>
      <c r="J445" s="591"/>
      <c r="K445" s="591"/>
      <c r="L445" s="591"/>
      <c r="M445" s="591"/>
      <c r="N445" s="591"/>
      <c r="O445" s="591"/>
      <c r="P445" s="591"/>
      <c r="Q445" s="591"/>
      <c r="R445" s="591"/>
      <c r="S445" s="591"/>
      <c r="T445" s="591"/>
      <c r="U445" s="591"/>
      <c r="V445" s="591"/>
      <c r="W445" s="591"/>
      <c r="X445" s="591"/>
      <c r="Y445" s="591"/>
      <c r="Z445" s="591"/>
      <c r="AA445" s="591"/>
      <c r="AB445" s="591"/>
      <c r="AC445" s="591"/>
      <c r="AD445" s="591"/>
      <c r="AE445" s="591"/>
    </row>
    <row r="446" spans="1:31">
      <c r="A446" s="591"/>
      <c r="B446" s="591"/>
      <c r="C446" s="591"/>
      <c r="D446" s="591"/>
      <c r="E446" s="591"/>
      <c r="F446" s="591"/>
      <c r="G446" s="591"/>
      <c r="H446" s="591"/>
      <c r="I446" s="591"/>
      <c r="J446" s="591"/>
      <c r="K446" s="591"/>
      <c r="L446" s="591"/>
      <c r="M446" s="591"/>
      <c r="N446" s="591"/>
      <c r="O446" s="591"/>
      <c r="P446" s="591"/>
      <c r="Q446" s="591"/>
      <c r="R446" s="591"/>
      <c r="S446" s="591"/>
      <c r="T446" s="591"/>
      <c r="U446" s="591"/>
      <c r="V446" s="591"/>
      <c r="W446" s="591"/>
      <c r="X446" s="591"/>
      <c r="Y446" s="591"/>
      <c r="Z446" s="591"/>
      <c r="AA446" s="591"/>
      <c r="AB446" s="591"/>
      <c r="AC446" s="591"/>
      <c r="AD446" s="591"/>
      <c r="AE446" s="591"/>
    </row>
    <row r="447" spans="1:31">
      <c r="A447" s="591"/>
      <c r="B447" s="591"/>
      <c r="C447" s="591"/>
      <c r="D447" s="591"/>
      <c r="E447" s="591"/>
      <c r="F447" s="591"/>
      <c r="G447" s="591"/>
      <c r="H447" s="591"/>
      <c r="I447" s="591"/>
      <c r="J447" s="591"/>
      <c r="K447" s="591"/>
      <c r="L447" s="591"/>
      <c r="M447" s="591"/>
      <c r="N447" s="591"/>
      <c r="O447" s="591"/>
      <c r="P447" s="591"/>
      <c r="Q447" s="591"/>
      <c r="R447" s="591"/>
      <c r="S447" s="591"/>
      <c r="T447" s="591"/>
      <c r="U447" s="591"/>
      <c r="V447" s="591"/>
      <c r="W447" s="591"/>
      <c r="X447" s="591"/>
      <c r="Y447" s="591"/>
      <c r="Z447" s="591"/>
      <c r="AA447" s="591"/>
      <c r="AB447" s="591"/>
      <c r="AC447" s="591"/>
      <c r="AD447" s="591"/>
      <c r="AE447" s="591"/>
    </row>
    <row r="448" spans="1:31">
      <c r="A448" s="591"/>
      <c r="B448" s="591"/>
      <c r="C448" s="591"/>
      <c r="D448" s="591"/>
      <c r="E448" s="591"/>
      <c r="F448" s="591"/>
      <c r="G448" s="591"/>
      <c r="H448" s="591"/>
      <c r="I448" s="591"/>
      <c r="J448" s="591"/>
      <c r="K448" s="591"/>
      <c r="L448" s="591"/>
      <c r="M448" s="591"/>
      <c r="N448" s="591"/>
      <c r="O448" s="591"/>
      <c r="P448" s="591"/>
      <c r="Q448" s="591"/>
      <c r="R448" s="591"/>
      <c r="S448" s="591"/>
      <c r="T448" s="591"/>
      <c r="U448" s="591"/>
      <c r="V448" s="591"/>
      <c r="W448" s="591"/>
      <c r="X448" s="591"/>
      <c r="Y448" s="591"/>
      <c r="Z448" s="591"/>
      <c r="AA448" s="591"/>
      <c r="AB448" s="591"/>
      <c r="AC448" s="591"/>
      <c r="AD448" s="591"/>
      <c r="AE448" s="591"/>
    </row>
    <row r="449" spans="1:31">
      <c r="A449" s="591"/>
      <c r="B449" s="591"/>
      <c r="C449" s="591"/>
      <c r="D449" s="591"/>
      <c r="E449" s="591"/>
      <c r="F449" s="591"/>
      <c r="G449" s="591"/>
      <c r="H449" s="591"/>
      <c r="I449" s="591"/>
      <c r="J449" s="591"/>
      <c r="K449" s="591"/>
      <c r="L449" s="591"/>
      <c r="M449" s="591"/>
      <c r="N449" s="591"/>
      <c r="O449" s="591"/>
      <c r="P449" s="591"/>
      <c r="Q449" s="591"/>
      <c r="R449" s="591"/>
      <c r="S449" s="591"/>
      <c r="T449" s="591"/>
      <c r="U449" s="591"/>
      <c r="V449" s="591"/>
      <c r="W449" s="591"/>
      <c r="X449" s="591"/>
      <c r="Y449" s="591"/>
      <c r="Z449" s="591"/>
      <c r="AA449" s="591"/>
      <c r="AB449" s="591"/>
      <c r="AC449" s="591"/>
      <c r="AD449" s="591"/>
      <c r="AE449" s="591"/>
    </row>
    <row r="450" spans="1:31">
      <c r="A450" s="591"/>
      <c r="B450" s="591"/>
      <c r="C450" s="591"/>
      <c r="D450" s="591"/>
      <c r="E450" s="591"/>
      <c r="F450" s="591"/>
      <c r="G450" s="591"/>
      <c r="H450" s="591"/>
      <c r="I450" s="591"/>
      <c r="J450" s="591"/>
      <c r="K450" s="591"/>
      <c r="L450" s="591"/>
      <c r="M450" s="591"/>
      <c r="N450" s="591"/>
      <c r="O450" s="591"/>
      <c r="P450" s="591"/>
      <c r="Q450" s="591"/>
      <c r="R450" s="591"/>
      <c r="S450" s="591"/>
      <c r="T450" s="591"/>
      <c r="U450" s="591"/>
      <c r="V450" s="591"/>
      <c r="W450" s="591"/>
      <c r="X450" s="591"/>
      <c r="Y450" s="591"/>
      <c r="Z450" s="591"/>
      <c r="AA450" s="591"/>
      <c r="AB450" s="591"/>
      <c r="AC450" s="591"/>
      <c r="AD450" s="591"/>
      <c r="AE450" s="591"/>
    </row>
    <row r="451" spans="1:31">
      <c r="A451" s="591"/>
      <c r="B451" s="591"/>
      <c r="C451" s="591"/>
      <c r="D451" s="591"/>
      <c r="E451" s="591"/>
      <c r="F451" s="591"/>
      <c r="G451" s="591"/>
      <c r="H451" s="591"/>
      <c r="I451" s="591"/>
      <c r="J451" s="591"/>
      <c r="K451" s="591"/>
      <c r="L451" s="591"/>
      <c r="M451" s="591"/>
      <c r="N451" s="591"/>
      <c r="O451" s="591"/>
      <c r="P451" s="591"/>
      <c r="Q451" s="591"/>
      <c r="R451" s="591"/>
      <c r="S451" s="591"/>
      <c r="T451" s="591"/>
      <c r="U451" s="591"/>
      <c r="V451" s="591"/>
      <c r="W451" s="591"/>
      <c r="X451" s="591"/>
      <c r="Y451" s="591"/>
      <c r="Z451" s="591"/>
      <c r="AA451" s="591"/>
      <c r="AB451" s="591"/>
      <c r="AC451" s="591"/>
      <c r="AD451" s="591"/>
      <c r="AE451" s="591"/>
    </row>
    <row r="452" spans="1:31">
      <c r="A452" s="591"/>
      <c r="B452" s="591"/>
      <c r="C452" s="591"/>
      <c r="D452" s="591"/>
      <c r="E452" s="591"/>
      <c r="F452" s="591"/>
      <c r="G452" s="591"/>
      <c r="H452" s="591"/>
      <c r="I452" s="591"/>
      <c r="J452" s="591"/>
      <c r="K452" s="591"/>
      <c r="L452" s="591"/>
      <c r="M452" s="591"/>
      <c r="N452" s="591"/>
      <c r="O452" s="591"/>
      <c r="P452" s="591"/>
      <c r="Q452" s="591"/>
      <c r="R452" s="591"/>
      <c r="S452" s="591"/>
      <c r="T452" s="591"/>
      <c r="U452" s="591"/>
      <c r="V452" s="591"/>
      <c r="W452" s="591"/>
      <c r="X452" s="591"/>
      <c r="Y452" s="591"/>
      <c r="Z452" s="591"/>
      <c r="AA452" s="591"/>
      <c r="AB452" s="591"/>
      <c r="AC452" s="591"/>
      <c r="AD452" s="591"/>
      <c r="AE452" s="591"/>
    </row>
    <row r="453" spans="1:31">
      <c r="A453" s="591"/>
      <c r="B453" s="591"/>
      <c r="C453" s="591"/>
      <c r="D453" s="591"/>
      <c r="E453" s="591"/>
      <c r="F453" s="591"/>
      <c r="G453" s="591"/>
      <c r="H453" s="591"/>
      <c r="I453" s="591"/>
      <c r="J453" s="591"/>
      <c r="K453" s="591"/>
      <c r="L453" s="591"/>
      <c r="M453" s="591"/>
      <c r="N453" s="591"/>
      <c r="O453" s="591"/>
      <c r="P453" s="591"/>
      <c r="Q453" s="591"/>
      <c r="R453" s="591"/>
      <c r="S453" s="591"/>
      <c r="T453" s="591"/>
      <c r="U453" s="591"/>
      <c r="V453" s="591"/>
      <c r="W453" s="591"/>
      <c r="X453" s="591"/>
      <c r="Y453" s="591"/>
      <c r="Z453" s="591"/>
      <c r="AA453" s="591"/>
      <c r="AB453" s="591"/>
      <c r="AC453" s="591"/>
      <c r="AD453" s="591"/>
      <c r="AE453" s="591"/>
    </row>
    <row r="454" spans="1:31">
      <c r="A454" s="591"/>
      <c r="B454" s="591"/>
      <c r="C454" s="591"/>
      <c r="D454" s="591"/>
      <c r="E454" s="591"/>
      <c r="F454" s="591"/>
      <c r="G454" s="591"/>
      <c r="H454" s="591"/>
      <c r="I454" s="591"/>
      <c r="J454" s="591"/>
      <c r="K454" s="591"/>
      <c r="L454" s="591"/>
      <c r="M454" s="591"/>
      <c r="N454" s="591"/>
      <c r="O454" s="591"/>
      <c r="P454" s="591"/>
      <c r="Q454" s="591"/>
      <c r="R454" s="591"/>
      <c r="S454" s="591"/>
      <c r="T454" s="591"/>
      <c r="U454" s="591"/>
      <c r="V454" s="591"/>
      <c r="W454" s="591"/>
      <c r="X454" s="591"/>
      <c r="Y454" s="591"/>
      <c r="Z454" s="591"/>
      <c r="AA454" s="591"/>
      <c r="AB454" s="591"/>
      <c r="AC454" s="591"/>
      <c r="AD454" s="591"/>
      <c r="AE454" s="591"/>
    </row>
    <row r="455" spans="1:31">
      <c r="A455" s="591"/>
      <c r="B455" s="591"/>
      <c r="C455" s="591"/>
      <c r="D455" s="591"/>
      <c r="E455" s="591"/>
      <c r="F455" s="591"/>
      <c r="G455" s="591"/>
      <c r="H455" s="591"/>
      <c r="I455" s="591"/>
      <c r="J455" s="591"/>
      <c r="K455" s="591"/>
      <c r="L455" s="591"/>
      <c r="M455" s="591"/>
      <c r="N455" s="591"/>
      <c r="O455" s="591"/>
      <c r="P455" s="591"/>
      <c r="Q455" s="591"/>
      <c r="R455" s="591"/>
      <c r="S455" s="591"/>
      <c r="T455" s="591"/>
      <c r="U455" s="591"/>
      <c r="V455" s="591"/>
      <c r="W455" s="591"/>
      <c r="X455" s="591"/>
      <c r="Y455" s="591"/>
      <c r="Z455" s="591"/>
      <c r="AA455" s="591"/>
      <c r="AB455" s="591"/>
      <c r="AC455" s="591"/>
      <c r="AD455" s="591"/>
      <c r="AE455" s="591"/>
    </row>
    <row r="456" spans="1:31">
      <c r="A456" s="591"/>
      <c r="B456" s="591"/>
      <c r="C456" s="591"/>
      <c r="D456" s="591"/>
      <c r="E456" s="591"/>
      <c r="F456" s="591"/>
      <c r="G456" s="591"/>
      <c r="H456" s="591"/>
      <c r="I456" s="591"/>
      <c r="J456" s="591"/>
      <c r="K456" s="591"/>
      <c r="L456" s="591"/>
      <c r="M456" s="591"/>
      <c r="N456" s="591"/>
      <c r="O456" s="591"/>
      <c r="P456" s="591"/>
      <c r="Q456" s="591"/>
      <c r="R456" s="591"/>
      <c r="S456" s="591"/>
      <c r="T456" s="591"/>
      <c r="U456" s="591"/>
      <c r="V456" s="591"/>
      <c r="W456" s="591"/>
      <c r="X456" s="591"/>
      <c r="Y456" s="591"/>
      <c r="Z456" s="591"/>
      <c r="AA456" s="591"/>
      <c r="AB456" s="591"/>
      <c r="AC456" s="591"/>
      <c r="AD456" s="591"/>
      <c r="AE456" s="591"/>
    </row>
    <row r="457" spans="1:31">
      <c r="A457" s="591"/>
      <c r="B457" s="591"/>
      <c r="C457" s="591"/>
      <c r="D457" s="591"/>
      <c r="E457" s="591"/>
      <c r="F457" s="591"/>
      <c r="G457" s="591"/>
      <c r="H457" s="591"/>
      <c r="I457" s="591"/>
      <c r="J457" s="591"/>
      <c r="K457" s="591"/>
      <c r="L457" s="591"/>
      <c r="M457" s="591"/>
      <c r="N457" s="591"/>
      <c r="O457" s="591"/>
      <c r="P457" s="591"/>
      <c r="Q457" s="591"/>
      <c r="R457" s="591"/>
      <c r="S457" s="591"/>
      <c r="T457" s="591"/>
      <c r="U457" s="591"/>
      <c r="V457" s="591"/>
      <c r="W457" s="591"/>
      <c r="X457" s="591"/>
      <c r="Y457" s="591"/>
      <c r="Z457" s="591"/>
      <c r="AA457" s="591"/>
      <c r="AB457" s="591"/>
      <c r="AC457" s="591"/>
      <c r="AD457" s="591"/>
      <c r="AE457" s="591"/>
    </row>
    <row r="458" spans="1:31">
      <c r="A458" s="591"/>
      <c r="B458" s="591"/>
      <c r="C458" s="591"/>
      <c r="D458" s="591"/>
      <c r="E458" s="591"/>
      <c r="F458" s="591"/>
      <c r="G458" s="591"/>
      <c r="H458" s="591"/>
      <c r="I458" s="591"/>
      <c r="J458" s="591"/>
      <c r="K458" s="591"/>
      <c r="L458" s="591"/>
      <c r="M458" s="591"/>
      <c r="N458" s="591"/>
      <c r="O458" s="591"/>
      <c r="P458" s="591"/>
      <c r="Q458" s="591"/>
      <c r="R458" s="591"/>
      <c r="S458" s="591"/>
      <c r="T458" s="591"/>
      <c r="U458" s="591"/>
      <c r="V458" s="591"/>
      <c r="W458" s="591"/>
      <c r="X458" s="591"/>
      <c r="Y458" s="591"/>
      <c r="Z458" s="591"/>
      <c r="AA458" s="591"/>
      <c r="AB458" s="591"/>
      <c r="AC458" s="591"/>
      <c r="AD458" s="591"/>
      <c r="AE458" s="591"/>
    </row>
    <row r="459" spans="1:31">
      <c r="A459" s="591"/>
      <c r="B459" s="591"/>
      <c r="C459" s="591"/>
      <c r="D459" s="591"/>
      <c r="E459" s="591"/>
      <c r="F459" s="591"/>
      <c r="G459" s="591"/>
      <c r="H459" s="591"/>
      <c r="I459" s="591"/>
      <c r="J459" s="591"/>
      <c r="K459" s="591"/>
      <c r="L459" s="591"/>
      <c r="M459" s="591"/>
      <c r="N459" s="591"/>
      <c r="O459" s="591"/>
      <c r="P459" s="591"/>
      <c r="Q459" s="591"/>
      <c r="R459" s="591"/>
      <c r="S459" s="591"/>
      <c r="T459" s="591"/>
      <c r="U459" s="591"/>
      <c r="V459" s="591"/>
      <c r="W459" s="591"/>
      <c r="X459" s="591"/>
      <c r="Y459" s="591"/>
      <c r="Z459" s="591"/>
      <c r="AA459" s="591"/>
      <c r="AB459" s="591"/>
      <c r="AC459" s="591"/>
      <c r="AD459" s="591"/>
      <c r="AE459" s="591"/>
    </row>
    <row r="460" spans="1:31">
      <c r="A460" s="591"/>
      <c r="B460" s="591"/>
      <c r="C460" s="591"/>
      <c r="D460" s="591"/>
      <c r="E460" s="591"/>
      <c r="F460" s="591"/>
      <c r="G460" s="591"/>
      <c r="H460" s="591"/>
      <c r="I460" s="591"/>
      <c r="J460" s="591"/>
      <c r="K460" s="591"/>
      <c r="L460" s="591"/>
      <c r="M460" s="591"/>
      <c r="N460" s="591"/>
      <c r="O460" s="591"/>
      <c r="P460" s="591"/>
      <c r="Q460" s="591"/>
      <c r="R460" s="591"/>
      <c r="S460" s="591"/>
      <c r="T460" s="591"/>
      <c r="U460" s="591"/>
      <c r="V460" s="591"/>
      <c r="W460" s="591"/>
      <c r="X460" s="591"/>
      <c r="Y460" s="591"/>
      <c r="Z460" s="591"/>
      <c r="AA460" s="591"/>
      <c r="AB460" s="591"/>
      <c r="AC460" s="591"/>
      <c r="AD460" s="591"/>
      <c r="AE460" s="591"/>
    </row>
    <row r="461" spans="1:31">
      <c r="A461" s="591"/>
      <c r="B461" s="591"/>
      <c r="C461" s="591"/>
      <c r="D461" s="591"/>
      <c r="E461" s="591"/>
      <c r="F461" s="591"/>
      <c r="G461" s="591"/>
      <c r="H461" s="591"/>
      <c r="I461" s="591"/>
      <c r="J461" s="591"/>
      <c r="K461" s="591"/>
      <c r="L461" s="591"/>
      <c r="M461" s="591"/>
      <c r="N461" s="591"/>
      <c r="O461" s="591"/>
      <c r="P461" s="591"/>
      <c r="Q461" s="591"/>
      <c r="R461" s="591"/>
      <c r="S461" s="591"/>
      <c r="T461" s="591"/>
      <c r="U461" s="591"/>
      <c r="V461" s="591"/>
      <c r="W461" s="591"/>
      <c r="X461" s="591"/>
      <c r="Y461" s="591"/>
      <c r="Z461" s="591"/>
      <c r="AA461" s="591"/>
      <c r="AB461" s="591"/>
      <c r="AC461" s="591"/>
      <c r="AD461" s="591"/>
      <c r="AE461" s="591"/>
    </row>
    <row r="462" spans="1:31">
      <c r="A462" s="591"/>
      <c r="B462" s="591"/>
      <c r="C462" s="591"/>
      <c r="D462" s="591"/>
      <c r="E462" s="591"/>
      <c r="F462" s="591"/>
      <c r="G462" s="591"/>
      <c r="H462" s="591"/>
      <c r="I462" s="591"/>
      <c r="J462" s="591"/>
      <c r="K462" s="591"/>
      <c r="L462" s="591"/>
      <c r="M462" s="591"/>
      <c r="N462" s="591"/>
      <c r="O462" s="591"/>
      <c r="P462" s="591"/>
      <c r="Q462" s="591"/>
      <c r="R462" s="591"/>
      <c r="S462" s="591"/>
      <c r="T462" s="591"/>
      <c r="U462" s="591"/>
      <c r="V462" s="591"/>
      <c r="W462" s="591"/>
      <c r="X462" s="591"/>
      <c r="Y462" s="591"/>
      <c r="Z462" s="591"/>
      <c r="AA462" s="591"/>
      <c r="AB462" s="591"/>
      <c r="AC462" s="591"/>
      <c r="AD462" s="591"/>
      <c r="AE462" s="591"/>
    </row>
    <row r="463" spans="1:31">
      <c r="A463" s="591"/>
      <c r="B463" s="591"/>
      <c r="C463" s="591"/>
      <c r="D463" s="591"/>
      <c r="E463" s="591"/>
      <c r="F463" s="591"/>
      <c r="G463" s="591"/>
      <c r="H463" s="591"/>
      <c r="I463" s="591"/>
      <c r="J463" s="591"/>
      <c r="K463" s="591"/>
      <c r="L463" s="591"/>
      <c r="M463" s="591"/>
      <c r="N463" s="591"/>
      <c r="O463" s="591"/>
      <c r="P463" s="591"/>
      <c r="Q463" s="591"/>
      <c r="R463" s="591"/>
      <c r="S463" s="591"/>
      <c r="T463" s="591"/>
      <c r="U463" s="591"/>
      <c r="V463" s="591"/>
      <c r="W463" s="591"/>
      <c r="X463" s="591"/>
      <c r="Y463" s="591"/>
      <c r="Z463" s="591"/>
      <c r="AA463" s="591"/>
      <c r="AB463" s="591"/>
      <c r="AC463" s="591"/>
      <c r="AD463" s="591"/>
      <c r="AE463" s="591"/>
    </row>
    <row r="464" spans="1:31">
      <c r="A464" s="591"/>
      <c r="B464" s="591"/>
      <c r="C464" s="591"/>
      <c r="D464" s="591"/>
      <c r="E464" s="591"/>
      <c r="F464" s="591"/>
      <c r="G464" s="591"/>
      <c r="H464" s="591"/>
      <c r="I464" s="591"/>
      <c r="J464" s="591"/>
      <c r="K464" s="591"/>
      <c r="L464" s="591"/>
      <c r="M464" s="591"/>
      <c r="N464" s="591"/>
      <c r="O464" s="591"/>
      <c r="P464" s="591"/>
      <c r="Q464" s="591"/>
      <c r="R464" s="591"/>
      <c r="S464" s="591"/>
      <c r="T464" s="591"/>
      <c r="U464" s="591"/>
      <c r="V464" s="591"/>
      <c r="W464" s="591"/>
      <c r="X464" s="591"/>
      <c r="Y464" s="591"/>
      <c r="Z464" s="591"/>
      <c r="AA464" s="591"/>
      <c r="AB464" s="591"/>
      <c r="AC464" s="591"/>
      <c r="AD464" s="591"/>
      <c r="AE464" s="591"/>
    </row>
    <row r="465" spans="1:31">
      <c r="A465" s="591"/>
      <c r="B465" s="591"/>
      <c r="C465" s="591"/>
      <c r="D465" s="591"/>
      <c r="E465" s="591"/>
      <c r="F465" s="591"/>
      <c r="G465" s="591"/>
      <c r="H465" s="591"/>
      <c r="I465" s="591"/>
      <c r="J465" s="591"/>
      <c r="K465" s="591"/>
      <c r="L465" s="591"/>
      <c r="M465" s="591"/>
      <c r="N465" s="591"/>
      <c r="O465" s="591"/>
      <c r="P465" s="591"/>
      <c r="Q465" s="591"/>
      <c r="R465" s="591"/>
      <c r="S465" s="591"/>
      <c r="T465" s="591"/>
      <c r="U465" s="591"/>
      <c r="V465" s="591"/>
      <c r="W465" s="591"/>
      <c r="X465" s="591"/>
      <c r="Y465" s="591"/>
      <c r="Z465" s="591"/>
      <c r="AA465" s="591"/>
      <c r="AB465" s="591"/>
      <c r="AC465" s="591"/>
      <c r="AD465" s="591"/>
      <c r="AE465" s="591"/>
    </row>
    <row r="466" spans="1:31">
      <c r="A466" s="591"/>
      <c r="B466" s="591"/>
      <c r="C466" s="591"/>
      <c r="D466" s="591"/>
      <c r="E466" s="591"/>
      <c r="F466" s="591"/>
      <c r="G466" s="591"/>
      <c r="H466" s="591"/>
      <c r="I466" s="591"/>
      <c r="J466" s="591"/>
      <c r="K466" s="591"/>
      <c r="L466" s="591"/>
      <c r="M466" s="591"/>
      <c r="N466" s="591"/>
      <c r="O466" s="591"/>
      <c r="P466" s="591"/>
      <c r="Q466" s="591"/>
      <c r="R466" s="591"/>
      <c r="S466" s="591"/>
      <c r="T466" s="591"/>
      <c r="U466" s="591"/>
      <c r="V466" s="591"/>
      <c r="W466" s="591"/>
      <c r="X466" s="591"/>
      <c r="Y466" s="591"/>
      <c r="Z466" s="591"/>
      <c r="AA466" s="591"/>
      <c r="AB466" s="591"/>
      <c r="AC466" s="591"/>
      <c r="AD466" s="591"/>
      <c r="AE466" s="591"/>
    </row>
    <row r="467" spans="1:31">
      <c r="A467" s="591"/>
      <c r="B467" s="591"/>
      <c r="C467" s="591"/>
      <c r="D467" s="591"/>
      <c r="E467" s="591"/>
      <c r="F467" s="591"/>
      <c r="G467" s="591"/>
      <c r="H467" s="591"/>
      <c r="I467" s="591"/>
      <c r="J467" s="591"/>
      <c r="K467" s="591"/>
      <c r="L467" s="591"/>
      <c r="M467" s="591"/>
      <c r="N467" s="591"/>
      <c r="O467" s="591"/>
      <c r="P467" s="591"/>
      <c r="Q467" s="591"/>
      <c r="R467" s="591"/>
      <c r="S467" s="591"/>
      <c r="T467" s="591"/>
      <c r="U467" s="591"/>
      <c r="V467" s="591"/>
      <c r="W467" s="591"/>
      <c r="X467" s="591"/>
      <c r="Y467" s="591"/>
      <c r="Z467" s="591"/>
      <c r="AA467" s="591"/>
      <c r="AB467" s="591"/>
      <c r="AC467" s="591"/>
      <c r="AD467" s="591"/>
      <c r="AE467" s="591"/>
    </row>
    <row r="468" spans="1:31">
      <c r="A468" s="591"/>
      <c r="B468" s="591"/>
      <c r="C468" s="591"/>
      <c r="D468" s="591"/>
      <c r="E468" s="591"/>
      <c r="F468" s="591"/>
      <c r="G468" s="591"/>
      <c r="H468" s="591"/>
      <c r="I468" s="591"/>
      <c r="J468" s="591"/>
      <c r="K468" s="591"/>
      <c r="L468" s="591"/>
      <c r="M468" s="591"/>
      <c r="N468" s="591"/>
      <c r="O468" s="591"/>
      <c r="P468" s="591"/>
      <c r="Q468" s="591"/>
      <c r="R468" s="591"/>
      <c r="S468" s="591"/>
      <c r="T468" s="591"/>
      <c r="U468" s="591"/>
      <c r="V468" s="591"/>
      <c r="W468" s="591"/>
      <c r="X468" s="591"/>
      <c r="Y468" s="591"/>
      <c r="Z468" s="591"/>
      <c r="AA468" s="591"/>
      <c r="AB468" s="591"/>
      <c r="AC468" s="591"/>
      <c r="AD468" s="591"/>
      <c r="AE468" s="591"/>
    </row>
    <row r="469" spans="1:31">
      <c r="A469" s="591"/>
      <c r="B469" s="591"/>
      <c r="C469" s="591"/>
      <c r="D469" s="591"/>
      <c r="E469" s="591"/>
      <c r="F469" s="591"/>
      <c r="G469" s="591"/>
      <c r="H469" s="591"/>
      <c r="I469" s="591"/>
      <c r="J469" s="591"/>
      <c r="K469" s="591"/>
      <c r="L469" s="591"/>
      <c r="M469" s="591"/>
      <c r="N469" s="591"/>
      <c r="O469" s="591"/>
      <c r="P469" s="591"/>
      <c r="Q469" s="591"/>
      <c r="R469" s="591"/>
      <c r="S469" s="591"/>
      <c r="T469" s="591"/>
      <c r="U469" s="591"/>
      <c r="V469" s="591"/>
      <c r="W469" s="591"/>
      <c r="X469" s="591"/>
      <c r="Y469" s="591"/>
      <c r="Z469" s="591"/>
      <c r="AA469" s="591"/>
      <c r="AB469" s="591"/>
      <c r="AC469" s="591"/>
      <c r="AD469" s="591"/>
      <c r="AE469" s="591"/>
    </row>
    <row r="470" spans="1:31">
      <c r="A470" s="591"/>
      <c r="B470" s="591"/>
      <c r="C470" s="591"/>
      <c r="D470" s="591"/>
      <c r="E470" s="591"/>
      <c r="F470" s="591"/>
      <c r="G470" s="591"/>
      <c r="H470" s="591"/>
      <c r="I470" s="591"/>
      <c r="J470" s="591"/>
      <c r="K470" s="591"/>
      <c r="L470" s="591"/>
      <c r="M470" s="591"/>
      <c r="N470" s="591"/>
      <c r="O470" s="591"/>
      <c r="P470" s="591"/>
      <c r="Q470" s="591"/>
      <c r="R470" s="591"/>
      <c r="S470" s="591"/>
      <c r="T470" s="591"/>
      <c r="U470" s="591"/>
      <c r="V470" s="591"/>
      <c r="W470" s="591"/>
      <c r="X470" s="591"/>
      <c r="Y470" s="591"/>
      <c r="Z470" s="591"/>
      <c r="AA470" s="591"/>
      <c r="AB470" s="591"/>
      <c r="AC470" s="591"/>
      <c r="AD470" s="591"/>
      <c r="AE470" s="591"/>
    </row>
    <row r="471" spans="1:31">
      <c r="A471" s="591"/>
      <c r="B471" s="591"/>
      <c r="C471" s="591"/>
      <c r="D471" s="591"/>
      <c r="E471" s="591"/>
      <c r="F471" s="591"/>
      <c r="G471" s="591"/>
      <c r="H471" s="591"/>
      <c r="I471" s="591"/>
      <c r="J471" s="591"/>
      <c r="K471" s="591"/>
      <c r="L471" s="591"/>
      <c r="M471" s="591"/>
      <c r="N471" s="591"/>
      <c r="O471" s="591"/>
      <c r="P471" s="591"/>
      <c r="Q471" s="591"/>
      <c r="R471" s="591"/>
      <c r="S471" s="591"/>
      <c r="T471" s="591"/>
      <c r="U471" s="591"/>
      <c r="V471" s="591"/>
      <c r="W471" s="591"/>
      <c r="X471" s="591"/>
      <c r="Y471" s="591"/>
      <c r="Z471" s="591"/>
      <c r="AA471" s="591"/>
      <c r="AB471" s="591"/>
      <c r="AC471" s="591"/>
      <c r="AD471" s="591"/>
      <c r="AE471" s="591"/>
    </row>
    <row r="472" spans="1:31">
      <c r="A472" s="591"/>
      <c r="B472" s="591"/>
      <c r="C472" s="591"/>
      <c r="D472" s="591"/>
      <c r="E472" s="591"/>
      <c r="F472" s="591"/>
      <c r="G472" s="591"/>
      <c r="H472" s="591"/>
      <c r="I472" s="591"/>
      <c r="J472" s="591"/>
      <c r="K472" s="591"/>
      <c r="L472" s="591"/>
      <c r="M472" s="591"/>
      <c r="N472" s="591"/>
      <c r="O472" s="591"/>
      <c r="P472" s="591"/>
      <c r="Q472" s="591"/>
      <c r="R472" s="591"/>
      <c r="S472" s="591"/>
      <c r="T472" s="591"/>
      <c r="U472" s="591"/>
      <c r="V472" s="591"/>
      <c r="W472" s="591"/>
      <c r="X472" s="591"/>
      <c r="Y472" s="591"/>
      <c r="Z472" s="591"/>
      <c r="AA472" s="591"/>
      <c r="AB472" s="591"/>
      <c r="AC472" s="591"/>
      <c r="AD472" s="591"/>
      <c r="AE472" s="591"/>
    </row>
    <row r="473" spans="1:31">
      <c r="A473" s="591"/>
      <c r="B473" s="591"/>
      <c r="C473" s="591"/>
      <c r="D473" s="591"/>
      <c r="E473" s="591"/>
      <c r="F473" s="591"/>
      <c r="G473" s="591"/>
      <c r="H473" s="591"/>
      <c r="I473" s="591"/>
      <c r="J473" s="591"/>
      <c r="K473" s="591"/>
      <c r="L473" s="591"/>
      <c r="M473" s="591"/>
      <c r="N473" s="591"/>
      <c r="O473" s="591"/>
      <c r="P473" s="591"/>
      <c r="Q473" s="591"/>
      <c r="R473" s="591"/>
      <c r="S473" s="591"/>
      <c r="T473" s="591"/>
      <c r="U473" s="591"/>
      <c r="V473" s="591"/>
      <c r="W473" s="591"/>
      <c r="X473" s="591"/>
      <c r="Y473" s="591"/>
      <c r="Z473" s="591"/>
      <c r="AA473" s="591"/>
      <c r="AB473" s="591"/>
      <c r="AC473" s="591"/>
      <c r="AD473" s="591"/>
      <c r="AE473" s="591"/>
    </row>
    <row r="474" spans="1:31">
      <c r="A474" s="591"/>
      <c r="B474" s="591"/>
      <c r="C474" s="591"/>
      <c r="D474" s="591"/>
      <c r="E474" s="591"/>
      <c r="F474" s="591"/>
      <c r="G474" s="591"/>
      <c r="H474" s="591"/>
      <c r="I474" s="591"/>
      <c r="J474" s="591"/>
      <c r="K474" s="591"/>
      <c r="L474" s="591"/>
      <c r="M474" s="591"/>
      <c r="N474" s="591"/>
      <c r="O474" s="591"/>
      <c r="P474" s="591"/>
      <c r="Q474" s="591"/>
      <c r="R474" s="591"/>
      <c r="S474" s="591"/>
      <c r="T474" s="591"/>
      <c r="U474" s="591"/>
      <c r="V474" s="591"/>
      <c r="W474" s="591"/>
      <c r="X474" s="591"/>
      <c r="Y474" s="591"/>
      <c r="Z474" s="591"/>
      <c r="AA474" s="591"/>
      <c r="AB474" s="591"/>
      <c r="AC474" s="591"/>
      <c r="AD474" s="591"/>
      <c r="AE474" s="591"/>
    </row>
    <row r="475" spans="1:31">
      <c r="A475" s="591"/>
      <c r="B475" s="591"/>
      <c r="C475" s="591"/>
      <c r="D475" s="591"/>
      <c r="E475" s="591"/>
      <c r="F475" s="591"/>
      <c r="G475" s="591"/>
      <c r="H475" s="591"/>
      <c r="I475" s="591"/>
      <c r="J475" s="591"/>
      <c r="K475" s="591"/>
      <c r="L475" s="591"/>
      <c r="M475" s="591"/>
      <c r="N475" s="591"/>
      <c r="O475" s="591"/>
      <c r="P475" s="591"/>
      <c r="Q475" s="591"/>
      <c r="R475" s="591"/>
      <c r="S475" s="591"/>
      <c r="T475" s="591"/>
      <c r="U475" s="591"/>
      <c r="V475" s="591"/>
      <c r="W475" s="591"/>
      <c r="X475" s="591"/>
      <c r="Y475" s="591"/>
      <c r="Z475" s="591"/>
      <c r="AA475" s="591"/>
      <c r="AB475" s="591"/>
      <c r="AC475" s="591"/>
      <c r="AD475" s="591"/>
      <c r="AE475" s="591"/>
    </row>
    <row r="476" spans="1:31">
      <c r="A476" s="591"/>
      <c r="B476" s="591"/>
      <c r="C476" s="591"/>
      <c r="D476" s="591"/>
      <c r="E476" s="591"/>
      <c r="F476" s="591"/>
      <c r="G476" s="591"/>
      <c r="H476" s="591"/>
      <c r="I476" s="591"/>
      <c r="J476" s="591"/>
      <c r="K476" s="591"/>
      <c r="L476" s="591"/>
      <c r="M476" s="591"/>
      <c r="N476" s="591"/>
      <c r="O476" s="591"/>
      <c r="P476" s="591"/>
      <c r="Q476" s="591"/>
      <c r="R476" s="591"/>
      <c r="S476" s="591"/>
      <c r="T476" s="591"/>
      <c r="U476" s="591"/>
      <c r="V476" s="591"/>
      <c r="W476" s="591"/>
      <c r="X476" s="591"/>
      <c r="Y476" s="591"/>
      <c r="Z476" s="591"/>
      <c r="AA476" s="591"/>
      <c r="AB476" s="591"/>
      <c r="AC476" s="591"/>
      <c r="AD476" s="591"/>
      <c r="AE476" s="591"/>
    </row>
    <row r="477" spans="1:31">
      <c r="A477" s="591"/>
      <c r="B477" s="591"/>
      <c r="C477" s="591"/>
      <c r="D477" s="591"/>
      <c r="E477" s="591"/>
      <c r="F477" s="591"/>
      <c r="G477" s="591"/>
      <c r="H477" s="591"/>
      <c r="I477" s="591"/>
      <c r="J477" s="591"/>
      <c r="K477" s="591"/>
      <c r="L477" s="591"/>
      <c r="M477" s="591"/>
      <c r="N477" s="591"/>
      <c r="O477" s="591"/>
      <c r="P477" s="591"/>
      <c r="Q477" s="591"/>
      <c r="R477" s="591"/>
      <c r="S477" s="591"/>
      <c r="T477" s="591"/>
      <c r="U477" s="591"/>
      <c r="V477" s="591"/>
      <c r="W477" s="591"/>
      <c r="X477" s="591"/>
      <c r="Y477" s="591"/>
      <c r="Z477" s="591"/>
      <c r="AA477" s="591"/>
      <c r="AB477" s="591"/>
      <c r="AC477" s="591"/>
      <c r="AD477" s="591"/>
      <c r="AE477" s="591"/>
    </row>
    <row r="478" spans="1:31">
      <c r="A478" s="591"/>
      <c r="B478" s="591"/>
      <c r="C478" s="591"/>
      <c r="D478" s="591"/>
      <c r="E478" s="591"/>
      <c r="F478" s="591"/>
      <c r="G478" s="591"/>
      <c r="H478" s="591"/>
      <c r="I478" s="591"/>
      <c r="J478" s="591"/>
      <c r="K478" s="591"/>
      <c r="L478" s="591"/>
      <c r="M478" s="591"/>
      <c r="N478" s="591"/>
      <c r="O478" s="591"/>
      <c r="P478" s="591"/>
      <c r="Q478" s="591"/>
      <c r="R478" s="591"/>
      <c r="S478" s="591"/>
      <c r="T478" s="591"/>
      <c r="U478" s="591"/>
      <c r="V478" s="591"/>
      <c r="W478" s="591"/>
      <c r="X478" s="591"/>
      <c r="Y478" s="591"/>
      <c r="Z478" s="591"/>
      <c r="AA478" s="591"/>
      <c r="AB478" s="591"/>
      <c r="AC478" s="591"/>
      <c r="AD478" s="591"/>
      <c r="AE478" s="591"/>
    </row>
    <row r="479" spans="1:31">
      <c r="A479" s="591"/>
      <c r="B479" s="591"/>
      <c r="C479" s="591"/>
      <c r="D479" s="591"/>
      <c r="E479" s="591"/>
      <c r="F479" s="591"/>
      <c r="G479" s="591"/>
      <c r="H479" s="591"/>
      <c r="I479" s="591"/>
      <c r="J479" s="591"/>
      <c r="K479" s="591"/>
      <c r="L479" s="591"/>
      <c r="M479" s="591"/>
      <c r="N479" s="591"/>
      <c r="O479" s="591"/>
      <c r="P479" s="591"/>
      <c r="Q479" s="591"/>
      <c r="R479" s="591"/>
      <c r="S479" s="591"/>
      <c r="T479" s="591"/>
      <c r="U479" s="591"/>
      <c r="V479" s="591"/>
      <c r="W479" s="591"/>
      <c r="X479" s="591"/>
      <c r="Y479" s="591"/>
      <c r="Z479" s="591"/>
      <c r="AA479" s="591"/>
      <c r="AB479" s="591"/>
      <c r="AC479" s="591"/>
      <c r="AD479" s="591"/>
      <c r="AE479" s="591"/>
    </row>
    <row r="480" spans="1:31">
      <c r="A480" s="591"/>
      <c r="B480" s="591"/>
      <c r="C480" s="591"/>
      <c r="D480" s="591"/>
      <c r="E480" s="591"/>
      <c r="F480" s="591"/>
      <c r="G480" s="591"/>
      <c r="H480" s="591"/>
      <c r="I480" s="591"/>
      <c r="J480" s="591"/>
      <c r="K480" s="591"/>
      <c r="L480" s="591"/>
      <c r="M480" s="591"/>
      <c r="N480" s="591"/>
      <c r="O480" s="591"/>
      <c r="P480" s="591"/>
      <c r="Q480" s="591"/>
      <c r="R480" s="591"/>
      <c r="S480" s="591"/>
      <c r="T480" s="591"/>
      <c r="U480" s="591"/>
      <c r="V480" s="591"/>
      <c r="W480" s="591"/>
      <c r="X480" s="591"/>
      <c r="Y480" s="591"/>
      <c r="Z480" s="591"/>
      <c r="AA480" s="591"/>
      <c r="AB480" s="591"/>
      <c r="AC480" s="591"/>
      <c r="AD480" s="591"/>
      <c r="AE480" s="591"/>
    </row>
    <row r="481" spans="1:31">
      <c r="A481" s="591"/>
      <c r="B481" s="591"/>
      <c r="C481" s="591"/>
      <c r="D481" s="591"/>
      <c r="E481" s="591"/>
      <c r="F481" s="591"/>
      <c r="G481" s="591"/>
      <c r="H481" s="591"/>
      <c r="I481" s="591"/>
      <c r="J481" s="591"/>
      <c r="K481" s="591"/>
      <c r="L481" s="591"/>
      <c r="M481" s="591"/>
      <c r="N481" s="591"/>
      <c r="O481" s="591"/>
      <c r="P481" s="591"/>
      <c r="Q481" s="591"/>
      <c r="R481" s="591"/>
      <c r="S481" s="591"/>
      <c r="T481" s="591"/>
      <c r="U481" s="591"/>
      <c r="V481" s="591"/>
      <c r="W481" s="591"/>
      <c r="X481" s="591"/>
      <c r="Y481" s="591"/>
      <c r="Z481" s="591"/>
      <c r="AA481" s="591"/>
      <c r="AB481" s="591"/>
      <c r="AC481" s="591"/>
      <c r="AD481" s="591"/>
      <c r="AE481" s="591"/>
    </row>
    <row r="482" spans="1:31">
      <c r="A482" s="591"/>
      <c r="B482" s="591"/>
      <c r="C482" s="591"/>
      <c r="D482" s="591"/>
      <c r="E482" s="591"/>
      <c r="F482" s="591"/>
      <c r="G482" s="591"/>
      <c r="H482" s="591"/>
      <c r="I482" s="591"/>
      <c r="J482" s="591"/>
      <c r="K482" s="591"/>
      <c r="L482" s="591"/>
      <c r="M482" s="591"/>
      <c r="N482" s="591"/>
      <c r="O482" s="591"/>
      <c r="P482" s="591"/>
      <c r="Q482" s="591"/>
      <c r="R482" s="591"/>
      <c r="S482" s="591"/>
      <c r="T482" s="591"/>
      <c r="U482" s="591"/>
      <c r="V482" s="591"/>
      <c r="W482" s="591"/>
      <c r="X482" s="591"/>
      <c r="Y482" s="591"/>
      <c r="Z482" s="591"/>
      <c r="AA482" s="591"/>
      <c r="AB482" s="591"/>
      <c r="AC482" s="591"/>
      <c r="AD482" s="591"/>
      <c r="AE482" s="591"/>
    </row>
    <row r="483" spans="1:31">
      <c r="A483" s="591"/>
      <c r="B483" s="591"/>
      <c r="C483" s="591"/>
      <c r="D483" s="591"/>
      <c r="E483" s="591"/>
      <c r="F483" s="591"/>
      <c r="G483" s="591"/>
      <c r="H483" s="591"/>
      <c r="I483" s="591"/>
      <c r="J483" s="591"/>
      <c r="K483" s="591"/>
      <c r="L483" s="591"/>
      <c r="M483" s="591"/>
      <c r="N483" s="591"/>
      <c r="O483" s="591"/>
      <c r="P483" s="591"/>
      <c r="Q483" s="591"/>
      <c r="R483" s="591"/>
      <c r="S483" s="591"/>
      <c r="T483" s="591"/>
      <c r="U483" s="591"/>
      <c r="V483" s="591"/>
      <c r="W483" s="591"/>
      <c r="X483" s="591"/>
      <c r="Y483" s="591"/>
      <c r="Z483" s="591"/>
      <c r="AA483" s="591"/>
      <c r="AB483" s="591"/>
      <c r="AC483" s="591"/>
      <c r="AD483" s="591"/>
      <c r="AE483" s="591"/>
    </row>
    <row r="484" spans="1:31">
      <c r="A484" s="591"/>
      <c r="B484" s="591"/>
      <c r="C484" s="591"/>
      <c r="D484" s="591"/>
      <c r="E484" s="591"/>
      <c r="F484" s="591"/>
      <c r="G484" s="591"/>
      <c r="H484" s="591"/>
      <c r="I484" s="591"/>
      <c r="J484" s="591"/>
      <c r="K484" s="591"/>
      <c r="L484" s="591"/>
      <c r="M484" s="591"/>
      <c r="N484" s="591"/>
      <c r="O484" s="591"/>
      <c r="P484" s="591"/>
      <c r="Q484" s="591"/>
      <c r="R484" s="591"/>
      <c r="S484" s="591"/>
      <c r="T484" s="591"/>
      <c r="U484" s="591"/>
      <c r="V484" s="591"/>
      <c r="W484" s="591"/>
      <c r="X484" s="591"/>
      <c r="Y484" s="591"/>
      <c r="Z484" s="591"/>
      <c r="AA484" s="591"/>
      <c r="AB484" s="591"/>
      <c r="AC484" s="591"/>
      <c r="AD484" s="591"/>
      <c r="AE484" s="591"/>
    </row>
    <row r="485" spans="1:31">
      <c r="A485" s="591"/>
      <c r="B485" s="591"/>
      <c r="C485" s="591"/>
      <c r="D485" s="591"/>
      <c r="E485" s="591"/>
      <c r="F485" s="591"/>
      <c r="G485" s="591"/>
      <c r="H485" s="591"/>
      <c r="I485" s="591"/>
      <c r="J485" s="591"/>
      <c r="K485" s="591"/>
      <c r="L485" s="591"/>
      <c r="M485" s="591"/>
      <c r="N485" s="591"/>
      <c r="O485" s="591"/>
      <c r="P485" s="591"/>
      <c r="Q485" s="591"/>
      <c r="R485" s="591"/>
      <c r="S485" s="591"/>
      <c r="T485" s="591"/>
      <c r="U485" s="591"/>
      <c r="V485" s="591"/>
      <c r="W485" s="591"/>
      <c r="X485" s="591"/>
      <c r="Y485" s="591"/>
      <c r="Z485" s="591"/>
      <c r="AA485" s="591"/>
      <c r="AB485" s="591"/>
      <c r="AC485" s="591"/>
      <c r="AD485" s="591"/>
      <c r="AE485" s="591"/>
    </row>
    <row r="486" spans="1:31">
      <c r="A486" s="591"/>
      <c r="B486" s="591"/>
      <c r="C486" s="591"/>
      <c r="D486" s="591"/>
      <c r="E486" s="591"/>
      <c r="F486" s="591"/>
      <c r="G486" s="591"/>
      <c r="H486" s="591"/>
      <c r="I486" s="591"/>
      <c r="J486" s="591"/>
      <c r="K486" s="591"/>
      <c r="L486" s="591"/>
      <c r="M486" s="591"/>
      <c r="N486" s="591"/>
      <c r="O486" s="591"/>
      <c r="P486" s="591"/>
      <c r="Q486" s="591"/>
      <c r="R486" s="591"/>
      <c r="S486" s="591"/>
      <c r="T486" s="591"/>
      <c r="U486" s="591"/>
      <c r="V486" s="591"/>
      <c r="W486" s="591"/>
      <c r="X486" s="591"/>
      <c r="Y486" s="591"/>
      <c r="Z486" s="591"/>
      <c r="AA486" s="591"/>
      <c r="AB486" s="591"/>
      <c r="AC486" s="591"/>
      <c r="AD486" s="591"/>
      <c r="AE486" s="591"/>
    </row>
    <row r="487" spans="1:31">
      <c r="A487" s="591"/>
      <c r="B487" s="591"/>
      <c r="C487" s="591"/>
      <c r="D487" s="591"/>
      <c r="E487" s="591"/>
      <c r="F487" s="591"/>
      <c r="G487" s="591"/>
      <c r="H487" s="591"/>
      <c r="I487" s="591"/>
      <c r="J487" s="591"/>
      <c r="K487" s="591"/>
      <c r="L487" s="591"/>
      <c r="M487" s="591"/>
      <c r="N487" s="591"/>
      <c r="O487" s="591"/>
      <c r="P487" s="591"/>
      <c r="Q487" s="591"/>
      <c r="R487" s="591"/>
      <c r="S487" s="591"/>
      <c r="T487" s="591"/>
      <c r="U487" s="591"/>
      <c r="V487" s="591"/>
      <c r="W487" s="591"/>
      <c r="X487" s="591"/>
      <c r="Y487" s="591"/>
      <c r="Z487" s="591"/>
      <c r="AA487" s="591"/>
      <c r="AB487" s="591"/>
      <c r="AC487" s="591"/>
      <c r="AD487" s="591"/>
      <c r="AE487" s="591"/>
    </row>
    <row r="488" spans="1:31">
      <c r="A488" s="591"/>
      <c r="B488" s="591"/>
      <c r="C488" s="591"/>
      <c r="D488" s="591"/>
      <c r="E488" s="591"/>
      <c r="F488" s="591"/>
      <c r="G488" s="591"/>
      <c r="H488" s="591"/>
      <c r="I488" s="591"/>
      <c r="J488" s="591"/>
      <c r="K488" s="591"/>
      <c r="L488" s="591"/>
      <c r="M488" s="591"/>
      <c r="N488" s="591"/>
      <c r="O488" s="591"/>
      <c r="P488" s="591"/>
      <c r="Q488" s="591"/>
      <c r="R488" s="591"/>
      <c r="S488" s="591"/>
      <c r="T488" s="591"/>
      <c r="U488" s="591"/>
      <c r="V488" s="591"/>
      <c r="W488" s="591"/>
      <c r="X488" s="591"/>
      <c r="Y488" s="591"/>
      <c r="Z488" s="591"/>
      <c r="AA488" s="591"/>
      <c r="AB488" s="591"/>
      <c r="AC488" s="591"/>
      <c r="AD488" s="591"/>
      <c r="AE488" s="591"/>
    </row>
    <row r="489" spans="1:31">
      <c r="A489" s="591"/>
      <c r="B489" s="591"/>
      <c r="C489" s="591"/>
      <c r="D489" s="591"/>
      <c r="E489" s="591"/>
      <c r="F489" s="591"/>
      <c r="G489" s="591"/>
      <c r="H489" s="591"/>
      <c r="I489" s="591"/>
      <c r="J489" s="591"/>
      <c r="K489" s="591"/>
      <c r="L489" s="591"/>
      <c r="M489" s="591"/>
      <c r="N489" s="591"/>
      <c r="O489" s="591"/>
      <c r="P489" s="591"/>
      <c r="Q489" s="591"/>
      <c r="R489" s="591"/>
      <c r="S489" s="591"/>
      <c r="T489" s="591"/>
      <c r="U489" s="591"/>
      <c r="V489" s="591"/>
      <c r="W489" s="591"/>
      <c r="X489" s="591"/>
      <c r="Y489" s="591"/>
      <c r="Z489" s="591"/>
      <c r="AA489" s="591"/>
      <c r="AB489" s="591"/>
      <c r="AC489" s="591"/>
      <c r="AD489" s="591"/>
      <c r="AE489" s="591"/>
    </row>
    <row r="490" spans="1:31">
      <c r="A490" s="591"/>
      <c r="B490" s="591"/>
      <c r="C490" s="591"/>
      <c r="D490" s="591"/>
      <c r="E490" s="591"/>
      <c r="F490" s="591"/>
      <c r="G490" s="591"/>
      <c r="H490" s="591"/>
      <c r="I490" s="591"/>
      <c r="J490" s="591"/>
      <c r="K490" s="591"/>
      <c r="L490" s="591"/>
      <c r="M490" s="591"/>
      <c r="N490" s="591"/>
      <c r="O490" s="591"/>
      <c r="P490" s="591"/>
      <c r="Q490" s="591"/>
      <c r="R490" s="591"/>
      <c r="S490" s="591"/>
      <c r="T490" s="591"/>
      <c r="U490" s="591"/>
      <c r="V490" s="591"/>
      <c r="W490" s="591"/>
      <c r="X490" s="591"/>
      <c r="Y490" s="591"/>
      <c r="Z490" s="591"/>
      <c r="AA490" s="591"/>
      <c r="AB490" s="591"/>
      <c r="AC490" s="591"/>
      <c r="AD490" s="591"/>
      <c r="AE490" s="591"/>
    </row>
    <row r="491" spans="1:31">
      <c r="A491" s="591"/>
      <c r="B491" s="591"/>
      <c r="C491" s="591"/>
      <c r="D491" s="591"/>
      <c r="E491" s="591"/>
      <c r="F491" s="591"/>
      <c r="G491" s="591"/>
      <c r="H491" s="591"/>
      <c r="I491" s="591"/>
      <c r="J491" s="591"/>
      <c r="K491" s="591"/>
      <c r="L491" s="591"/>
      <c r="M491" s="591"/>
      <c r="N491" s="591"/>
      <c r="O491" s="591"/>
      <c r="P491" s="591"/>
      <c r="Q491" s="591"/>
      <c r="R491" s="591"/>
      <c r="S491" s="591"/>
      <c r="T491" s="591"/>
      <c r="U491" s="591"/>
      <c r="V491" s="591"/>
      <c r="W491" s="591"/>
      <c r="X491" s="591"/>
      <c r="Y491" s="591"/>
      <c r="Z491" s="591"/>
      <c r="AA491" s="591"/>
      <c r="AB491" s="591"/>
      <c r="AC491" s="591"/>
      <c r="AD491" s="591"/>
      <c r="AE491" s="591"/>
    </row>
    <row r="492" spans="1:31">
      <c r="A492" s="591"/>
      <c r="B492" s="591"/>
      <c r="C492" s="591"/>
      <c r="D492" s="591"/>
      <c r="E492" s="591"/>
      <c r="F492" s="591"/>
      <c r="G492" s="591"/>
      <c r="H492" s="591"/>
      <c r="I492" s="591"/>
      <c r="J492" s="591"/>
      <c r="K492" s="591"/>
      <c r="L492" s="591"/>
      <c r="M492" s="591"/>
      <c r="N492" s="591"/>
      <c r="O492" s="591"/>
      <c r="P492" s="591"/>
      <c r="Q492" s="591"/>
      <c r="R492" s="591"/>
      <c r="S492" s="591"/>
      <c r="T492" s="591"/>
      <c r="U492" s="591"/>
      <c r="V492" s="591"/>
      <c r="W492" s="591"/>
      <c r="X492" s="591"/>
      <c r="Y492" s="591"/>
      <c r="Z492" s="591"/>
      <c r="AA492" s="591"/>
      <c r="AB492" s="591"/>
      <c r="AC492" s="591"/>
      <c r="AD492" s="591"/>
      <c r="AE492" s="591"/>
    </row>
    <row r="493" spans="1:31">
      <c r="A493" s="591"/>
      <c r="B493" s="591"/>
      <c r="C493" s="591"/>
      <c r="D493" s="591"/>
      <c r="E493" s="591"/>
      <c r="F493" s="591"/>
      <c r="G493" s="591"/>
      <c r="H493" s="591"/>
      <c r="I493" s="591"/>
      <c r="J493" s="591"/>
      <c r="K493" s="591"/>
      <c r="L493" s="591"/>
      <c r="M493" s="591"/>
      <c r="N493" s="591"/>
      <c r="O493" s="591"/>
      <c r="P493" s="591"/>
      <c r="Q493" s="591"/>
      <c r="R493" s="591"/>
      <c r="S493" s="591"/>
      <c r="T493" s="591"/>
      <c r="U493" s="591"/>
      <c r="V493" s="591"/>
      <c r="W493" s="591"/>
      <c r="X493" s="591"/>
      <c r="Y493" s="591"/>
      <c r="Z493" s="591"/>
      <c r="AA493" s="591"/>
      <c r="AB493" s="591"/>
      <c r="AC493" s="591"/>
      <c r="AD493" s="591"/>
      <c r="AE493" s="591"/>
    </row>
    <row r="494" spans="1:31">
      <c r="A494" s="591"/>
      <c r="B494" s="591"/>
      <c r="C494" s="591"/>
      <c r="D494" s="591"/>
      <c r="E494" s="591"/>
      <c r="F494" s="591"/>
      <c r="G494" s="591"/>
      <c r="H494" s="591"/>
      <c r="I494" s="591"/>
      <c r="J494" s="591"/>
      <c r="K494" s="591"/>
      <c r="L494" s="591"/>
      <c r="M494" s="591"/>
      <c r="N494" s="591"/>
      <c r="O494" s="591"/>
      <c r="P494" s="591"/>
      <c r="Q494" s="591"/>
      <c r="R494" s="591"/>
      <c r="S494" s="591"/>
      <c r="T494" s="591"/>
      <c r="U494" s="591"/>
      <c r="V494" s="591"/>
      <c r="W494" s="591"/>
      <c r="X494" s="591"/>
      <c r="Y494" s="591"/>
      <c r="Z494" s="591"/>
      <c r="AA494" s="591"/>
      <c r="AB494" s="591"/>
      <c r="AC494" s="591"/>
      <c r="AD494" s="591"/>
      <c r="AE494" s="591"/>
    </row>
    <row r="495" spans="1:31">
      <c r="A495" s="591"/>
      <c r="B495" s="591"/>
      <c r="C495" s="591"/>
      <c r="D495" s="591"/>
      <c r="E495" s="591"/>
      <c r="F495" s="591"/>
      <c r="G495" s="591"/>
      <c r="H495" s="591"/>
      <c r="I495" s="591"/>
      <c r="J495" s="591"/>
      <c r="K495" s="591"/>
      <c r="L495" s="591"/>
      <c r="M495" s="591"/>
      <c r="N495" s="591"/>
      <c r="O495" s="591"/>
      <c r="P495" s="591"/>
      <c r="Q495" s="591"/>
      <c r="R495" s="591"/>
      <c r="S495" s="591"/>
      <c r="T495" s="591"/>
      <c r="U495" s="591"/>
      <c r="V495" s="591"/>
      <c r="W495" s="591"/>
      <c r="X495" s="591"/>
      <c r="Y495" s="591"/>
      <c r="Z495" s="591"/>
      <c r="AA495" s="591"/>
      <c r="AB495" s="591"/>
      <c r="AC495" s="591"/>
      <c r="AD495" s="591"/>
      <c r="AE495" s="591"/>
    </row>
    <row r="496" spans="1:31">
      <c r="A496" s="591"/>
      <c r="B496" s="591"/>
      <c r="C496" s="591"/>
      <c r="D496" s="591"/>
      <c r="E496" s="591"/>
      <c r="F496" s="591"/>
      <c r="G496" s="591"/>
      <c r="H496" s="591"/>
      <c r="I496" s="591"/>
      <c r="J496" s="591"/>
      <c r="K496" s="591"/>
      <c r="L496" s="591"/>
      <c r="M496" s="591"/>
      <c r="N496" s="591"/>
      <c r="O496" s="591"/>
      <c r="P496" s="591"/>
      <c r="Q496" s="591"/>
      <c r="R496" s="591"/>
      <c r="S496" s="591"/>
      <c r="T496" s="591"/>
      <c r="U496" s="591"/>
      <c r="V496" s="591"/>
      <c r="W496" s="591"/>
      <c r="X496" s="591"/>
      <c r="Y496" s="591"/>
      <c r="Z496" s="591"/>
      <c r="AA496" s="591"/>
      <c r="AB496" s="591"/>
      <c r="AC496" s="591"/>
      <c r="AD496" s="591"/>
      <c r="AE496" s="591"/>
    </row>
    <row r="497" spans="1:31">
      <c r="A497" s="591"/>
      <c r="B497" s="591"/>
      <c r="C497" s="591"/>
      <c r="D497" s="591"/>
      <c r="E497" s="591"/>
      <c r="F497" s="591"/>
      <c r="G497" s="591"/>
      <c r="H497" s="591"/>
      <c r="I497" s="591"/>
      <c r="J497" s="591"/>
      <c r="K497" s="591"/>
      <c r="L497" s="591"/>
      <c r="M497" s="591"/>
      <c r="N497" s="591"/>
      <c r="O497" s="591"/>
      <c r="P497" s="591"/>
      <c r="Q497" s="591"/>
      <c r="R497" s="591"/>
      <c r="S497" s="591"/>
      <c r="T497" s="591"/>
      <c r="U497" s="591"/>
      <c r="V497" s="591"/>
      <c r="W497" s="591"/>
      <c r="X497" s="591"/>
      <c r="Y497" s="591"/>
      <c r="Z497" s="591"/>
      <c r="AA497" s="591"/>
      <c r="AB497" s="591"/>
      <c r="AC497" s="591"/>
      <c r="AD497" s="591"/>
      <c r="AE497" s="591"/>
    </row>
    <row r="498" spans="1:31">
      <c r="A498" s="591"/>
      <c r="B498" s="591"/>
      <c r="C498" s="591"/>
      <c r="D498" s="591"/>
      <c r="E498" s="591"/>
      <c r="F498" s="591"/>
      <c r="G498" s="591"/>
      <c r="H498" s="591"/>
      <c r="I498" s="591"/>
      <c r="J498" s="591"/>
      <c r="K498" s="591"/>
      <c r="L498" s="591"/>
      <c r="M498" s="591"/>
      <c r="N498" s="591"/>
      <c r="O498" s="591"/>
      <c r="P498" s="591"/>
      <c r="Q498" s="591"/>
      <c r="R498" s="591"/>
      <c r="S498" s="591"/>
      <c r="T498" s="591"/>
      <c r="U498" s="591"/>
      <c r="V498" s="591"/>
      <c r="W498" s="591"/>
      <c r="X498" s="591"/>
      <c r="Y498" s="591"/>
      <c r="Z498" s="591"/>
      <c r="AA498" s="591"/>
      <c r="AB498" s="591"/>
      <c r="AC498" s="591"/>
      <c r="AD498" s="591"/>
      <c r="AE498" s="591"/>
    </row>
    <row r="499" spans="1:31">
      <c r="A499" s="591"/>
      <c r="B499" s="591"/>
      <c r="C499" s="591"/>
      <c r="D499" s="591"/>
      <c r="E499" s="591"/>
      <c r="F499" s="591"/>
      <c r="G499" s="591"/>
      <c r="H499" s="591"/>
      <c r="I499" s="591"/>
      <c r="J499" s="591"/>
      <c r="K499" s="591"/>
      <c r="L499" s="591"/>
      <c r="M499" s="591"/>
      <c r="N499" s="591"/>
      <c r="O499" s="591"/>
      <c r="P499" s="591"/>
      <c r="Q499" s="591"/>
      <c r="R499" s="591"/>
      <c r="S499" s="591"/>
      <c r="T499" s="591"/>
      <c r="U499" s="591"/>
      <c r="V499" s="591"/>
      <c r="W499" s="591"/>
      <c r="X499" s="591"/>
      <c r="Y499" s="591"/>
      <c r="Z499" s="591"/>
      <c r="AA499" s="591"/>
      <c r="AB499" s="591"/>
      <c r="AC499" s="591"/>
      <c r="AD499" s="591"/>
      <c r="AE499" s="591"/>
    </row>
    <row r="500" spans="1:31">
      <c r="A500" s="591"/>
      <c r="B500" s="591"/>
      <c r="C500" s="591"/>
      <c r="D500" s="591"/>
      <c r="E500" s="591"/>
      <c r="F500" s="591"/>
      <c r="G500" s="591"/>
      <c r="H500" s="591"/>
      <c r="I500" s="591"/>
      <c r="J500" s="591"/>
      <c r="K500" s="591"/>
      <c r="L500" s="591"/>
      <c r="M500" s="591"/>
      <c r="N500" s="591"/>
      <c r="O500" s="591"/>
      <c r="P500" s="591"/>
      <c r="Q500" s="591"/>
      <c r="R500" s="591"/>
      <c r="S500" s="591"/>
      <c r="T500" s="591"/>
      <c r="U500" s="591"/>
      <c r="V500" s="591"/>
      <c r="W500" s="591"/>
      <c r="X500" s="591"/>
      <c r="Y500" s="591"/>
      <c r="Z500" s="591"/>
      <c r="AA500" s="591"/>
      <c r="AB500" s="591"/>
      <c r="AC500" s="591"/>
      <c r="AD500" s="591"/>
      <c r="AE500" s="591"/>
    </row>
    <row r="501" spans="1:31">
      <c r="A501" s="591"/>
      <c r="B501" s="591"/>
      <c r="C501" s="591"/>
      <c r="D501" s="591"/>
      <c r="E501" s="591"/>
      <c r="F501" s="591"/>
      <c r="G501" s="591"/>
      <c r="H501" s="591"/>
      <c r="I501" s="591"/>
      <c r="J501" s="591"/>
      <c r="K501" s="591"/>
      <c r="L501" s="591"/>
      <c r="M501" s="591"/>
      <c r="N501" s="591"/>
      <c r="O501" s="591"/>
      <c r="P501" s="591"/>
      <c r="Q501" s="591"/>
      <c r="R501" s="591"/>
      <c r="S501" s="591"/>
      <c r="T501" s="591"/>
      <c r="U501" s="591"/>
      <c r="V501" s="591"/>
      <c r="W501" s="591"/>
      <c r="X501" s="591"/>
      <c r="Y501" s="591"/>
      <c r="Z501" s="591"/>
      <c r="AA501" s="591"/>
      <c r="AB501" s="591"/>
      <c r="AC501" s="591"/>
      <c r="AD501" s="591"/>
      <c r="AE501" s="591"/>
    </row>
    <row r="502" spans="1:31">
      <c r="A502" s="591"/>
      <c r="B502" s="591"/>
      <c r="C502" s="591"/>
      <c r="D502" s="591"/>
      <c r="E502" s="591"/>
      <c r="F502" s="591"/>
      <c r="G502" s="591"/>
      <c r="H502" s="591"/>
      <c r="I502" s="591"/>
      <c r="J502" s="591"/>
      <c r="K502" s="591"/>
      <c r="L502" s="591"/>
      <c r="M502" s="591"/>
      <c r="N502" s="591"/>
      <c r="O502" s="591"/>
      <c r="P502" s="591"/>
      <c r="Q502" s="591"/>
      <c r="R502" s="591"/>
      <c r="S502" s="591"/>
      <c r="T502" s="591"/>
      <c r="U502" s="591"/>
      <c r="V502" s="591"/>
      <c r="W502" s="591"/>
      <c r="X502" s="591"/>
      <c r="Y502" s="591"/>
      <c r="Z502" s="591"/>
      <c r="AA502" s="591"/>
      <c r="AB502" s="591"/>
      <c r="AC502" s="591"/>
      <c r="AD502" s="591"/>
      <c r="AE502" s="591"/>
    </row>
    <row r="503" spans="1:31">
      <c r="A503" s="591"/>
      <c r="B503" s="591"/>
      <c r="C503" s="591"/>
      <c r="D503" s="591"/>
      <c r="E503" s="591"/>
      <c r="F503" s="591"/>
      <c r="G503" s="591"/>
      <c r="H503" s="591"/>
      <c r="I503" s="591"/>
      <c r="J503" s="591"/>
      <c r="K503" s="591"/>
      <c r="L503" s="591"/>
      <c r="M503" s="591"/>
      <c r="N503" s="591"/>
      <c r="O503" s="591"/>
      <c r="P503" s="591"/>
      <c r="Q503" s="591"/>
      <c r="R503" s="591"/>
      <c r="S503" s="591"/>
      <c r="T503" s="591"/>
      <c r="U503" s="591"/>
      <c r="V503" s="591"/>
      <c r="W503" s="591"/>
      <c r="X503" s="591"/>
      <c r="Y503" s="591"/>
      <c r="Z503" s="591"/>
      <c r="AA503" s="591"/>
      <c r="AB503" s="591"/>
      <c r="AC503" s="591"/>
      <c r="AD503" s="591"/>
      <c r="AE503" s="591"/>
    </row>
    <row r="504" spans="1:31">
      <c r="A504" s="591"/>
      <c r="B504" s="591"/>
      <c r="C504" s="591"/>
      <c r="D504" s="591"/>
      <c r="E504" s="591"/>
      <c r="F504" s="591"/>
      <c r="G504" s="591"/>
      <c r="H504" s="591"/>
      <c r="I504" s="591"/>
      <c r="J504" s="591"/>
      <c r="K504" s="591"/>
      <c r="L504" s="591"/>
      <c r="M504" s="591"/>
      <c r="N504" s="591"/>
      <c r="O504" s="591"/>
      <c r="P504" s="591"/>
      <c r="Q504" s="591"/>
      <c r="R504" s="591"/>
      <c r="S504" s="591"/>
      <c r="T504" s="591"/>
      <c r="U504" s="591"/>
      <c r="V504" s="591"/>
      <c r="W504" s="591"/>
      <c r="X504" s="591"/>
      <c r="Y504" s="591"/>
      <c r="Z504" s="591"/>
      <c r="AA504" s="591"/>
      <c r="AB504" s="591"/>
      <c r="AC504" s="591"/>
      <c r="AD504" s="591"/>
      <c r="AE504" s="591"/>
    </row>
    <row r="505" spans="1:31">
      <c r="A505" s="591"/>
      <c r="B505" s="591"/>
      <c r="C505" s="591"/>
      <c r="D505" s="591"/>
      <c r="E505" s="591"/>
      <c r="F505" s="591"/>
      <c r="G505" s="591"/>
      <c r="H505" s="591"/>
      <c r="I505" s="591"/>
      <c r="J505" s="591"/>
      <c r="K505" s="591"/>
      <c r="L505" s="591"/>
      <c r="M505" s="591"/>
      <c r="N505" s="591"/>
      <c r="O505" s="591"/>
      <c r="P505" s="591"/>
      <c r="Q505" s="591"/>
      <c r="R505" s="591"/>
      <c r="S505" s="591"/>
      <c r="T505" s="591"/>
      <c r="U505" s="591"/>
      <c r="V505" s="591"/>
      <c r="W505" s="591"/>
      <c r="X505" s="591"/>
      <c r="Y505" s="591"/>
      <c r="Z505" s="591"/>
      <c r="AA505" s="591"/>
      <c r="AB505" s="591"/>
      <c r="AC505" s="591"/>
      <c r="AD505" s="591"/>
      <c r="AE505" s="591"/>
    </row>
    <row r="506" spans="1:31">
      <c r="A506" s="591"/>
      <c r="B506" s="591"/>
      <c r="C506" s="591"/>
      <c r="D506" s="591"/>
      <c r="E506" s="591"/>
      <c r="F506" s="591"/>
      <c r="G506" s="591"/>
      <c r="H506" s="591"/>
      <c r="I506" s="591"/>
      <c r="J506" s="591"/>
      <c r="K506" s="591"/>
      <c r="L506" s="591"/>
      <c r="M506" s="591"/>
      <c r="N506" s="591"/>
      <c r="O506" s="591"/>
      <c r="P506" s="591"/>
      <c r="Q506" s="591"/>
      <c r="R506" s="591"/>
      <c r="S506" s="591"/>
      <c r="T506" s="591"/>
      <c r="U506" s="591"/>
      <c r="V506" s="591"/>
      <c r="W506" s="591"/>
      <c r="X506" s="591"/>
      <c r="Y506" s="591"/>
      <c r="Z506" s="591"/>
      <c r="AA506" s="591"/>
      <c r="AB506" s="591"/>
      <c r="AC506" s="591"/>
      <c r="AD506" s="591"/>
      <c r="AE506" s="591"/>
    </row>
    <row r="507" spans="1:31">
      <c r="A507" s="591"/>
      <c r="B507" s="591"/>
      <c r="C507" s="591"/>
      <c r="D507" s="591"/>
      <c r="E507" s="591"/>
      <c r="F507" s="591"/>
      <c r="G507" s="591"/>
      <c r="H507" s="591"/>
      <c r="I507" s="591"/>
      <c r="J507" s="591"/>
      <c r="K507" s="591"/>
      <c r="L507" s="591"/>
      <c r="M507" s="591"/>
      <c r="N507" s="591"/>
      <c r="O507" s="591"/>
      <c r="P507" s="591"/>
      <c r="Q507" s="591"/>
      <c r="R507" s="591"/>
      <c r="S507" s="591"/>
      <c r="T507" s="591"/>
      <c r="U507" s="591"/>
      <c r="V507" s="591"/>
      <c r="W507" s="591"/>
      <c r="X507" s="591"/>
      <c r="Y507" s="591"/>
      <c r="Z507" s="591"/>
      <c r="AA507" s="591"/>
      <c r="AB507" s="591"/>
      <c r="AC507" s="591"/>
      <c r="AD507" s="591"/>
      <c r="AE507" s="591"/>
    </row>
    <row r="508" spans="1:31">
      <c r="A508" s="591"/>
      <c r="B508" s="591"/>
      <c r="C508" s="591"/>
      <c r="D508" s="591"/>
      <c r="E508" s="591"/>
      <c r="F508" s="591"/>
      <c r="G508" s="591"/>
      <c r="H508" s="591"/>
      <c r="I508" s="591"/>
      <c r="J508" s="591"/>
      <c r="K508" s="591"/>
      <c r="L508" s="591"/>
      <c r="M508" s="591"/>
      <c r="N508" s="591"/>
      <c r="O508" s="591"/>
      <c r="P508" s="591"/>
      <c r="Q508" s="591"/>
      <c r="R508" s="591"/>
      <c r="S508" s="591"/>
      <c r="T508" s="591"/>
      <c r="U508" s="591"/>
      <c r="V508" s="591"/>
      <c r="W508" s="591"/>
      <c r="X508" s="591"/>
      <c r="Y508" s="591"/>
      <c r="Z508" s="591"/>
      <c r="AA508" s="591"/>
      <c r="AB508" s="591"/>
      <c r="AC508" s="591"/>
      <c r="AD508" s="591"/>
      <c r="AE508" s="591"/>
    </row>
    <row r="509" spans="1:31">
      <c r="A509" s="591"/>
      <c r="B509" s="591"/>
      <c r="C509" s="591"/>
      <c r="D509" s="591"/>
      <c r="E509" s="591"/>
      <c r="F509" s="591"/>
      <c r="G509" s="591"/>
      <c r="H509" s="591"/>
      <c r="I509" s="591"/>
      <c r="J509" s="591"/>
      <c r="K509" s="591"/>
      <c r="L509" s="591"/>
      <c r="M509" s="591"/>
      <c r="N509" s="591"/>
      <c r="O509" s="591"/>
      <c r="P509" s="591"/>
      <c r="Q509" s="591"/>
      <c r="R509" s="591"/>
      <c r="S509" s="591"/>
      <c r="T509" s="591"/>
      <c r="U509" s="591"/>
      <c r="V509" s="591"/>
      <c r="W509" s="591"/>
      <c r="X509" s="591"/>
      <c r="Y509" s="591"/>
      <c r="Z509" s="591"/>
      <c r="AA509" s="591"/>
      <c r="AB509" s="591"/>
      <c r="AC509" s="591"/>
      <c r="AD509" s="591"/>
      <c r="AE509" s="591"/>
    </row>
    <row r="510" spans="1:31">
      <c r="A510" s="591"/>
      <c r="B510" s="591"/>
      <c r="C510" s="591"/>
      <c r="D510" s="591"/>
      <c r="E510" s="591"/>
      <c r="F510" s="591"/>
      <c r="G510" s="591"/>
      <c r="H510" s="591"/>
      <c r="I510" s="591"/>
      <c r="J510" s="591"/>
      <c r="K510" s="591"/>
      <c r="L510" s="591"/>
      <c r="M510" s="591"/>
      <c r="N510" s="591"/>
      <c r="O510" s="591"/>
      <c r="P510" s="591"/>
      <c r="Q510" s="591"/>
      <c r="R510" s="591"/>
      <c r="S510" s="591"/>
      <c r="T510" s="591"/>
      <c r="U510" s="591"/>
      <c r="V510" s="591"/>
      <c r="W510" s="591"/>
      <c r="X510" s="591"/>
      <c r="Y510" s="591"/>
      <c r="Z510" s="591"/>
      <c r="AA510" s="591"/>
      <c r="AB510" s="591"/>
      <c r="AC510" s="591"/>
      <c r="AD510" s="591"/>
      <c r="AE510" s="591"/>
    </row>
    <row r="511" spans="1:31">
      <c r="A511" s="591"/>
      <c r="B511" s="591"/>
      <c r="C511" s="591"/>
      <c r="D511" s="591"/>
      <c r="E511" s="591"/>
      <c r="F511" s="591"/>
      <c r="G511" s="591"/>
      <c r="H511" s="591"/>
      <c r="I511" s="591"/>
      <c r="J511" s="591"/>
      <c r="K511" s="591"/>
      <c r="L511" s="591"/>
      <c r="M511" s="591"/>
      <c r="N511" s="591"/>
      <c r="O511" s="591"/>
      <c r="P511" s="591"/>
      <c r="Q511" s="591"/>
      <c r="R511" s="591"/>
      <c r="S511" s="591"/>
      <c r="T511" s="591"/>
      <c r="U511" s="591"/>
      <c r="V511" s="591"/>
      <c r="W511" s="591"/>
      <c r="X511" s="591"/>
      <c r="Y511" s="591"/>
      <c r="Z511" s="591"/>
      <c r="AA511" s="591"/>
      <c r="AB511" s="591"/>
      <c r="AC511" s="591"/>
      <c r="AD511" s="591"/>
      <c r="AE511" s="591"/>
    </row>
    <row r="512" spans="1:31">
      <c r="A512" s="591"/>
      <c r="B512" s="591"/>
      <c r="C512" s="591"/>
      <c r="D512" s="591"/>
      <c r="E512" s="591"/>
      <c r="F512" s="591"/>
      <c r="G512" s="591"/>
      <c r="H512" s="591"/>
      <c r="I512" s="591"/>
      <c r="J512" s="591"/>
      <c r="K512" s="591"/>
      <c r="L512" s="591"/>
      <c r="M512" s="591"/>
      <c r="N512" s="591"/>
      <c r="O512" s="591"/>
      <c r="P512" s="591"/>
      <c r="Q512" s="591"/>
      <c r="R512" s="591"/>
      <c r="S512" s="591"/>
      <c r="T512" s="591"/>
      <c r="U512" s="591"/>
      <c r="V512" s="591"/>
      <c r="W512" s="591"/>
      <c r="X512" s="591"/>
      <c r="Y512" s="591"/>
      <c r="Z512" s="591"/>
      <c r="AA512" s="591"/>
      <c r="AB512" s="591"/>
      <c r="AC512" s="591"/>
      <c r="AD512" s="591"/>
      <c r="AE512" s="591"/>
    </row>
    <row r="513" spans="1:31">
      <c r="A513" s="591"/>
      <c r="B513" s="591"/>
      <c r="C513" s="591"/>
      <c r="D513" s="591"/>
      <c r="E513" s="591"/>
      <c r="F513" s="591"/>
      <c r="G513" s="591"/>
      <c r="H513" s="591"/>
      <c r="I513" s="591"/>
      <c r="J513" s="591"/>
      <c r="K513" s="591"/>
      <c r="L513" s="591"/>
      <c r="M513" s="591"/>
      <c r="N513" s="591"/>
      <c r="O513" s="591"/>
      <c r="P513" s="591"/>
      <c r="Q513" s="591"/>
      <c r="R513" s="591"/>
      <c r="S513" s="591"/>
      <c r="T513" s="591"/>
      <c r="U513" s="591"/>
      <c r="V513" s="591"/>
      <c r="W513" s="591"/>
      <c r="X513" s="591"/>
      <c r="Y513" s="591"/>
      <c r="Z513" s="591"/>
      <c r="AA513" s="591"/>
      <c r="AB513" s="591"/>
      <c r="AC513" s="591"/>
      <c r="AD513" s="591"/>
      <c r="AE513" s="591"/>
    </row>
    <row r="514" spans="1:31">
      <c r="A514" s="591"/>
      <c r="B514" s="591"/>
      <c r="C514" s="591"/>
      <c r="D514" s="591"/>
      <c r="E514" s="591"/>
      <c r="F514" s="591"/>
      <c r="G514" s="591"/>
      <c r="H514" s="591"/>
      <c r="I514" s="591"/>
      <c r="J514" s="591"/>
      <c r="K514" s="591"/>
      <c r="L514" s="591"/>
      <c r="M514" s="591"/>
      <c r="N514" s="591"/>
      <c r="O514" s="591"/>
      <c r="P514" s="591"/>
      <c r="Q514" s="591"/>
      <c r="R514" s="591"/>
      <c r="S514" s="591"/>
      <c r="T514" s="591"/>
      <c r="U514" s="591"/>
      <c r="V514" s="591"/>
      <c r="W514" s="591"/>
      <c r="X514" s="591"/>
      <c r="Y514" s="591"/>
      <c r="Z514" s="591"/>
      <c r="AA514" s="591"/>
      <c r="AB514" s="591"/>
      <c r="AC514" s="591"/>
      <c r="AD514" s="591"/>
      <c r="AE514" s="591"/>
    </row>
    <row r="515" spans="1:31">
      <c r="A515" s="591"/>
      <c r="B515" s="591"/>
      <c r="C515" s="591"/>
      <c r="D515" s="591"/>
      <c r="E515" s="591"/>
      <c r="F515" s="591"/>
      <c r="G515" s="591"/>
      <c r="H515" s="591"/>
      <c r="I515" s="591"/>
      <c r="J515" s="591"/>
      <c r="K515" s="591"/>
      <c r="L515" s="591"/>
      <c r="M515" s="591"/>
      <c r="N515" s="591"/>
      <c r="O515" s="591"/>
      <c r="P515" s="591"/>
      <c r="Q515" s="591"/>
      <c r="R515" s="591"/>
      <c r="S515" s="591"/>
      <c r="T515" s="591"/>
      <c r="U515" s="591"/>
      <c r="V515" s="591"/>
      <c r="W515" s="591"/>
      <c r="X515" s="591"/>
      <c r="Y515" s="591"/>
      <c r="Z515" s="591"/>
      <c r="AA515" s="591"/>
      <c r="AB515" s="591"/>
      <c r="AC515" s="591"/>
      <c r="AD515" s="591"/>
      <c r="AE515" s="591"/>
    </row>
    <row r="516" spans="1:31">
      <c r="A516" s="591"/>
      <c r="B516" s="591"/>
      <c r="C516" s="591"/>
      <c r="D516" s="591"/>
      <c r="E516" s="591"/>
      <c r="F516" s="591"/>
      <c r="G516" s="591"/>
      <c r="H516" s="591"/>
      <c r="I516" s="591"/>
      <c r="J516" s="591"/>
      <c r="K516" s="591"/>
      <c r="L516" s="591"/>
      <c r="M516" s="591"/>
      <c r="N516" s="591"/>
      <c r="O516" s="591"/>
      <c r="P516" s="591"/>
      <c r="Q516" s="591"/>
      <c r="R516" s="591"/>
      <c r="S516" s="591"/>
      <c r="T516" s="591"/>
      <c r="U516" s="591"/>
      <c r="V516" s="591"/>
      <c r="W516" s="591"/>
      <c r="X516" s="591"/>
      <c r="Y516" s="591"/>
      <c r="Z516" s="591"/>
      <c r="AA516" s="591"/>
      <c r="AB516" s="591"/>
      <c r="AC516" s="591"/>
      <c r="AD516" s="591"/>
      <c r="AE516" s="591"/>
    </row>
    <row r="517" spans="1:31">
      <c r="A517" s="591"/>
      <c r="B517" s="591"/>
      <c r="C517" s="591"/>
      <c r="D517" s="591"/>
      <c r="E517" s="591"/>
      <c r="F517" s="591"/>
      <c r="G517" s="591"/>
      <c r="H517" s="591"/>
      <c r="I517" s="591"/>
      <c r="J517" s="591"/>
      <c r="K517" s="591"/>
      <c r="L517" s="591"/>
      <c r="M517" s="591"/>
      <c r="N517" s="591"/>
      <c r="O517" s="591"/>
      <c r="P517" s="591"/>
      <c r="Q517" s="591"/>
      <c r="R517" s="591"/>
      <c r="S517" s="591"/>
      <c r="T517" s="591"/>
      <c r="U517" s="591"/>
      <c r="V517" s="591"/>
      <c r="W517" s="591"/>
      <c r="X517" s="591"/>
      <c r="Y517" s="591"/>
      <c r="Z517" s="591"/>
      <c r="AA517" s="591"/>
      <c r="AB517" s="591"/>
      <c r="AC517" s="591"/>
      <c r="AD517" s="591"/>
      <c r="AE517" s="591"/>
    </row>
    <row r="518" spans="1:31">
      <c r="A518" s="591"/>
      <c r="B518" s="591"/>
      <c r="C518" s="591"/>
      <c r="D518" s="591"/>
      <c r="E518" s="591"/>
      <c r="F518" s="591"/>
      <c r="G518" s="591"/>
      <c r="H518" s="591"/>
      <c r="I518" s="591"/>
      <c r="J518" s="591"/>
      <c r="K518" s="591"/>
      <c r="L518" s="591"/>
      <c r="M518" s="591"/>
      <c r="N518" s="591"/>
      <c r="O518" s="591"/>
      <c r="P518" s="591"/>
      <c r="Q518" s="591"/>
      <c r="R518" s="591"/>
      <c r="S518" s="591"/>
      <c r="T518" s="591"/>
      <c r="U518" s="591"/>
      <c r="V518" s="591"/>
      <c r="W518" s="591"/>
      <c r="X518" s="591"/>
      <c r="Y518" s="591"/>
      <c r="Z518" s="591"/>
      <c r="AA518" s="591"/>
      <c r="AB518" s="591"/>
      <c r="AC518" s="591"/>
      <c r="AD518" s="591"/>
      <c r="AE518" s="591"/>
    </row>
    <row r="519" spans="1:31">
      <c r="A519" s="591"/>
      <c r="B519" s="591"/>
      <c r="C519" s="591"/>
      <c r="D519" s="591"/>
      <c r="E519" s="591"/>
      <c r="F519" s="591"/>
      <c r="G519" s="591"/>
      <c r="H519" s="591"/>
      <c r="I519" s="591"/>
      <c r="J519" s="591"/>
      <c r="K519" s="591"/>
      <c r="L519" s="591"/>
      <c r="M519" s="591"/>
      <c r="N519" s="591"/>
      <c r="O519" s="591"/>
      <c r="P519" s="591"/>
      <c r="Q519" s="591"/>
      <c r="R519" s="591"/>
      <c r="S519" s="591"/>
      <c r="T519" s="591"/>
      <c r="U519" s="591"/>
      <c r="V519" s="591"/>
      <c r="W519" s="591"/>
      <c r="X519" s="591"/>
      <c r="Y519" s="591"/>
      <c r="Z519" s="591"/>
      <c r="AA519" s="591"/>
      <c r="AB519" s="591"/>
      <c r="AC519" s="591"/>
      <c r="AD519" s="591"/>
      <c r="AE519" s="591"/>
    </row>
    <row r="520" spans="1:31">
      <c r="A520" s="591"/>
      <c r="B520" s="591"/>
      <c r="C520" s="591"/>
      <c r="D520" s="591"/>
      <c r="E520" s="591"/>
      <c r="F520" s="591"/>
      <c r="G520" s="591"/>
      <c r="H520" s="591"/>
      <c r="I520" s="591"/>
      <c r="J520" s="591"/>
      <c r="K520" s="591"/>
      <c r="L520" s="591"/>
      <c r="M520" s="591"/>
      <c r="N520" s="591"/>
      <c r="O520" s="591"/>
      <c r="P520" s="591"/>
      <c r="Q520" s="591"/>
      <c r="R520" s="591"/>
      <c r="S520" s="591"/>
      <c r="T520" s="591"/>
      <c r="U520" s="591"/>
      <c r="V520" s="591"/>
      <c r="W520" s="591"/>
      <c r="X520" s="591"/>
      <c r="Y520" s="591"/>
      <c r="Z520" s="591"/>
      <c r="AA520" s="591"/>
      <c r="AB520" s="591"/>
      <c r="AC520" s="591"/>
      <c r="AD520" s="591"/>
      <c r="AE520" s="591"/>
    </row>
    <row r="521" spans="1:31">
      <c r="A521" s="591"/>
      <c r="B521" s="591"/>
      <c r="C521" s="591"/>
      <c r="D521" s="591"/>
      <c r="E521" s="591"/>
      <c r="F521" s="591"/>
      <c r="G521" s="591"/>
      <c r="H521" s="591"/>
      <c r="I521" s="591"/>
      <c r="J521" s="591"/>
      <c r="K521" s="591"/>
      <c r="L521" s="591"/>
      <c r="M521" s="591"/>
      <c r="N521" s="591"/>
      <c r="O521" s="591"/>
      <c r="P521" s="591"/>
      <c r="Q521" s="591"/>
      <c r="R521" s="591"/>
      <c r="S521" s="591"/>
      <c r="T521" s="591"/>
      <c r="U521" s="591"/>
      <c r="V521" s="591"/>
      <c r="W521" s="591"/>
      <c r="X521" s="591"/>
      <c r="Y521" s="591"/>
      <c r="Z521" s="591"/>
      <c r="AA521" s="591"/>
      <c r="AB521" s="591"/>
      <c r="AC521" s="591"/>
      <c r="AD521" s="591"/>
      <c r="AE521" s="591"/>
    </row>
    <row r="522" spans="1:31">
      <c r="A522" s="591"/>
      <c r="B522" s="591"/>
      <c r="C522" s="591"/>
      <c r="D522" s="591"/>
      <c r="E522" s="591"/>
      <c r="F522" s="591"/>
      <c r="G522" s="591"/>
      <c r="H522" s="591"/>
      <c r="I522" s="591"/>
      <c r="J522" s="591"/>
      <c r="K522" s="591"/>
      <c r="L522" s="591"/>
      <c r="M522" s="591"/>
      <c r="N522" s="591"/>
      <c r="O522" s="591"/>
      <c r="P522" s="591"/>
      <c r="Q522" s="591"/>
      <c r="R522" s="591"/>
      <c r="S522" s="591"/>
      <c r="T522" s="591"/>
      <c r="U522" s="591"/>
      <c r="V522" s="591"/>
      <c r="W522" s="591"/>
      <c r="X522" s="591"/>
      <c r="Y522" s="591"/>
      <c r="Z522" s="591"/>
      <c r="AA522" s="591"/>
      <c r="AB522" s="591"/>
      <c r="AC522" s="591"/>
      <c r="AD522" s="591"/>
      <c r="AE522" s="591"/>
    </row>
    <row r="523" spans="1:31">
      <c r="A523" s="591"/>
      <c r="B523" s="591"/>
      <c r="C523" s="591"/>
      <c r="D523" s="591"/>
      <c r="E523" s="591"/>
      <c r="F523" s="591"/>
      <c r="G523" s="591"/>
      <c r="H523" s="591"/>
      <c r="I523" s="591"/>
      <c r="J523" s="591"/>
      <c r="K523" s="591"/>
      <c r="L523" s="591"/>
      <c r="M523" s="591"/>
      <c r="N523" s="591"/>
      <c r="O523" s="591"/>
      <c r="P523" s="591"/>
      <c r="Q523" s="591"/>
      <c r="R523" s="591"/>
      <c r="S523" s="591"/>
      <c r="T523" s="591"/>
      <c r="U523" s="591"/>
      <c r="V523" s="591"/>
      <c r="W523" s="591"/>
      <c r="X523" s="591"/>
      <c r="Y523" s="591"/>
      <c r="Z523" s="591"/>
      <c r="AA523" s="591"/>
      <c r="AB523" s="591"/>
      <c r="AC523" s="591"/>
      <c r="AD523" s="591"/>
      <c r="AE523" s="591"/>
    </row>
    <row r="524" spans="1:31">
      <c r="A524" s="591"/>
      <c r="B524" s="591"/>
      <c r="C524" s="591"/>
      <c r="D524" s="591"/>
      <c r="E524" s="591"/>
      <c r="F524" s="591"/>
      <c r="G524" s="591"/>
      <c r="H524" s="591"/>
      <c r="I524" s="591"/>
      <c r="J524" s="591"/>
      <c r="K524" s="591"/>
      <c r="L524" s="591"/>
      <c r="M524" s="591"/>
      <c r="N524" s="591"/>
      <c r="O524" s="591"/>
      <c r="P524" s="591"/>
      <c r="Q524" s="591"/>
      <c r="R524" s="591"/>
      <c r="S524" s="591"/>
      <c r="T524" s="591"/>
      <c r="U524" s="591"/>
      <c r="V524" s="591"/>
      <c r="W524" s="591"/>
      <c r="X524" s="591"/>
      <c r="Y524" s="591"/>
      <c r="Z524" s="591"/>
      <c r="AA524" s="591"/>
      <c r="AB524" s="591"/>
      <c r="AC524" s="591"/>
      <c r="AD524" s="591"/>
      <c r="AE524" s="591"/>
    </row>
    <row r="525" spans="1:31">
      <c r="A525" s="591"/>
      <c r="B525" s="591"/>
      <c r="C525" s="591"/>
      <c r="D525" s="591"/>
      <c r="E525" s="591"/>
      <c r="F525" s="591"/>
      <c r="G525" s="591"/>
      <c r="H525" s="591"/>
      <c r="I525" s="591"/>
      <c r="J525" s="591"/>
      <c r="K525" s="591"/>
      <c r="L525" s="591"/>
      <c r="M525" s="591"/>
      <c r="N525" s="591"/>
      <c r="O525" s="591"/>
      <c r="P525" s="591"/>
      <c r="Q525" s="591"/>
      <c r="R525" s="591"/>
      <c r="S525" s="591"/>
      <c r="T525" s="591"/>
      <c r="U525" s="591"/>
      <c r="V525" s="591"/>
      <c r="W525" s="591"/>
      <c r="X525" s="591"/>
      <c r="Y525" s="591"/>
      <c r="Z525" s="591"/>
      <c r="AA525" s="591"/>
      <c r="AB525" s="591"/>
      <c r="AC525" s="591"/>
      <c r="AD525" s="591"/>
      <c r="AE525" s="591"/>
    </row>
    <row r="526" spans="1:31">
      <c r="A526" s="591"/>
      <c r="B526" s="591"/>
      <c r="C526" s="591"/>
      <c r="D526" s="591"/>
      <c r="E526" s="591"/>
      <c r="F526" s="591"/>
      <c r="G526" s="591"/>
      <c r="H526" s="591"/>
      <c r="I526" s="591"/>
      <c r="J526" s="591"/>
      <c r="K526" s="591"/>
      <c r="L526" s="591"/>
      <c r="M526" s="591"/>
      <c r="N526" s="591"/>
      <c r="O526" s="591"/>
      <c r="P526" s="591"/>
      <c r="Q526" s="591"/>
      <c r="R526" s="591"/>
      <c r="S526" s="591"/>
      <c r="T526" s="591"/>
      <c r="U526" s="591"/>
      <c r="V526" s="591"/>
      <c r="W526" s="591"/>
      <c r="X526" s="591"/>
      <c r="Y526" s="591"/>
      <c r="Z526" s="591"/>
      <c r="AA526" s="591"/>
      <c r="AB526" s="591"/>
      <c r="AC526" s="591"/>
      <c r="AD526" s="591"/>
      <c r="AE526" s="591"/>
    </row>
    <row r="527" spans="1:31">
      <c r="A527" s="591"/>
      <c r="B527" s="591"/>
      <c r="C527" s="591"/>
      <c r="D527" s="591"/>
      <c r="E527" s="591"/>
      <c r="F527" s="591"/>
      <c r="G527" s="591"/>
      <c r="H527" s="591"/>
      <c r="I527" s="591"/>
      <c r="J527" s="591"/>
      <c r="K527" s="591"/>
      <c r="L527" s="591"/>
      <c r="M527" s="591"/>
      <c r="N527" s="591"/>
      <c r="O527" s="591"/>
      <c r="P527" s="591"/>
      <c r="Q527" s="591"/>
      <c r="R527" s="591"/>
      <c r="S527" s="591"/>
      <c r="T527" s="591"/>
      <c r="U527" s="591"/>
      <c r="V527" s="591"/>
      <c r="W527" s="591"/>
      <c r="X527" s="591"/>
      <c r="Y527" s="591"/>
      <c r="Z527" s="591"/>
      <c r="AA527" s="591"/>
      <c r="AB527" s="591"/>
      <c r="AC527" s="591"/>
      <c r="AD527" s="591"/>
      <c r="AE527" s="591"/>
    </row>
    <row r="528" spans="1:31">
      <c r="A528" s="591"/>
      <c r="B528" s="591"/>
      <c r="C528" s="591"/>
      <c r="D528" s="591"/>
      <c r="E528" s="591"/>
      <c r="F528" s="591"/>
      <c r="G528" s="591"/>
      <c r="H528" s="591"/>
      <c r="I528" s="591"/>
      <c r="J528" s="591"/>
      <c r="K528" s="591"/>
      <c r="L528" s="591"/>
      <c r="M528" s="591"/>
      <c r="N528" s="591"/>
      <c r="O528" s="591"/>
      <c r="P528" s="591"/>
      <c r="Q528" s="591"/>
      <c r="R528" s="591"/>
      <c r="S528" s="591"/>
      <c r="T528" s="591"/>
      <c r="U528" s="591"/>
      <c r="V528" s="591"/>
      <c r="W528" s="591"/>
      <c r="X528" s="591"/>
      <c r="Y528" s="591"/>
      <c r="Z528" s="591"/>
      <c r="AA528" s="591"/>
      <c r="AB528" s="591"/>
      <c r="AC528" s="591"/>
      <c r="AD528" s="591"/>
      <c r="AE528" s="591"/>
    </row>
    <row r="529" spans="1:31">
      <c r="A529" s="591"/>
      <c r="B529" s="591"/>
      <c r="C529" s="591"/>
      <c r="D529" s="591"/>
      <c r="E529" s="591"/>
      <c r="F529" s="591"/>
      <c r="G529" s="591"/>
      <c r="H529" s="591"/>
      <c r="I529" s="591"/>
      <c r="J529" s="591"/>
      <c r="K529" s="591"/>
      <c r="L529" s="591"/>
      <c r="M529" s="591"/>
      <c r="N529" s="591"/>
      <c r="O529" s="591"/>
      <c r="P529" s="591"/>
      <c r="Q529" s="591"/>
      <c r="R529" s="591"/>
      <c r="S529" s="591"/>
      <c r="T529" s="591"/>
      <c r="U529" s="591"/>
      <c r="V529" s="591"/>
      <c r="W529" s="591"/>
      <c r="X529" s="591"/>
      <c r="Y529" s="591"/>
      <c r="Z529" s="591"/>
      <c r="AA529" s="591"/>
      <c r="AB529" s="591"/>
      <c r="AC529" s="591"/>
      <c r="AD529" s="591"/>
      <c r="AE529" s="591"/>
    </row>
    <row r="530" spans="1:31">
      <c r="A530" s="591"/>
      <c r="B530" s="591"/>
      <c r="C530" s="591"/>
      <c r="D530" s="591"/>
      <c r="E530" s="591"/>
      <c r="F530" s="591"/>
      <c r="G530" s="591"/>
      <c r="H530" s="591"/>
      <c r="I530" s="591"/>
      <c r="J530" s="591"/>
      <c r="K530" s="591"/>
      <c r="L530" s="591"/>
      <c r="M530" s="591"/>
      <c r="N530" s="591"/>
      <c r="O530" s="591"/>
      <c r="P530" s="591"/>
      <c r="Q530" s="591"/>
      <c r="R530" s="591"/>
      <c r="S530" s="591"/>
      <c r="T530" s="591"/>
      <c r="U530" s="591"/>
      <c r="V530" s="591"/>
      <c r="W530" s="591"/>
      <c r="X530" s="591"/>
      <c r="Y530" s="591"/>
      <c r="Z530" s="591"/>
      <c r="AA530" s="591"/>
      <c r="AB530" s="591"/>
      <c r="AC530" s="591"/>
      <c r="AD530" s="591"/>
      <c r="AE530" s="591"/>
    </row>
    <row r="531" spans="1:31">
      <c r="A531" s="591"/>
      <c r="B531" s="591"/>
      <c r="C531" s="591"/>
      <c r="D531" s="591"/>
      <c r="E531" s="591"/>
      <c r="F531" s="591"/>
      <c r="G531" s="591"/>
      <c r="H531" s="591"/>
      <c r="I531" s="591"/>
      <c r="J531" s="591"/>
      <c r="K531" s="591"/>
      <c r="L531" s="591"/>
      <c r="M531" s="591"/>
      <c r="N531" s="591"/>
      <c r="O531" s="591"/>
      <c r="P531" s="591"/>
      <c r="Q531" s="591"/>
      <c r="R531" s="591"/>
      <c r="S531" s="591"/>
      <c r="T531" s="591"/>
      <c r="U531" s="591"/>
      <c r="V531" s="591"/>
      <c r="W531" s="591"/>
      <c r="X531" s="591"/>
      <c r="Y531" s="591"/>
      <c r="Z531" s="591"/>
      <c r="AA531" s="591"/>
      <c r="AB531" s="591"/>
      <c r="AC531" s="591"/>
      <c r="AD531" s="591"/>
      <c r="AE531" s="591"/>
    </row>
    <row r="532" spans="1:31">
      <c r="A532" s="591"/>
      <c r="B532" s="591"/>
      <c r="C532" s="591"/>
      <c r="D532" s="591"/>
      <c r="E532" s="591"/>
      <c r="F532" s="591"/>
      <c r="G532" s="591"/>
      <c r="H532" s="591"/>
      <c r="I532" s="591"/>
      <c r="J532" s="591"/>
      <c r="K532" s="591"/>
      <c r="L532" s="591"/>
      <c r="M532" s="591"/>
      <c r="N532" s="591"/>
      <c r="O532" s="591"/>
      <c r="P532" s="591"/>
      <c r="Q532" s="591"/>
      <c r="R532" s="591"/>
      <c r="S532" s="591"/>
      <c r="T532" s="591"/>
      <c r="U532" s="591"/>
      <c r="V532" s="591"/>
      <c r="W532" s="591"/>
      <c r="X532" s="591"/>
      <c r="Y532" s="591"/>
      <c r="Z532" s="591"/>
      <c r="AA532" s="591"/>
      <c r="AB532" s="591"/>
      <c r="AC532" s="591"/>
      <c r="AD532" s="591"/>
      <c r="AE532" s="591"/>
    </row>
    <row r="533" spans="1:31">
      <c r="A533" s="591"/>
      <c r="B533" s="591"/>
      <c r="C533" s="591"/>
      <c r="D533" s="591"/>
      <c r="E533" s="591"/>
      <c r="F533" s="591"/>
      <c r="G533" s="591"/>
      <c r="H533" s="591"/>
      <c r="I533" s="591"/>
      <c r="J533" s="591"/>
      <c r="K533" s="591"/>
      <c r="L533" s="591"/>
      <c r="M533" s="591"/>
      <c r="N533" s="591"/>
      <c r="O533" s="591"/>
      <c r="P533" s="591"/>
      <c r="Q533" s="591"/>
      <c r="R533" s="591"/>
      <c r="S533" s="591"/>
      <c r="T533" s="591"/>
      <c r="U533" s="591"/>
      <c r="V533" s="591"/>
      <c r="W533" s="591"/>
      <c r="X533" s="591"/>
      <c r="Y533" s="591"/>
      <c r="Z533" s="591"/>
      <c r="AA533" s="591"/>
      <c r="AB533" s="591"/>
      <c r="AC533" s="591"/>
      <c r="AD533" s="591"/>
      <c r="AE533" s="591"/>
    </row>
    <row r="534" spans="1:31">
      <c r="A534" s="591"/>
      <c r="B534" s="591"/>
      <c r="C534" s="591"/>
      <c r="D534" s="591"/>
      <c r="E534" s="591"/>
      <c r="F534" s="591"/>
      <c r="G534" s="591"/>
      <c r="H534" s="591"/>
      <c r="I534" s="591"/>
      <c r="J534" s="591"/>
      <c r="K534" s="591"/>
      <c r="L534" s="591"/>
      <c r="M534" s="591"/>
      <c r="N534" s="591"/>
      <c r="O534" s="591"/>
      <c r="P534" s="591"/>
      <c r="Q534" s="591"/>
      <c r="R534" s="591"/>
      <c r="S534" s="591"/>
      <c r="T534" s="591"/>
      <c r="U534" s="591"/>
      <c r="V534" s="591"/>
      <c r="W534" s="591"/>
      <c r="X534" s="591"/>
      <c r="Y534" s="591"/>
      <c r="Z534" s="591"/>
      <c r="AA534" s="591"/>
      <c r="AB534" s="591"/>
      <c r="AC534" s="591"/>
      <c r="AD534" s="591"/>
      <c r="AE534" s="591"/>
    </row>
    <row r="535" spans="1:31">
      <c r="A535" s="591"/>
      <c r="B535" s="591"/>
      <c r="C535" s="591"/>
      <c r="D535" s="591"/>
      <c r="E535" s="591"/>
      <c r="F535" s="591"/>
      <c r="G535" s="591"/>
      <c r="H535" s="591"/>
      <c r="I535" s="591"/>
      <c r="J535" s="591"/>
      <c r="K535" s="591"/>
      <c r="L535" s="591"/>
      <c r="M535" s="591"/>
      <c r="N535" s="591"/>
      <c r="O535" s="591"/>
      <c r="P535" s="591"/>
      <c r="Q535" s="591"/>
      <c r="R535" s="591"/>
      <c r="S535" s="591"/>
      <c r="T535" s="591"/>
      <c r="U535" s="591"/>
      <c r="V535" s="591"/>
      <c r="W535" s="591"/>
      <c r="X535" s="591"/>
      <c r="Y535" s="591"/>
      <c r="Z535" s="591"/>
      <c r="AA535" s="591"/>
      <c r="AB535" s="591"/>
      <c r="AC535" s="591"/>
      <c r="AD535" s="591"/>
      <c r="AE535" s="591"/>
    </row>
    <row r="536" spans="1:31">
      <c r="A536" s="591"/>
      <c r="B536" s="591"/>
      <c r="C536" s="591"/>
      <c r="D536" s="591"/>
      <c r="E536" s="591"/>
      <c r="F536" s="591"/>
      <c r="G536" s="591"/>
      <c r="H536" s="591"/>
      <c r="I536" s="591"/>
      <c r="J536" s="591"/>
      <c r="K536" s="591"/>
      <c r="L536" s="591"/>
      <c r="M536" s="591"/>
      <c r="N536" s="591"/>
      <c r="O536" s="591"/>
      <c r="P536" s="591"/>
      <c r="Q536" s="591"/>
      <c r="R536" s="591"/>
      <c r="S536" s="591"/>
      <c r="T536" s="591"/>
      <c r="U536" s="591"/>
      <c r="V536" s="591"/>
      <c r="W536" s="591"/>
      <c r="X536" s="591"/>
      <c r="Y536" s="591"/>
      <c r="Z536" s="591"/>
      <c r="AA536" s="591"/>
      <c r="AB536" s="591"/>
      <c r="AC536" s="591"/>
      <c r="AD536" s="591"/>
      <c r="AE536" s="591"/>
    </row>
    <row r="537" spans="1:31">
      <c r="A537" s="591"/>
      <c r="B537" s="591"/>
      <c r="C537" s="591"/>
      <c r="D537" s="591"/>
      <c r="E537" s="591"/>
      <c r="F537" s="591"/>
      <c r="G537" s="591"/>
      <c r="H537" s="591"/>
      <c r="I537" s="591"/>
      <c r="J537" s="591"/>
      <c r="K537" s="591"/>
      <c r="L537" s="591"/>
      <c r="M537" s="591"/>
      <c r="N537" s="591"/>
      <c r="O537" s="591"/>
      <c r="P537" s="591"/>
      <c r="Q537" s="591"/>
      <c r="R537" s="591"/>
      <c r="S537" s="591"/>
      <c r="T537" s="591"/>
      <c r="U537" s="591"/>
      <c r="V537" s="591"/>
      <c r="W537" s="591"/>
      <c r="X537" s="591"/>
      <c r="Y537" s="591"/>
      <c r="Z537" s="591"/>
      <c r="AA537" s="591"/>
      <c r="AB537" s="591"/>
      <c r="AC537" s="591"/>
      <c r="AD537" s="591"/>
      <c r="AE537" s="591"/>
    </row>
    <row r="538" spans="1:31">
      <c r="A538" s="591"/>
      <c r="B538" s="591"/>
      <c r="C538" s="591"/>
      <c r="D538" s="591"/>
      <c r="E538" s="591"/>
      <c r="F538" s="591"/>
      <c r="G538" s="591"/>
      <c r="H538" s="591"/>
      <c r="I538" s="591"/>
      <c r="J538" s="591"/>
      <c r="K538" s="591"/>
      <c r="L538" s="591"/>
      <c r="M538" s="591"/>
      <c r="N538" s="591"/>
      <c r="O538" s="591"/>
      <c r="P538" s="591"/>
      <c r="Q538" s="591"/>
      <c r="R538" s="591"/>
      <c r="S538" s="591"/>
      <c r="T538" s="591"/>
      <c r="U538" s="591"/>
      <c r="V538" s="591"/>
      <c r="W538" s="591"/>
      <c r="X538" s="591"/>
      <c r="Y538" s="591"/>
      <c r="Z538" s="591"/>
      <c r="AA538" s="591"/>
      <c r="AB538" s="591"/>
      <c r="AC538" s="591"/>
      <c r="AD538" s="591"/>
      <c r="AE538" s="591"/>
    </row>
    <row r="539" spans="1:31">
      <c r="A539" s="591"/>
      <c r="B539" s="591"/>
      <c r="C539" s="591"/>
      <c r="D539" s="591"/>
      <c r="E539" s="591"/>
      <c r="F539" s="591"/>
      <c r="G539" s="591"/>
      <c r="H539" s="591"/>
      <c r="I539" s="591"/>
      <c r="J539" s="591"/>
      <c r="K539" s="591"/>
      <c r="L539" s="591"/>
      <c r="M539" s="591"/>
      <c r="N539" s="591"/>
      <c r="O539" s="591"/>
      <c r="P539" s="591"/>
      <c r="Q539" s="591"/>
      <c r="R539" s="591"/>
      <c r="S539" s="591"/>
      <c r="T539" s="591"/>
      <c r="U539" s="591"/>
      <c r="V539" s="591"/>
      <c r="W539" s="591"/>
      <c r="X539" s="591"/>
      <c r="Y539" s="591"/>
      <c r="Z539" s="591"/>
      <c r="AA539" s="591"/>
      <c r="AB539" s="591"/>
      <c r="AC539" s="591"/>
      <c r="AD539" s="591"/>
      <c r="AE539" s="591"/>
    </row>
    <row r="540" spans="1:31">
      <c r="A540" s="591"/>
      <c r="B540" s="591"/>
      <c r="C540" s="591"/>
      <c r="D540" s="591"/>
      <c r="E540" s="591"/>
      <c r="F540" s="591"/>
      <c r="G540" s="591"/>
      <c r="H540" s="591"/>
      <c r="I540" s="591"/>
      <c r="J540" s="591"/>
      <c r="K540" s="591"/>
      <c r="L540" s="591"/>
      <c r="M540" s="591"/>
      <c r="N540" s="591"/>
      <c r="O540" s="591"/>
      <c r="P540" s="591"/>
      <c r="Q540" s="591"/>
      <c r="R540" s="591"/>
      <c r="S540" s="591"/>
      <c r="T540" s="591"/>
      <c r="U540" s="591"/>
      <c r="V540" s="591"/>
      <c r="W540" s="591"/>
      <c r="X540" s="591"/>
      <c r="Y540" s="591"/>
      <c r="Z540" s="591"/>
      <c r="AA540" s="591"/>
      <c r="AB540" s="591"/>
      <c r="AC540" s="591"/>
      <c r="AD540" s="591"/>
      <c r="AE540" s="591"/>
    </row>
    <row r="541" spans="1:31">
      <c r="A541" s="591"/>
      <c r="B541" s="591"/>
      <c r="C541" s="591"/>
      <c r="D541" s="591"/>
      <c r="E541" s="591"/>
      <c r="F541" s="591"/>
      <c r="G541" s="591"/>
      <c r="H541" s="591"/>
      <c r="I541" s="591"/>
      <c r="J541" s="591"/>
      <c r="K541" s="591"/>
      <c r="L541" s="591"/>
      <c r="M541" s="591"/>
      <c r="N541" s="591"/>
      <c r="O541" s="591"/>
      <c r="P541" s="591"/>
      <c r="Q541" s="591"/>
      <c r="R541" s="591"/>
      <c r="S541" s="591"/>
      <c r="T541" s="591"/>
      <c r="U541" s="591"/>
      <c r="V541" s="591"/>
      <c r="W541" s="591"/>
      <c r="X541" s="591"/>
      <c r="Y541" s="591"/>
      <c r="Z541" s="591"/>
      <c r="AA541" s="591"/>
      <c r="AB541" s="591"/>
      <c r="AC541" s="591"/>
      <c r="AD541" s="591"/>
      <c r="AE541" s="591"/>
    </row>
    <row r="542" spans="1:31">
      <c r="A542" s="591"/>
      <c r="B542" s="591"/>
      <c r="C542" s="591"/>
      <c r="D542" s="591"/>
      <c r="E542" s="591"/>
      <c r="F542" s="591"/>
      <c r="G542" s="591"/>
      <c r="H542" s="591"/>
      <c r="I542" s="591"/>
      <c r="J542" s="591"/>
      <c r="K542" s="591"/>
      <c r="L542" s="591"/>
      <c r="M542" s="591"/>
      <c r="N542" s="591"/>
      <c r="O542" s="591"/>
      <c r="P542" s="591"/>
      <c r="Q542" s="591"/>
      <c r="R542" s="591"/>
      <c r="S542" s="591"/>
      <c r="T542" s="591"/>
      <c r="U542" s="591"/>
      <c r="V542" s="591"/>
      <c r="W542" s="591"/>
      <c r="X542" s="591"/>
      <c r="Y542" s="591"/>
      <c r="Z542" s="591"/>
      <c r="AA542" s="591"/>
      <c r="AB542" s="591"/>
      <c r="AC542" s="591"/>
      <c r="AD542" s="591"/>
      <c r="AE542" s="591"/>
    </row>
    <row r="543" spans="1:31">
      <c r="A543" s="591"/>
      <c r="B543" s="591"/>
      <c r="C543" s="591"/>
      <c r="D543" s="591"/>
      <c r="E543" s="591"/>
      <c r="F543" s="591"/>
      <c r="G543" s="591"/>
      <c r="H543" s="591"/>
      <c r="I543" s="591"/>
      <c r="J543" s="591"/>
      <c r="K543" s="591"/>
      <c r="L543" s="591"/>
      <c r="M543" s="591"/>
      <c r="N543" s="591"/>
      <c r="O543" s="591"/>
      <c r="P543" s="591"/>
      <c r="Q543" s="591"/>
      <c r="R543" s="591"/>
      <c r="S543" s="591"/>
      <c r="T543" s="591"/>
      <c r="U543" s="591"/>
      <c r="V543" s="591"/>
      <c r="W543" s="591"/>
      <c r="X543" s="591"/>
      <c r="Y543" s="591"/>
      <c r="Z543" s="591"/>
      <c r="AA543" s="591"/>
      <c r="AB543" s="591"/>
      <c r="AC543" s="591"/>
      <c r="AD543" s="591"/>
      <c r="AE543" s="591"/>
    </row>
    <row r="544" spans="1:31">
      <c r="A544" s="591"/>
      <c r="B544" s="591"/>
      <c r="C544" s="591"/>
      <c r="D544" s="591"/>
      <c r="E544" s="591"/>
      <c r="F544" s="591"/>
      <c r="G544" s="591"/>
      <c r="H544" s="591"/>
      <c r="I544" s="591"/>
      <c r="J544" s="591"/>
      <c r="K544" s="591"/>
      <c r="L544" s="591"/>
      <c r="M544" s="591"/>
      <c r="N544" s="591"/>
      <c r="O544" s="591"/>
      <c r="P544" s="591"/>
      <c r="Q544" s="591"/>
      <c r="R544" s="591"/>
      <c r="S544" s="591"/>
      <c r="T544" s="591"/>
      <c r="U544" s="591"/>
      <c r="V544" s="591"/>
      <c r="W544" s="591"/>
      <c r="X544" s="591"/>
      <c r="Y544" s="591"/>
      <c r="Z544" s="591"/>
      <c r="AA544" s="591"/>
      <c r="AB544" s="591"/>
      <c r="AC544" s="591"/>
      <c r="AD544" s="591"/>
      <c r="AE544" s="591"/>
    </row>
    <row r="545" spans="1:31">
      <c r="A545" s="591"/>
      <c r="B545" s="591"/>
      <c r="C545" s="591"/>
      <c r="D545" s="591"/>
      <c r="E545" s="591"/>
      <c r="F545" s="591"/>
      <c r="G545" s="591"/>
      <c r="H545" s="591"/>
      <c r="I545" s="591"/>
      <c r="J545" s="591"/>
      <c r="K545" s="591"/>
      <c r="L545" s="591"/>
      <c r="M545" s="591"/>
      <c r="N545" s="591"/>
      <c r="O545" s="591"/>
      <c r="P545" s="591"/>
      <c r="Q545" s="591"/>
      <c r="R545" s="591"/>
      <c r="S545" s="591"/>
      <c r="T545" s="591"/>
      <c r="U545" s="591"/>
      <c r="V545" s="591"/>
      <c r="W545" s="591"/>
      <c r="X545" s="591"/>
      <c r="Y545" s="591"/>
      <c r="Z545" s="591"/>
      <c r="AA545" s="591"/>
      <c r="AB545" s="591"/>
      <c r="AC545" s="591"/>
      <c r="AD545" s="591"/>
      <c r="AE545" s="591"/>
    </row>
    <row r="546" spans="1:31">
      <c r="A546" s="591"/>
      <c r="B546" s="591"/>
      <c r="C546" s="591"/>
      <c r="D546" s="591"/>
      <c r="E546" s="591"/>
      <c r="F546" s="591"/>
      <c r="G546" s="591"/>
      <c r="H546" s="591"/>
      <c r="I546" s="591"/>
      <c r="J546" s="591"/>
      <c r="K546" s="591"/>
      <c r="L546" s="591"/>
      <c r="M546" s="591"/>
      <c r="N546" s="591"/>
      <c r="O546" s="591"/>
      <c r="P546" s="591"/>
      <c r="Q546" s="591"/>
      <c r="R546" s="591"/>
      <c r="S546" s="591"/>
      <c r="T546" s="591"/>
      <c r="U546" s="591"/>
      <c r="V546" s="591"/>
      <c r="W546" s="591"/>
      <c r="X546" s="591"/>
      <c r="Y546" s="591"/>
      <c r="Z546" s="591"/>
      <c r="AA546" s="591"/>
      <c r="AB546" s="591"/>
      <c r="AC546" s="591"/>
      <c r="AD546" s="591"/>
      <c r="AE546" s="591"/>
    </row>
    <row r="547" spans="1:31">
      <c r="A547" s="591"/>
      <c r="B547" s="591"/>
      <c r="C547" s="591"/>
      <c r="D547" s="591"/>
      <c r="E547" s="591"/>
      <c r="F547" s="591"/>
      <c r="G547" s="591"/>
      <c r="H547" s="591"/>
      <c r="I547" s="591"/>
      <c r="J547" s="591"/>
      <c r="K547" s="591"/>
      <c r="L547" s="591"/>
      <c r="M547" s="591"/>
      <c r="N547" s="591"/>
      <c r="O547" s="591"/>
      <c r="P547" s="591"/>
      <c r="Q547" s="591"/>
      <c r="R547" s="591"/>
      <c r="S547" s="591"/>
      <c r="T547" s="591"/>
      <c r="U547" s="591"/>
      <c r="V547" s="591"/>
      <c r="W547" s="591"/>
      <c r="X547" s="591"/>
      <c r="Y547" s="591"/>
      <c r="Z547" s="591"/>
      <c r="AA547" s="591"/>
      <c r="AB547" s="591"/>
      <c r="AC547" s="591"/>
      <c r="AD547" s="591"/>
      <c r="AE547" s="591"/>
    </row>
    <row r="548" spans="1:31">
      <c r="A548" s="591"/>
      <c r="B548" s="591"/>
      <c r="C548" s="591"/>
      <c r="D548" s="591"/>
      <c r="E548" s="591"/>
      <c r="F548" s="591"/>
      <c r="G548" s="591"/>
      <c r="H548" s="591"/>
      <c r="I548" s="591"/>
      <c r="J548" s="591"/>
      <c r="K548" s="591"/>
      <c r="L548" s="591"/>
      <c r="M548" s="591"/>
      <c r="N548" s="591"/>
      <c r="O548" s="591"/>
      <c r="P548" s="591"/>
      <c r="Q548" s="591"/>
      <c r="R548" s="591"/>
      <c r="S548" s="591"/>
      <c r="T548" s="591"/>
      <c r="U548" s="591"/>
      <c r="V548" s="591"/>
      <c r="W548" s="591"/>
      <c r="X548" s="591"/>
      <c r="Y548" s="591"/>
      <c r="Z548" s="591"/>
      <c r="AA548" s="591"/>
      <c r="AB548" s="591"/>
      <c r="AC548" s="591"/>
      <c r="AD548" s="591"/>
      <c r="AE548" s="591"/>
    </row>
    <row r="549" spans="1:31">
      <c r="A549" s="591"/>
      <c r="B549" s="591"/>
      <c r="C549" s="591"/>
      <c r="D549" s="591"/>
      <c r="E549" s="591"/>
      <c r="F549" s="591"/>
      <c r="G549" s="591"/>
      <c r="H549" s="591"/>
      <c r="I549" s="591"/>
      <c r="J549" s="591"/>
      <c r="K549" s="591"/>
      <c r="L549" s="591"/>
      <c r="M549" s="591"/>
      <c r="N549" s="591"/>
      <c r="O549" s="591"/>
      <c r="P549" s="591"/>
      <c r="Q549" s="591"/>
      <c r="R549" s="591"/>
      <c r="S549" s="591"/>
      <c r="T549" s="591"/>
      <c r="U549" s="591"/>
      <c r="V549" s="591"/>
      <c r="W549" s="591"/>
      <c r="X549" s="591"/>
      <c r="Y549" s="591"/>
      <c r="Z549" s="591"/>
      <c r="AA549" s="591"/>
      <c r="AB549" s="591"/>
      <c r="AC549" s="591"/>
      <c r="AD549" s="591"/>
      <c r="AE549" s="591"/>
    </row>
    <row r="550" spans="1:31">
      <c r="A550" s="591"/>
      <c r="B550" s="591"/>
      <c r="C550" s="591"/>
      <c r="D550" s="591"/>
      <c r="E550" s="591"/>
      <c r="F550" s="591"/>
      <c r="G550" s="591"/>
      <c r="H550" s="591"/>
      <c r="I550" s="591"/>
      <c r="J550" s="591"/>
      <c r="K550" s="591"/>
      <c r="L550" s="591"/>
      <c r="M550" s="591"/>
      <c r="N550" s="591"/>
      <c r="O550" s="591"/>
      <c r="P550" s="591"/>
      <c r="Q550" s="591"/>
      <c r="R550" s="591"/>
      <c r="S550" s="591"/>
      <c r="T550" s="591"/>
      <c r="U550" s="591"/>
      <c r="V550" s="591"/>
      <c r="W550" s="591"/>
      <c r="X550" s="591"/>
      <c r="Y550" s="591"/>
      <c r="Z550" s="591"/>
      <c r="AA550" s="591"/>
      <c r="AB550" s="591"/>
      <c r="AC550" s="591"/>
      <c r="AD550" s="591"/>
      <c r="AE550" s="591"/>
    </row>
    <row r="551" spans="1:31">
      <c r="A551" s="591"/>
      <c r="B551" s="591"/>
      <c r="C551" s="591"/>
      <c r="D551" s="591"/>
      <c r="E551" s="591"/>
      <c r="F551" s="591"/>
      <c r="G551" s="591"/>
      <c r="H551" s="591"/>
      <c r="I551" s="591"/>
      <c r="J551" s="591"/>
      <c r="K551" s="591"/>
      <c r="L551" s="591"/>
      <c r="M551" s="591"/>
      <c r="N551" s="591"/>
      <c r="O551" s="591"/>
      <c r="P551" s="591"/>
      <c r="Q551" s="591"/>
      <c r="R551" s="591"/>
      <c r="S551" s="591"/>
      <c r="T551" s="591"/>
      <c r="U551" s="591"/>
      <c r="V551" s="591"/>
      <c r="W551" s="591"/>
      <c r="X551" s="591"/>
      <c r="Y551" s="591"/>
      <c r="Z551" s="591"/>
      <c r="AA551" s="591"/>
      <c r="AB551" s="591"/>
      <c r="AC551" s="591"/>
      <c r="AD551" s="591"/>
      <c r="AE551" s="591"/>
    </row>
    <row r="552" spans="1:31">
      <c r="A552" s="591"/>
      <c r="B552" s="591"/>
      <c r="C552" s="591"/>
      <c r="D552" s="591"/>
      <c r="E552" s="591"/>
      <c r="F552" s="591"/>
      <c r="G552" s="591"/>
      <c r="H552" s="591"/>
      <c r="I552" s="591"/>
      <c r="J552" s="591"/>
      <c r="K552" s="591"/>
      <c r="L552" s="591"/>
      <c r="M552" s="591"/>
      <c r="N552" s="591"/>
      <c r="O552" s="591"/>
      <c r="P552" s="591"/>
      <c r="Q552" s="591"/>
      <c r="R552" s="591"/>
      <c r="S552" s="591"/>
      <c r="T552" s="591"/>
      <c r="U552" s="591"/>
      <c r="V552" s="591"/>
      <c r="W552" s="591"/>
      <c r="X552" s="591"/>
      <c r="Y552" s="591"/>
      <c r="Z552" s="591"/>
      <c r="AA552" s="591"/>
      <c r="AB552" s="591"/>
      <c r="AC552" s="591"/>
      <c r="AD552" s="591"/>
      <c r="AE552" s="591"/>
    </row>
    <row r="553" spans="1:31">
      <c r="A553" s="591"/>
      <c r="B553" s="591"/>
      <c r="C553" s="591"/>
      <c r="D553" s="591"/>
      <c r="E553" s="591"/>
      <c r="F553" s="591"/>
      <c r="G553" s="591"/>
      <c r="H553" s="591"/>
      <c r="I553" s="591"/>
      <c r="J553" s="591"/>
      <c r="K553" s="591"/>
      <c r="L553" s="591"/>
      <c r="M553" s="591"/>
      <c r="N553" s="591"/>
      <c r="O553" s="591"/>
      <c r="P553" s="591"/>
      <c r="Q553" s="591"/>
      <c r="R553" s="591"/>
      <c r="S553" s="591"/>
      <c r="T553" s="591"/>
      <c r="U553" s="591"/>
      <c r="V553" s="591"/>
      <c r="W553" s="591"/>
      <c r="X553" s="591"/>
      <c r="Y553" s="591"/>
      <c r="Z553" s="591"/>
      <c r="AA553" s="591"/>
      <c r="AB553" s="591"/>
      <c r="AC553" s="591"/>
      <c r="AD553" s="591"/>
      <c r="AE553" s="591"/>
    </row>
    <row r="554" spans="1:31">
      <c r="A554" s="591"/>
      <c r="B554" s="591"/>
      <c r="C554" s="591"/>
      <c r="D554" s="591"/>
      <c r="E554" s="591"/>
      <c r="F554" s="591"/>
      <c r="G554" s="591"/>
      <c r="H554" s="591"/>
      <c r="I554" s="591"/>
      <c r="J554" s="591"/>
      <c r="K554" s="591"/>
      <c r="L554" s="591"/>
      <c r="M554" s="591"/>
      <c r="N554" s="591"/>
      <c r="O554" s="591"/>
      <c r="P554" s="591"/>
      <c r="Q554" s="591"/>
      <c r="R554" s="591"/>
      <c r="S554" s="591"/>
      <c r="T554" s="591"/>
      <c r="U554" s="591"/>
      <c r="V554" s="591"/>
      <c r="W554" s="591"/>
      <c r="X554" s="591"/>
      <c r="Y554" s="591"/>
      <c r="Z554" s="591"/>
      <c r="AA554" s="591"/>
      <c r="AB554" s="591"/>
      <c r="AC554" s="591"/>
      <c r="AD554" s="591"/>
      <c r="AE554" s="591"/>
    </row>
    <row r="555" spans="1:31">
      <c r="A555" s="591"/>
      <c r="B555" s="591"/>
      <c r="C555" s="591"/>
      <c r="D555" s="591"/>
      <c r="E555" s="591"/>
      <c r="F555" s="591"/>
      <c r="G555" s="591"/>
      <c r="H555" s="591"/>
      <c r="I555" s="591"/>
      <c r="J555" s="591"/>
      <c r="K555" s="591"/>
      <c r="L555" s="591"/>
      <c r="M555" s="591"/>
      <c r="N555" s="591"/>
      <c r="O555" s="591"/>
      <c r="P555" s="591"/>
      <c r="Q555" s="591"/>
      <c r="R555" s="591"/>
      <c r="S555" s="591"/>
      <c r="T555" s="591"/>
      <c r="U555" s="591"/>
      <c r="V555" s="591"/>
      <c r="W555" s="591"/>
      <c r="X555" s="591"/>
      <c r="Y555" s="591"/>
      <c r="Z555" s="591"/>
      <c r="AA555" s="591"/>
      <c r="AB555" s="591"/>
      <c r="AC555" s="591"/>
      <c r="AD555" s="591"/>
      <c r="AE555" s="591"/>
    </row>
    <row r="556" spans="1:31">
      <c r="A556" s="591"/>
      <c r="B556" s="591"/>
      <c r="C556" s="591"/>
      <c r="D556" s="591"/>
      <c r="E556" s="591"/>
      <c r="F556" s="591"/>
      <c r="G556" s="591"/>
      <c r="H556" s="591"/>
      <c r="I556" s="591"/>
      <c r="J556" s="591"/>
      <c r="K556" s="591"/>
      <c r="L556" s="591"/>
      <c r="M556" s="591"/>
      <c r="N556" s="591"/>
      <c r="O556" s="591"/>
      <c r="P556" s="591"/>
      <c r="Q556" s="591"/>
      <c r="R556" s="591"/>
      <c r="S556" s="591"/>
      <c r="T556" s="591"/>
      <c r="U556" s="591"/>
      <c r="V556" s="591"/>
      <c r="W556" s="591"/>
      <c r="X556" s="591"/>
      <c r="Y556" s="591"/>
      <c r="Z556" s="591"/>
      <c r="AA556" s="591"/>
      <c r="AB556" s="591"/>
      <c r="AC556" s="591"/>
      <c r="AD556" s="591"/>
      <c r="AE556" s="591"/>
    </row>
    <row r="557" spans="1:31">
      <c r="A557" s="591"/>
      <c r="B557" s="591"/>
      <c r="C557" s="591"/>
      <c r="D557" s="591"/>
      <c r="E557" s="591"/>
      <c r="F557" s="591"/>
      <c r="G557" s="591"/>
      <c r="H557" s="591"/>
      <c r="I557" s="591"/>
      <c r="J557" s="591"/>
      <c r="K557" s="591"/>
      <c r="L557" s="591"/>
      <c r="M557" s="591"/>
      <c r="N557" s="591"/>
      <c r="O557" s="591"/>
      <c r="P557" s="591"/>
      <c r="Q557" s="591"/>
      <c r="R557" s="591"/>
      <c r="S557" s="591"/>
      <c r="T557" s="591"/>
      <c r="U557" s="591"/>
      <c r="V557" s="591"/>
      <c r="W557" s="591"/>
      <c r="X557" s="591"/>
      <c r="Y557" s="591"/>
      <c r="Z557" s="591"/>
      <c r="AA557" s="591"/>
      <c r="AB557" s="591"/>
      <c r="AC557" s="591"/>
      <c r="AD557" s="591"/>
      <c r="AE557" s="591"/>
    </row>
    <row r="558" spans="1:31">
      <c r="A558" s="591"/>
      <c r="B558" s="591"/>
      <c r="C558" s="591"/>
      <c r="D558" s="591"/>
      <c r="E558" s="591"/>
      <c r="F558" s="591"/>
      <c r="G558" s="591"/>
      <c r="H558" s="591"/>
      <c r="I558" s="591"/>
      <c r="J558" s="591"/>
      <c r="K558" s="591"/>
      <c r="L558" s="591"/>
      <c r="M558" s="591"/>
      <c r="N558" s="591"/>
      <c r="O558" s="591"/>
      <c r="P558" s="591"/>
      <c r="Q558" s="591"/>
      <c r="R558" s="591"/>
      <c r="S558" s="591"/>
      <c r="T558" s="591"/>
      <c r="U558" s="591"/>
      <c r="V558" s="591"/>
      <c r="W558" s="591"/>
      <c r="X558" s="591"/>
      <c r="Y558" s="591"/>
      <c r="Z558" s="591"/>
      <c r="AA558" s="591"/>
      <c r="AB558" s="591"/>
      <c r="AC558" s="591"/>
      <c r="AD558" s="591"/>
      <c r="AE558" s="591"/>
    </row>
    <row r="559" spans="1:31">
      <c r="A559" s="591"/>
      <c r="B559" s="591"/>
      <c r="C559" s="591"/>
      <c r="D559" s="591"/>
      <c r="E559" s="591"/>
      <c r="F559" s="591"/>
      <c r="G559" s="591"/>
      <c r="H559" s="591"/>
      <c r="I559" s="591"/>
      <c r="J559" s="591"/>
      <c r="K559" s="591"/>
      <c r="L559" s="591"/>
      <c r="M559" s="591"/>
      <c r="N559" s="591"/>
      <c r="O559" s="591"/>
      <c r="P559" s="591"/>
      <c r="Q559" s="591"/>
      <c r="R559" s="591"/>
      <c r="S559" s="591"/>
      <c r="T559" s="591"/>
      <c r="U559" s="591"/>
      <c r="V559" s="591"/>
      <c r="W559" s="591"/>
      <c r="X559" s="591"/>
      <c r="Y559" s="591"/>
      <c r="Z559" s="591"/>
      <c r="AA559" s="591"/>
      <c r="AB559" s="591"/>
      <c r="AC559" s="591"/>
      <c r="AD559" s="591"/>
      <c r="AE559" s="591"/>
    </row>
    <row r="560" spans="1:31">
      <c r="A560" s="591"/>
      <c r="B560" s="591"/>
      <c r="C560" s="591"/>
      <c r="D560" s="591"/>
      <c r="E560" s="591"/>
      <c r="F560" s="591"/>
      <c r="G560" s="591"/>
      <c r="H560" s="591"/>
      <c r="I560" s="591"/>
      <c r="J560" s="591"/>
      <c r="K560" s="591"/>
      <c r="L560" s="591"/>
      <c r="M560" s="591"/>
      <c r="N560" s="591"/>
      <c r="O560" s="591"/>
      <c r="P560" s="591"/>
      <c r="Q560" s="591"/>
      <c r="R560" s="591"/>
      <c r="S560" s="591"/>
      <c r="T560" s="591"/>
      <c r="U560" s="591"/>
      <c r="V560" s="591"/>
      <c r="W560" s="591"/>
      <c r="X560" s="591"/>
      <c r="Y560" s="591"/>
      <c r="Z560" s="591"/>
      <c r="AA560" s="591"/>
      <c r="AB560" s="591"/>
      <c r="AC560" s="591"/>
      <c r="AD560" s="591"/>
      <c r="AE560" s="591"/>
    </row>
    <row r="561" spans="1:31">
      <c r="A561" s="591"/>
      <c r="B561" s="591"/>
      <c r="C561" s="591"/>
      <c r="D561" s="591"/>
      <c r="E561" s="591"/>
      <c r="F561" s="591"/>
      <c r="G561" s="591"/>
      <c r="H561" s="591"/>
      <c r="I561" s="591"/>
      <c r="J561" s="591"/>
      <c r="K561" s="591"/>
      <c r="L561" s="591"/>
      <c r="M561" s="591"/>
      <c r="N561" s="591"/>
      <c r="O561" s="591"/>
      <c r="P561" s="591"/>
      <c r="Q561" s="591"/>
      <c r="R561" s="591"/>
      <c r="S561" s="591"/>
      <c r="T561" s="591"/>
      <c r="U561" s="591"/>
      <c r="V561" s="591"/>
      <c r="W561" s="591"/>
      <c r="X561" s="591"/>
      <c r="Y561" s="591"/>
      <c r="Z561" s="591"/>
      <c r="AA561" s="591"/>
      <c r="AB561" s="591"/>
      <c r="AC561" s="591"/>
      <c r="AD561" s="591"/>
      <c r="AE561" s="591"/>
    </row>
    <row r="562" spans="1:31">
      <c r="A562" s="591"/>
      <c r="B562" s="591"/>
      <c r="C562" s="591"/>
      <c r="D562" s="591"/>
      <c r="E562" s="591"/>
      <c r="F562" s="591"/>
      <c r="G562" s="591"/>
      <c r="H562" s="591"/>
      <c r="I562" s="591"/>
      <c r="J562" s="591"/>
      <c r="K562" s="591"/>
      <c r="L562" s="591"/>
      <c r="M562" s="591"/>
      <c r="N562" s="591"/>
      <c r="O562" s="591"/>
      <c r="P562" s="591"/>
      <c r="Q562" s="591"/>
      <c r="R562" s="591"/>
      <c r="S562" s="591"/>
      <c r="T562" s="591"/>
      <c r="U562" s="591"/>
      <c r="V562" s="591"/>
      <c r="W562" s="591"/>
      <c r="X562" s="591"/>
      <c r="Y562" s="591"/>
      <c r="Z562" s="591"/>
      <c r="AA562" s="591"/>
      <c r="AB562" s="591"/>
      <c r="AC562" s="591"/>
      <c r="AD562" s="591"/>
      <c r="AE562" s="591"/>
    </row>
    <row r="563" spans="1:31">
      <c r="A563" s="591"/>
      <c r="B563" s="591"/>
      <c r="C563" s="591"/>
      <c r="D563" s="591"/>
      <c r="E563" s="591"/>
      <c r="F563" s="591"/>
      <c r="G563" s="591"/>
      <c r="H563" s="591"/>
      <c r="I563" s="591"/>
      <c r="J563" s="591"/>
      <c r="K563" s="591"/>
      <c r="L563" s="591"/>
      <c r="M563" s="591"/>
      <c r="N563" s="591"/>
      <c r="O563" s="591"/>
      <c r="P563" s="591"/>
      <c r="Q563" s="591"/>
      <c r="R563" s="591"/>
      <c r="S563" s="591"/>
      <c r="T563" s="591"/>
      <c r="U563" s="591"/>
      <c r="V563" s="591"/>
      <c r="W563" s="591"/>
      <c r="X563" s="591"/>
      <c r="Y563" s="591"/>
      <c r="Z563" s="591"/>
      <c r="AA563" s="591"/>
      <c r="AB563" s="591"/>
      <c r="AC563" s="591"/>
      <c r="AD563" s="591"/>
      <c r="AE563" s="591"/>
    </row>
    <row r="564" spans="1:31">
      <c r="A564" s="591"/>
      <c r="B564" s="591"/>
      <c r="C564" s="591"/>
      <c r="D564" s="591"/>
      <c r="E564" s="591"/>
      <c r="F564" s="591"/>
      <c r="G564" s="591"/>
      <c r="H564" s="591"/>
      <c r="I564" s="591"/>
      <c r="J564" s="591"/>
      <c r="K564" s="591"/>
      <c r="L564" s="591"/>
      <c r="M564" s="591"/>
      <c r="N564" s="591"/>
      <c r="O564" s="591"/>
      <c r="P564" s="591"/>
      <c r="Q564" s="591"/>
      <c r="R564" s="591"/>
      <c r="S564" s="591"/>
      <c r="T564" s="591"/>
      <c r="U564" s="591"/>
      <c r="V564" s="591"/>
      <c r="W564" s="591"/>
      <c r="X564" s="591"/>
      <c r="Y564" s="591"/>
      <c r="Z564" s="591"/>
      <c r="AA564" s="591"/>
      <c r="AB564" s="591"/>
      <c r="AC564" s="591"/>
      <c r="AD564" s="591"/>
      <c r="AE564" s="591"/>
    </row>
    <row r="565" spans="1:31">
      <c r="A565" s="591"/>
      <c r="B565" s="591"/>
      <c r="C565" s="591"/>
      <c r="D565" s="591"/>
      <c r="E565" s="591"/>
      <c r="F565" s="591"/>
      <c r="G565" s="591"/>
      <c r="H565" s="591"/>
      <c r="I565" s="591"/>
      <c r="J565" s="591"/>
      <c r="K565" s="591"/>
      <c r="L565" s="591"/>
      <c r="M565" s="591"/>
      <c r="N565" s="591"/>
      <c r="O565" s="591"/>
      <c r="P565" s="591"/>
      <c r="Q565" s="591"/>
      <c r="R565" s="591"/>
      <c r="S565" s="591"/>
      <c r="T565" s="591"/>
      <c r="U565" s="591"/>
      <c r="V565" s="591"/>
      <c r="W565" s="591"/>
      <c r="X565" s="591"/>
      <c r="Y565" s="591"/>
      <c r="Z565" s="591"/>
      <c r="AA565" s="591"/>
      <c r="AB565" s="591"/>
      <c r="AC565" s="591"/>
      <c r="AD565" s="591"/>
      <c r="AE565" s="591"/>
    </row>
    <row r="566" spans="1:31">
      <c r="A566" s="591"/>
      <c r="B566" s="591"/>
      <c r="C566" s="591"/>
      <c r="D566" s="591"/>
      <c r="E566" s="591"/>
      <c r="F566" s="591"/>
      <c r="G566" s="591"/>
      <c r="H566" s="591"/>
      <c r="I566" s="591"/>
      <c r="J566" s="591"/>
      <c r="K566" s="591"/>
      <c r="L566" s="591"/>
      <c r="M566" s="591"/>
      <c r="N566" s="591"/>
      <c r="O566" s="591"/>
      <c r="P566" s="591"/>
      <c r="Q566" s="591"/>
      <c r="R566" s="591"/>
      <c r="S566" s="591"/>
      <c r="T566" s="591"/>
      <c r="U566" s="591"/>
      <c r="V566" s="591"/>
      <c r="W566" s="591"/>
      <c r="X566" s="591"/>
      <c r="Y566" s="591"/>
      <c r="Z566" s="591"/>
      <c r="AA566" s="591"/>
      <c r="AB566" s="591"/>
      <c r="AC566" s="591"/>
      <c r="AD566" s="591"/>
      <c r="AE566" s="591"/>
    </row>
    <row r="567" spans="1:31">
      <c r="A567" s="591"/>
      <c r="B567" s="591"/>
      <c r="C567" s="591"/>
      <c r="D567" s="591"/>
      <c r="E567" s="591"/>
      <c r="F567" s="591"/>
      <c r="G567" s="591"/>
      <c r="H567" s="591"/>
      <c r="I567" s="591"/>
      <c r="J567" s="591"/>
      <c r="K567" s="591"/>
      <c r="L567" s="591"/>
      <c r="M567" s="591"/>
      <c r="N567" s="591"/>
      <c r="O567" s="591"/>
      <c r="P567" s="591"/>
      <c r="Q567" s="591"/>
      <c r="R567" s="591"/>
      <c r="S567" s="591"/>
      <c r="T567" s="591"/>
      <c r="U567" s="591"/>
      <c r="V567" s="591"/>
      <c r="W567" s="591"/>
      <c r="X567" s="591"/>
      <c r="Y567" s="591"/>
      <c r="Z567" s="591"/>
      <c r="AA567" s="591"/>
      <c r="AB567" s="591"/>
      <c r="AC567" s="591"/>
      <c r="AD567" s="591"/>
      <c r="AE567" s="591"/>
    </row>
    <row r="568" spans="1:31">
      <c r="A568" s="591"/>
      <c r="B568" s="591"/>
      <c r="C568" s="591"/>
      <c r="D568" s="591"/>
      <c r="E568" s="591"/>
      <c r="F568" s="591"/>
      <c r="G568" s="591"/>
      <c r="H568" s="591"/>
      <c r="I568" s="591"/>
      <c r="J568" s="591"/>
      <c r="K568" s="591"/>
      <c r="L568" s="591"/>
      <c r="M568" s="591"/>
      <c r="N568" s="591"/>
      <c r="O568" s="591"/>
      <c r="P568" s="591"/>
      <c r="Q568" s="591"/>
      <c r="R568" s="591"/>
      <c r="S568" s="591"/>
      <c r="T568" s="591"/>
      <c r="U568" s="591"/>
      <c r="V568" s="591"/>
      <c r="W568" s="591"/>
      <c r="X568" s="591"/>
      <c r="Y568" s="591"/>
      <c r="Z568" s="591"/>
      <c r="AA568" s="591"/>
      <c r="AB568" s="591"/>
      <c r="AC568" s="591"/>
      <c r="AD568" s="591"/>
      <c r="AE568" s="591"/>
    </row>
    <row r="569" spans="1:31">
      <c r="A569" s="591"/>
      <c r="B569" s="591"/>
      <c r="C569" s="591"/>
      <c r="D569" s="591"/>
      <c r="E569" s="591"/>
      <c r="F569" s="591"/>
      <c r="G569" s="591"/>
      <c r="H569" s="591"/>
      <c r="I569" s="591"/>
      <c r="J569" s="591"/>
      <c r="K569" s="591"/>
      <c r="L569" s="591"/>
      <c r="M569" s="591"/>
      <c r="N569" s="591"/>
      <c r="O569" s="591"/>
      <c r="P569" s="591"/>
      <c r="Q569" s="591"/>
      <c r="R569" s="591"/>
      <c r="S569" s="591"/>
      <c r="T569" s="591"/>
      <c r="U569" s="591"/>
      <c r="V569" s="591"/>
      <c r="W569" s="591"/>
      <c r="X569" s="591"/>
      <c r="Y569" s="591"/>
      <c r="Z569" s="591"/>
      <c r="AA569" s="591"/>
      <c r="AB569" s="591"/>
      <c r="AC569" s="591"/>
      <c r="AD569" s="591"/>
      <c r="AE569" s="591"/>
    </row>
    <row r="570" spans="1:31">
      <c r="A570" s="591"/>
      <c r="B570" s="591"/>
      <c r="C570" s="591"/>
      <c r="D570" s="591"/>
      <c r="E570" s="591"/>
      <c r="F570" s="591"/>
      <c r="G570" s="591"/>
      <c r="H570" s="591"/>
      <c r="I570" s="591"/>
      <c r="J570" s="591"/>
      <c r="K570" s="591"/>
      <c r="L570" s="591"/>
      <c r="M570" s="591"/>
      <c r="N570" s="591"/>
      <c r="O570" s="591"/>
      <c r="P570" s="591"/>
      <c r="Q570" s="591"/>
      <c r="R570" s="591"/>
      <c r="S570" s="591"/>
      <c r="T570" s="591"/>
      <c r="U570" s="591"/>
      <c r="V570" s="591"/>
      <c r="W570" s="591"/>
      <c r="X570" s="591"/>
      <c r="Y570" s="591"/>
      <c r="Z570" s="591"/>
      <c r="AA570" s="591"/>
      <c r="AB570" s="591"/>
      <c r="AC570" s="591"/>
      <c r="AD570" s="591"/>
      <c r="AE570" s="591"/>
    </row>
    <row r="571" spans="1:31">
      <c r="A571" s="591"/>
      <c r="B571" s="591"/>
      <c r="C571" s="591"/>
      <c r="D571" s="591"/>
      <c r="E571" s="591"/>
      <c r="F571" s="591"/>
      <c r="G571" s="591"/>
      <c r="H571" s="591"/>
      <c r="I571" s="591"/>
      <c r="J571" s="591"/>
      <c r="K571" s="591"/>
      <c r="L571" s="591"/>
      <c r="M571" s="591"/>
      <c r="N571" s="591"/>
      <c r="O571" s="591"/>
      <c r="P571" s="591"/>
      <c r="Q571" s="591"/>
      <c r="R571" s="591"/>
      <c r="S571" s="591"/>
      <c r="T571" s="591"/>
      <c r="U571" s="591"/>
      <c r="V571" s="591"/>
      <c r="W571" s="591"/>
      <c r="X571" s="591"/>
      <c r="Y571" s="591"/>
      <c r="Z571" s="591"/>
      <c r="AA571" s="591"/>
      <c r="AB571" s="591"/>
      <c r="AC571" s="591"/>
      <c r="AD571" s="591"/>
      <c r="AE571" s="591"/>
    </row>
    <row r="572" spans="1:31">
      <c r="A572" s="591"/>
      <c r="B572" s="591"/>
      <c r="C572" s="591"/>
      <c r="D572" s="591"/>
      <c r="E572" s="591"/>
      <c r="F572" s="591"/>
      <c r="G572" s="591"/>
      <c r="H572" s="591"/>
      <c r="I572" s="591"/>
      <c r="J572" s="591"/>
      <c r="K572" s="591"/>
      <c r="L572" s="591"/>
      <c r="M572" s="591"/>
      <c r="N572" s="591"/>
      <c r="O572" s="591"/>
      <c r="P572" s="591"/>
      <c r="Q572" s="591"/>
      <c r="R572" s="591"/>
      <c r="S572" s="591"/>
      <c r="T572" s="591"/>
      <c r="U572" s="591"/>
      <c r="V572" s="591"/>
      <c r="W572" s="591"/>
      <c r="X572" s="591"/>
      <c r="Y572" s="591"/>
      <c r="Z572" s="591"/>
      <c r="AA572" s="591"/>
      <c r="AB572" s="591"/>
      <c r="AC572" s="591"/>
      <c r="AD572" s="591"/>
      <c r="AE572" s="591"/>
    </row>
    <row r="573" spans="1:31">
      <c r="A573" s="591"/>
      <c r="B573" s="591"/>
      <c r="C573" s="591"/>
      <c r="D573" s="591"/>
      <c r="E573" s="591"/>
      <c r="F573" s="591"/>
      <c r="G573" s="591"/>
      <c r="H573" s="591"/>
      <c r="I573" s="591"/>
      <c r="J573" s="591"/>
      <c r="K573" s="591"/>
      <c r="L573" s="591"/>
      <c r="M573" s="591"/>
      <c r="N573" s="591"/>
      <c r="O573" s="591"/>
      <c r="P573" s="591"/>
      <c r="Q573" s="591"/>
      <c r="R573" s="591"/>
      <c r="S573" s="591"/>
      <c r="T573" s="591"/>
      <c r="U573" s="591"/>
      <c r="V573" s="591"/>
      <c r="W573" s="591"/>
      <c r="X573" s="591"/>
      <c r="Y573" s="591"/>
      <c r="Z573" s="591"/>
      <c r="AA573" s="591"/>
      <c r="AB573" s="591"/>
      <c r="AC573" s="591"/>
      <c r="AD573" s="591"/>
      <c r="AE573" s="591"/>
    </row>
    <row r="574" spans="1:31">
      <c r="A574" s="591"/>
      <c r="B574" s="591"/>
      <c r="C574" s="591"/>
      <c r="D574" s="591"/>
      <c r="E574" s="591"/>
      <c r="F574" s="591"/>
      <c r="G574" s="591"/>
      <c r="H574" s="591"/>
      <c r="I574" s="591"/>
      <c r="J574" s="591"/>
      <c r="K574" s="591"/>
      <c r="L574" s="591"/>
      <c r="M574" s="591"/>
      <c r="N574" s="591"/>
      <c r="O574" s="591"/>
      <c r="P574" s="591"/>
      <c r="Q574" s="591"/>
      <c r="R574" s="591"/>
      <c r="S574" s="591"/>
      <c r="T574" s="591"/>
      <c r="U574" s="591"/>
      <c r="V574" s="591"/>
      <c r="W574" s="591"/>
      <c r="X574" s="591"/>
      <c r="Y574" s="591"/>
      <c r="Z574" s="591"/>
      <c r="AA574" s="591"/>
      <c r="AB574" s="591"/>
      <c r="AC574" s="591"/>
      <c r="AD574" s="591"/>
      <c r="AE574" s="591"/>
    </row>
    <row r="575" spans="1:31">
      <c r="A575" s="591"/>
      <c r="B575" s="591"/>
      <c r="C575" s="591"/>
      <c r="D575" s="591"/>
      <c r="E575" s="591"/>
      <c r="F575" s="591"/>
      <c r="G575" s="591"/>
      <c r="H575" s="591"/>
      <c r="I575" s="591"/>
      <c r="J575" s="591"/>
      <c r="K575" s="591"/>
      <c r="L575" s="591"/>
      <c r="M575" s="591"/>
      <c r="N575" s="591"/>
      <c r="O575" s="591"/>
      <c r="P575" s="591"/>
      <c r="Q575" s="591"/>
      <c r="R575" s="591"/>
      <c r="S575" s="591"/>
      <c r="T575" s="591"/>
      <c r="U575" s="591"/>
      <c r="V575" s="591"/>
      <c r="W575" s="591"/>
      <c r="X575" s="591"/>
      <c r="Y575" s="591"/>
      <c r="Z575" s="591"/>
      <c r="AA575" s="591"/>
      <c r="AB575" s="591"/>
      <c r="AC575" s="591"/>
      <c r="AD575" s="591"/>
      <c r="AE575" s="591"/>
    </row>
    <row r="576" spans="1:31">
      <c r="A576" s="591"/>
      <c r="B576" s="591"/>
      <c r="C576" s="591"/>
      <c r="D576" s="591"/>
      <c r="E576" s="591"/>
      <c r="F576" s="591"/>
      <c r="G576" s="591"/>
      <c r="H576" s="591"/>
      <c r="I576" s="591"/>
      <c r="J576" s="591"/>
      <c r="K576" s="591"/>
      <c r="L576" s="591"/>
      <c r="M576" s="591"/>
      <c r="N576" s="591"/>
      <c r="O576" s="591"/>
      <c r="P576" s="591"/>
      <c r="Q576" s="591"/>
      <c r="R576" s="591"/>
      <c r="S576" s="591"/>
      <c r="T576" s="591"/>
      <c r="U576" s="591"/>
      <c r="V576" s="591"/>
      <c r="W576" s="591"/>
      <c r="X576" s="591"/>
      <c r="Y576" s="591"/>
      <c r="Z576" s="591"/>
      <c r="AA576" s="591"/>
      <c r="AB576" s="591"/>
      <c r="AC576" s="591"/>
      <c r="AD576" s="591"/>
      <c r="AE576" s="591"/>
    </row>
    <row r="577" spans="1:31">
      <c r="A577" s="591"/>
      <c r="B577" s="591"/>
      <c r="C577" s="591"/>
      <c r="D577" s="591"/>
      <c r="E577" s="591"/>
      <c r="F577" s="591"/>
      <c r="G577" s="591"/>
      <c r="H577" s="591"/>
      <c r="I577" s="591"/>
      <c r="J577" s="591"/>
      <c r="K577" s="591"/>
      <c r="L577" s="591"/>
      <c r="M577" s="591"/>
      <c r="N577" s="591"/>
      <c r="O577" s="591"/>
      <c r="P577" s="591"/>
      <c r="Q577" s="591"/>
      <c r="R577" s="591"/>
      <c r="S577" s="591"/>
      <c r="T577" s="591"/>
      <c r="U577" s="591"/>
      <c r="V577" s="591"/>
      <c r="W577" s="591"/>
      <c r="X577" s="591"/>
      <c r="Y577" s="591"/>
      <c r="Z577" s="591"/>
      <c r="AA577" s="591"/>
      <c r="AB577" s="591"/>
      <c r="AC577" s="591"/>
      <c r="AD577" s="591"/>
      <c r="AE577" s="591"/>
    </row>
    <row r="578" spans="1:31">
      <c r="A578" s="591"/>
      <c r="B578" s="591"/>
      <c r="C578" s="591"/>
      <c r="D578" s="591"/>
      <c r="E578" s="591"/>
      <c r="F578" s="591"/>
      <c r="G578" s="591"/>
      <c r="H578" s="591"/>
      <c r="I578" s="591"/>
      <c r="J578" s="591"/>
      <c r="K578" s="591"/>
      <c r="L578" s="591"/>
      <c r="M578" s="591"/>
      <c r="N578" s="591"/>
      <c r="O578" s="591"/>
      <c r="P578" s="591"/>
      <c r="Q578" s="591"/>
      <c r="R578" s="591"/>
      <c r="S578" s="591"/>
      <c r="T578" s="591"/>
      <c r="U578" s="591"/>
      <c r="V578" s="591"/>
      <c r="W578" s="591"/>
      <c r="X578" s="591"/>
      <c r="Y578" s="591"/>
      <c r="Z578" s="591"/>
      <c r="AA578" s="591"/>
      <c r="AB578" s="591"/>
      <c r="AC578" s="591"/>
      <c r="AD578" s="591"/>
      <c r="AE578" s="591"/>
    </row>
    <row r="579" spans="1:31">
      <c r="A579" s="591"/>
      <c r="B579" s="591"/>
      <c r="C579" s="591"/>
      <c r="D579" s="591"/>
      <c r="E579" s="591"/>
      <c r="F579" s="591"/>
      <c r="G579" s="591"/>
      <c r="H579" s="591"/>
      <c r="I579" s="591"/>
      <c r="J579" s="591"/>
      <c r="K579" s="591"/>
      <c r="L579" s="591"/>
      <c r="M579" s="591"/>
      <c r="N579" s="591"/>
      <c r="O579" s="591"/>
      <c r="P579" s="591"/>
      <c r="Q579" s="591"/>
      <c r="R579" s="591"/>
      <c r="S579" s="591"/>
      <c r="T579" s="591"/>
      <c r="U579" s="591"/>
      <c r="V579" s="591"/>
      <c r="W579" s="591"/>
      <c r="X579" s="591"/>
      <c r="Y579" s="591"/>
      <c r="Z579" s="591"/>
      <c r="AA579" s="591"/>
      <c r="AB579" s="591"/>
      <c r="AC579" s="591"/>
      <c r="AD579" s="591"/>
      <c r="AE579" s="591"/>
    </row>
    <row r="580" spans="1:31">
      <c r="A580" s="591"/>
      <c r="B580" s="591"/>
      <c r="C580" s="591"/>
      <c r="D580" s="591"/>
      <c r="E580" s="591"/>
      <c r="F580" s="591"/>
      <c r="G580" s="591"/>
      <c r="H580" s="591"/>
      <c r="I580" s="591"/>
      <c r="J580" s="591"/>
      <c r="K580" s="591"/>
      <c r="L580" s="591"/>
      <c r="M580" s="591"/>
      <c r="N580" s="591"/>
      <c r="O580" s="591"/>
      <c r="P580" s="591"/>
      <c r="Q580" s="591"/>
      <c r="R580" s="591"/>
      <c r="S580" s="591"/>
      <c r="T580" s="591"/>
      <c r="U580" s="591"/>
      <c r="V580" s="591"/>
      <c r="W580" s="591"/>
      <c r="X580" s="591"/>
      <c r="Y580" s="591"/>
      <c r="Z580" s="591"/>
      <c r="AA580" s="591"/>
      <c r="AB580" s="591"/>
      <c r="AC580" s="591"/>
      <c r="AD580" s="591"/>
      <c r="AE580" s="591"/>
    </row>
    <row r="581" spans="1:31">
      <c r="A581" s="591"/>
      <c r="B581" s="591"/>
      <c r="C581" s="591"/>
      <c r="D581" s="591"/>
      <c r="E581" s="591"/>
      <c r="F581" s="591"/>
      <c r="G581" s="591"/>
      <c r="H581" s="591"/>
      <c r="I581" s="591"/>
      <c r="J581" s="591"/>
      <c r="K581" s="591"/>
      <c r="L581" s="591"/>
      <c r="M581" s="591"/>
      <c r="N581" s="591"/>
      <c r="O581" s="591"/>
      <c r="P581" s="591"/>
      <c r="Q581" s="591"/>
      <c r="R581" s="591"/>
      <c r="S581" s="591"/>
      <c r="T581" s="591"/>
      <c r="U581" s="591"/>
      <c r="V581" s="591"/>
      <c r="W581" s="591"/>
      <c r="X581" s="591"/>
      <c r="Y581" s="591"/>
      <c r="Z581" s="591"/>
      <c r="AA581" s="591"/>
      <c r="AB581" s="591"/>
      <c r="AC581" s="591"/>
      <c r="AD581" s="591"/>
      <c r="AE581" s="591"/>
    </row>
    <row r="582" spans="1:31">
      <c r="A582" s="591"/>
      <c r="B582" s="591"/>
      <c r="C582" s="591"/>
      <c r="D582" s="591"/>
      <c r="E582" s="591"/>
      <c r="F582" s="591"/>
      <c r="G582" s="591"/>
      <c r="H582" s="591"/>
      <c r="I582" s="591"/>
      <c r="J582" s="591"/>
      <c r="K582" s="591"/>
      <c r="L582" s="591"/>
      <c r="M582" s="591"/>
      <c r="N582" s="591"/>
      <c r="O582" s="591"/>
      <c r="P582" s="591"/>
      <c r="Q582" s="591"/>
      <c r="R582" s="591"/>
      <c r="S582" s="591"/>
      <c r="T582" s="591"/>
      <c r="U582" s="591"/>
      <c r="V582" s="591"/>
      <c r="W582" s="591"/>
      <c r="X582" s="591"/>
      <c r="Y582" s="591"/>
      <c r="Z582" s="591"/>
      <c r="AA582" s="591"/>
      <c r="AB582" s="591"/>
      <c r="AC582" s="591"/>
      <c r="AD582" s="591"/>
      <c r="AE582" s="591"/>
    </row>
    <row r="583" spans="1:31">
      <c r="A583" s="591"/>
      <c r="B583" s="591"/>
      <c r="C583" s="591"/>
      <c r="D583" s="591"/>
      <c r="E583" s="591"/>
      <c r="F583" s="591"/>
      <c r="G583" s="591"/>
      <c r="H583" s="591"/>
      <c r="I583" s="591"/>
      <c r="J583" s="591"/>
      <c r="K583" s="591"/>
      <c r="L583" s="591"/>
      <c r="M583" s="591"/>
      <c r="N583" s="591"/>
      <c r="O583" s="591"/>
      <c r="P583" s="591"/>
      <c r="Q583" s="591"/>
      <c r="R583" s="591"/>
      <c r="S583" s="591"/>
      <c r="T583" s="591"/>
      <c r="U583" s="591"/>
      <c r="V583" s="591"/>
      <c r="W583" s="591"/>
      <c r="X583" s="591"/>
      <c r="Y583" s="591"/>
      <c r="Z583" s="591"/>
      <c r="AA583" s="591"/>
      <c r="AB583" s="591"/>
      <c r="AC583" s="591"/>
      <c r="AD583" s="591"/>
      <c r="AE583" s="591"/>
    </row>
    <row r="584" spans="1:31">
      <c r="A584" s="591"/>
      <c r="B584" s="591"/>
      <c r="C584" s="591"/>
      <c r="D584" s="591"/>
      <c r="E584" s="591"/>
      <c r="F584" s="591"/>
      <c r="G584" s="591"/>
      <c r="H584" s="591"/>
      <c r="I584" s="591"/>
      <c r="J584" s="591"/>
      <c r="K584" s="591"/>
      <c r="L584" s="591"/>
      <c r="M584" s="591"/>
      <c r="N584" s="591"/>
      <c r="O584" s="591"/>
      <c r="P584" s="591"/>
      <c r="Q584" s="591"/>
      <c r="R584" s="591"/>
      <c r="S584" s="591"/>
      <c r="T584" s="591"/>
      <c r="U584" s="591"/>
      <c r="V584" s="591"/>
      <c r="W584" s="591"/>
      <c r="X584" s="591"/>
      <c r="Y584" s="591"/>
      <c r="Z584" s="591"/>
      <c r="AA584" s="591"/>
      <c r="AB584" s="591"/>
      <c r="AC584" s="591"/>
      <c r="AD584" s="591"/>
      <c r="AE584" s="591"/>
    </row>
    <row r="585" spans="1:31">
      <c r="A585" s="591"/>
      <c r="B585" s="591"/>
      <c r="C585" s="591"/>
      <c r="D585" s="591"/>
      <c r="E585" s="591"/>
      <c r="F585" s="591"/>
      <c r="G585" s="591"/>
      <c r="H585" s="591"/>
      <c r="I585" s="591"/>
      <c r="J585" s="591"/>
      <c r="K585" s="591"/>
      <c r="L585" s="591"/>
      <c r="M585" s="591"/>
      <c r="N585" s="591"/>
      <c r="O585" s="591"/>
      <c r="P585" s="591"/>
      <c r="Q585" s="591"/>
      <c r="R585" s="591"/>
      <c r="S585" s="591"/>
      <c r="T585" s="591"/>
      <c r="U585" s="591"/>
      <c r="V585" s="591"/>
      <c r="W585" s="591"/>
      <c r="X585" s="591"/>
      <c r="Y585" s="591"/>
      <c r="Z585" s="591"/>
      <c r="AA585" s="591"/>
      <c r="AB585" s="591"/>
      <c r="AC585" s="591"/>
      <c r="AD585" s="591"/>
      <c r="AE585" s="591"/>
    </row>
    <row r="586" spans="1:31">
      <c r="A586" s="591"/>
      <c r="B586" s="591"/>
      <c r="C586" s="591"/>
      <c r="D586" s="591"/>
      <c r="E586" s="591"/>
      <c r="F586" s="591"/>
      <c r="G586" s="591"/>
      <c r="H586" s="591"/>
      <c r="I586" s="591"/>
      <c r="J586" s="591"/>
      <c r="K586" s="591"/>
      <c r="L586" s="591"/>
      <c r="M586" s="591"/>
      <c r="N586" s="591"/>
      <c r="O586" s="591"/>
      <c r="P586" s="591"/>
      <c r="Q586" s="591"/>
      <c r="R586" s="591"/>
      <c r="S586" s="591"/>
      <c r="T586" s="591"/>
      <c r="U586" s="591"/>
      <c r="V586" s="591"/>
      <c r="W586" s="591"/>
      <c r="X586" s="591"/>
      <c r="Y586" s="591"/>
      <c r="Z586" s="591"/>
      <c r="AA586" s="591"/>
      <c r="AB586" s="591"/>
      <c r="AC586" s="591"/>
      <c r="AD586" s="591"/>
      <c r="AE586" s="591"/>
    </row>
    <row r="587" spans="1:31">
      <c r="A587" s="591"/>
      <c r="B587" s="591"/>
      <c r="C587" s="591"/>
      <c r="D587" s="591"/>
      <c r="E587" s="591"/>
      <c r="F587" s="591"/>
      <c r="G587" s="591"/>
      <c r="H587" s="591"/>
      <c r="I587" s="591"/>
      <c r="J587" s="591"/>
      <c r="K587" s="591"/>
      <c r="L587" s="591"/>
      <c r="M587" s="591"/>
      <c r="N587" s="591"/>
      <c r="O587" s="591"/>
      <c r="P587" s="591"/>
      <c r="Q587" s="591"/>
      <c r="R587" s="591"/>
      <c r="S587" s="591"/>
      <c r="T587" s="591"/>
      <c r="U587" s="591"/>
      <c r="V587" s="591"/>
      <c r="W587" s="591"/>
      <c r="X587" s="591"/>
      <c r="Y587" s="591"/>
      <c r="Z587" s="591"/>
      <c r="AA587" s="591"/>
      <c r="AB587" s="591"/>
      <c r="AC587" s="591"/>
      <c r="AD587" s="591"/>
      <c r="AE587" s="591"/>
    </row>
    <row r="588" spans="1:31">
      <c r="A588" s="591"/>
      <c r="B588" s="591"/>
      <c r="C588" s="591"/>
      <c r="D588" s="591"/>
      <c r="E588" s="591"/>
      <c r="F588" s="591"/>
      <c r="G588" s="591"/>
      <c r="H588" s="591"/>
      <c r="I588" s="591"/>
      <c r="J588" s="591"/>
      <c r="K588" s="591"/>
      <c r="L588" s="591"/>
      <c r="M588" s="591"/>
      <c r="N588" s="591"/>
      <c r="O588" s="591"/>
      <c r="P588" s="591"/>
      <c r="Q588" s="591"/>
      <c r="R588" s="591"/>
      <c r="S588" s="591"/>
      <c r="T588" s="591"/>
      <c r="U588" s="591"/>
      <c r="V588" s="591"/>
      <c r="W588" s="591"/>
      <c r="X588" s="591"/>
      <c r="Y588" s="591"/>
      <c r="Z588" s="591"/>
      <c r="AA588" s="591"/>
      <c r="AB588" s="591"/>
      <c r="AC588" s="591"/>
      <c r="AD588" s="591"/>
      <c r="AE588" s="591"/>
    </row>
    <row r="589" spans="1:31">
      <c r="A589" s="591"/>
      <c r="B589" s="591"/>
      <c r="C589" s="591"/>
      <c r="D589" s="591"/>
      <c r="E589" s="591"/>
      <c r="F589" s="591"/>
      <c r="G589" s="591"/>
      <c r="H589" s="591"/>
      <c r="I589" s="591"/>
      <c r="J589" s="591"/>
      <c r="K589" s="591"/>
      <c r="L589" s="591"/>
      <c r="M589" s="591"/>
      <c r="N589" s="591"/>
      <c r="O589" s="591"/>
      <c r="P589" s="591"/>
      <c r="Q589" s="591"/>
      <c r="R589" s="591"/>
      <c r="S589" s="591"/>
      <c r="T589" s="591"/>
      <c r="U589" s="591"/>
      <c r="V589" s="591"/>
      <c r="W589" s="591"/>
      <c r="X589" s="591"/>
      <c r="Y589" s="591"/>
      <c r="Z589" s="591"/>
      <c r="AA589" s="591"/>
      <c r="AB589" s="591"/>
      <c r="AC589" s="591"/>
      <c r="AD589" s="591"/>
      <c r="AE589" s="591"/>
    </row>
    <row r="590" spans="1:31">
      <c r="A590" s="591"/>
      <c r="B590" s="591"/>
      <c r="C590" s="591"/>
      <c r="D590" s="591"/>
      <c r="E590" s="591"/>
      <c r="F590" s="591"/>
      <c r="G590" s="591"/>
      <c r="H590" s="591"/>
      <c r="I590" s="591"/>
      <c r="J590" s="591"/>
      <c r="K590" s="591"/>
      <c r="L590" s="591"/>
      <c r="M590" s="591"/>
      <c r="N590" s="591"/>
      <c r="O590" s="591"/>
      <c r="P590" s="591"/>
      <c r="Q590" s="591"/>
      <c r="R590" s="591"/>
      <c r="S590" s="591"/>
      <c r="T590" s="591"/>
      <c r="U590" s="591"/>
      <c r="V590" s="591"/>
      <c r="W590" s="591"/>
      <c r="X590" s="591"/>
      <c r="Y590" s="591"/>
      <c r="Z590" s="591"/>
      <c r="AA590" s="591"/>
      <c r="AB590" s="591"/>
      <c r="AC590" s="591"/>
      <c r="AD590" s="591"/>
      <c r="AE590" s="591"/>
    </row>
    <row r="591" spans="1:31">
      <c r="A591" s="591"/>
      <c r="B591" s="591"/>
      <c r="C591" s="591"/>
      <c r="D591" s="591"/>
      <c r="E591" s="591"/>
      <c r="F591" s="591"/>
      <c r="G591" s="591"/>
      <c r="H591" s="591"/>
      <c r="I591" s="591"/>
      <c r="J591" s="591"/>
      <c r="K591" s="591"/>
      <c r="L591" s="591"/>
      <c r="M591" s="591"/>
      <c r="N591" s="591"/>
      <c r="O591" s="591"/>
      <c r="P591" s="591"/>
      <c r="Q591" s="591"/>
      <c r="R591" s="591"/>
      <c r="S591" s="591"/>
      <c r="T591" s="591"/>
      <c r="U591" s="591"/>
      <c r="V591" s="591"/>
      <c r="W591" s="591"/>
      <c r="X591" s="591"/>
      <c r="Y591" s="591"/>
      <c r="Z591" s="591"/>
      <c r="AA591" s="591"/>
      <c r="AB591" s="591"/>
      <c r="AC591" s="591"/>
      <c r="AD591" s="591"/>
      <c r="AE591" s="591"/>
    </row>
    <row r="592" spans="1:31">
      <c r="A592" s="591"/>
      <c r="B592" s="591"/>
      <c r="C592" s="591"/>
      <c r="D592" s="591"/>
      <c r="E592" s="591"/>
      <c r="F592" s="591"/>
      <c r="G592" s="591"/>
      <c r="H592" s="591"/>
      <c r="I592" s="591"/>
      <c r="J592" s="591"/>
      <c r="K592" s="591"/>
      <c r="L592" s="591"/>
      <c r="M592" s="591"/>
      <c r="N592" s="591"/>
      <c r="O592" s="591"/>
      <c r="P592" s="591"/>
      <c r="Q592" s="591"/>
      <c r="R592" s="591"/>
      <c r="S592" s="591"/>
      <c r="T592" s="591"/>
      <c r="U592" s="591"/>
      <c r="V592" s="591"/>
      <c r="W592" s="591"/>
      <c r="X592" s="591"/>
      <c r="Y592" s="591"/>
      <c r="Z592" s="591"/>
      <c r="AA592" s="591"/>
      <c r="AB592" s="591"/>
      <c r="AC592" s="591"/>
      <c r="AD592" s="591"/>
      <c r="AE592" s="591"/>
    </row>
    <row r="593" spans="1:31">
      <c r="A593" s="591"/>
      <c r="B593" s="591"/>
      <c r="C593" s="591"/>
      <c r="D593" s="591"/>
      <c r="E593" s="591"/>
      <c r="F593" s="591"/>
      <c r="G593" s="591"/>
      <c r="H593" s="591"/>
      <c r="I593" s="591"/>
      <c r="J593" s="591"/>
      <c r="K593" s="591"/>
      <c r="L593" s="591"/>
      <c r="M593" s="591"/>
      <c r="N593" s="591"/>
      <c r="O593" s="591"/>
      <c r="P593" s="591"/>
      <c r="Q593" s="591"/>
      <c r="R593" s="591"/>
      <c r="S593" s="591"/>
      <c r="T593" s="591"/>
      <c r="U593" s="591"/>
      <c r="V593" s="591"/>
      <c r="W593" s="591"/>
      <c r="X593" s="591"/>
      <c r="Y593" s="591"/>
      <c r="Z593" s="591"/>
      <c r="AA593" s="591"/>
      <c r="AB593" s="591"/>
      <c r="AC593" s="591"/>
      <c r="AD593" s="591"/>
      <c r="AE593" s="591"/>
    </row>
    <row r="594" spans="1:31">
      <c r="A594" s="591"/>
      <c r="B594" s="591"/>
      <c r="C594" s="591"/>
      <c r="D594" s="591"/>
      <c r="E594" s="591"/>
      <c r="F594" s="591"/>
      <c r="G594" s="591"/>
      <c r="H594" s="591"/>
      <c r="I594" s="591"/>
      <c r="J594" s="591"/>
      <c r="K594" s="591"/>
      <c r="L594" s="591"/>
      <c r="M594" s="591"/>
      <c r="N594" s="591"/>
      <c r="O594" s="591"/>
      <c r="P594" s="591"/>
      <c r="Q594" s="591"/>
      <c r="R594" s="591"/>
      <c r="S594" s="591"/>
      <c r="T594" s="591"/>
      <c r="U594" s="591"/>
      <c r="V594" s="591"/>
      <c r="W594" s="591"/>
      <c r="X594" s="591"/>
      <c r="Y594" s="591"/>
      <c r="Z594" s="591"/>
      <c r="AA594" s="591"/>
      <c r="AB594" s="591"/>
      <c r="AC594" s="591"/>
      <c r="AD594" s="591"/>
      <c r="AE594" s="591"/>
    </row>
    <row r="595" spans="1:31">
      <c r="A595" s="591"/>
      <c r="B595" s="591"/>
      <c r="C595" s="591"/>
      <c r="D595" s="591"/>
      <c r="E595" s="591"/>
      <c r="F595" s="591"/>
      <c r="G595" s="591"/>
      <c r="H595" s="591"/>
      <c r="I595" s="591"/>
      <c r="J595" s="591"/>
      <c r="K595" s="591"/>
      <c r="L595" s="591"/>
      <c r="M595" s="591"/>
      <c r="N595" s="591"/>
      <c r="O595" s="591"/>
      <c r="P595" s="591"/>
      <c r="Q595" s="591"/>
      <c r="R595" s="591"/>
      <c r="S595" s="591"/>
      <c r="T595" s="591"/>
      <c r="U595" s="591"/>
      <c r="V595" s="591"/>
      <c r="W595" s="591"/>
      <c r="X595" s="591"/>
      <c r="Y595" s="591"/>
      <c r="Z595" s="591"/>
      <c r="AA595" s="591"/>
      <c r="AB595" s="591"/>
      <c r="AC595" s="591"/>
      <c r="AD595" s="591"/>
      <c r="AE595" s="591"/>
    </row>
    <row r="596" spans="1:31">
      <c r="A596" s="591"/>
      <c r="B596" s="591"/>
      <c r="C596" s="591"/>
      <c r="D596" s="591"/>
      <c r="E596" s="591"/>
      <c r="F596" s="591"/>
      <c r="G596" s="591"/>
      <c r="H596" s="591"/>
      <c r="I596" s="591"/>
      <c r="J596" s="591"/>
      <c r="K596" s="591"/>
      <c r="L596" s="591"/>
      <c r="M596" s="591"/>
      <c r="N596" s="591"/>
      <c r="O596" s="591"/>
      <c r="P596" s="591"/>
      <c r="Q596" s="591"/>
      <c r="R596" s="591"/>
      <c r="S596" s="591"/>
      <c r="T596" s="591"/>
      <c r="U596" s="591"/>
      <c r="V596" s="591"/>
      <c r="W596" s="591"/>
      <c r="X596" s="591"/>
      <c r="Y596" s="591"/>
      <c r="Z596" s="591"/>
      <c r="AA596" s="591"/>
      <c r="AB596" s="591"/>
      <c r="AC596" s="591"/>
      <c r="AD596" s="591"/>
      <c r="AE596" s="591"/>
    </row>
    <row r="597" spans="1:31">
      <c r="A597" s="591"/>
      <c r="B597" s="591"/>
      <c r="C597" s="591"/>
      <c r="D597" s="591"/>
      <c r="E597" s="591"/>
      <c r="F597" s="591"/>
      <c r="G597" s="591"/>
      <c r="H597" s="591"/>
      <c r="I597" s="591"/>
      <c r="J597" s="591"/>
      <c r="K597" s="591"/>
      <c r="L597" s="591"/>
      <c r="M597" s="591"/>
      <c r="N597" s="591"/>
      <c r="O597" s="591"/>
      <c r="P597" s="591"/>
      <c r="Q597" s="591"/>
      <c r="R597" s="591"/>
      <c r="S597" s="591"/>
      <c r="T597" s="591"/>
      <c r="U597" s="591"/>
      <c r="V597" s="591"/>
      <c r="W597" s="591"/>
      <c r="X597" s="591"/>
      <c r="Y597" s="591"/>
      <c r="Z597" s="591"/>
      <c r="AA597" s="591"/>
      <c r="AB597" s="591"/>
      <c r="AC597" s="591"/>
      <c r="AD597" s="591"/>
      <c r="AE597" s="591"/>
    </row>
    <row r="598" spans="1:31">
      <c r="A598" s="591"/>
      <c r="B598" s="591"/>
      <c r="C598" s="591"/>
      <c r="D598" s="591"/>
      <c r="E598" s="591"/>
      <c r="F598" s="591"/>
      <c r="G598" s="591"/>
      <c r="H598" s="591"/>
      <c r="I598" s="591"/>
      <c r="J598" s="591"/>
      <c r="K598" s="591"/>
      <c r="L598" s="591"/>
      <c r="M598" s="591"/>
      <c r="N598" s="591"/>
      <c r="O598" s="591"/>
      <c r="P598" s="591"/>
      <c r="Q598" s="591"/>
      <c r="R598" s="591"/>
      <c r="S598" s="591"/>
      <c r="T598" s="591"/>
      <c r="U598" s="591"/>
      <c r="V598" s="591"/>
      <c r="W598" s="591"/>
      <c r="X598" s="591"/>
      <c r="Y598" s="591"/>
      <c r="Z598" s="591"/>
      <c r="AA598" s="591"/>
      <c r="AB598" s="591"/>
      <c r="AC598" s="591"/>
      <c r="AD598" s="591"/>
      <c r="AE598" s="591"/>
    </row>
    <row r="599" spans="1:31">
      <c r="A599" s="591"/>
      <c r="B599" s="591"/>
      <c r="C599" s="591"/>
      <c r="D599" s="591"/>
      <c r="E599" s="591"/>
      <c r="F599" s="591"/>
      <c r="G599" s="591"/>
      <c r="H599" s="591"/>
      <c r="I599" s="591"/>
      <c r="J599" s="591"/>
      <c r="K599" s="591"/>
      <c r="L599" s="591"/>
      <c r="M599" s="591"/>
      <c r="N599" s="591"/>
      <c r="O599" s="591"/>
      <c r="P599" s="591"/>
      <c r="Q599" s="591"/>
      <c r="R599" s="591"/>
      <c r="S599" s="591"/>
      <c r="T599" s="591"/>
      <c r="U599" s="591"/>
      <c r="V599" s="591"/>
      <c r="W599" s="591"/>
      <c r="X599" s="591"/>
      <c r="Y599" s="591"/>
      <c r="Z599" s="591"/>
      <c r="AA599" s="591"/>
      <c r="AB599" s="591"/>
      <c r="AC599" s="591"/>
      <c r="AD599" s="591"/>
      <c r="AE599" s="591"/>
    </row>
    <row r="600" spans="1:31">
      <c r="A600" s="591"/>
      <c r="B600" s="591"/>
      <c r="C600" s="591"/>
      <c r="D600" s="591"/>
      <c r="E600" s="591"/>
      <c r="F600" s="591"/>
      <c r="G600" s="591"/>
      <c r="H600" s="591"/>
      <c r="I600" s="591"/>
      <c r="J600" s="591"/>
      <c r="K600" s="591"/>
      <c r="L600" s="591"/>
      <c r="M600" s="591"/>
      <c r="N600" s="591"/>
      <c r="O600" s="591"/>
      <c r="P600" s="591"/>
      <c r="Q600" s="591"/>
      <c r="R600" s="591"/>
      <c r="S600" s="591"/>
      <c r="T600" s="591"/>
      <c r="U600" s="591"/>
      <c r="V600" s="591"/>
      <c r="W600" s="591"/>
      <c r="X600" s="591"/>
      <c r="Y600" s="591"/>
      <c r="Z600" s="591"/>
      <c r="AA600" s="591"/>
      <c r="AB600" s="591"/>
      <c r="AC600" s="591"/>
      <c r="AD600" s="591"/>
      <c r="AE600" s="591"/>
    </row>
    <row r="601" spans="1:31">
      <c r="A601" s="591"/>
      <c r="B601" s="591"/>
      <c r="C601" s="591"/>
      <c r="D601" s="591"/>
      <c r="E601" s="591"/>
      <c r="F601" s="591"/>
      <c r="G601" s="591"/>
      <c r="H601" s="591"/>
      <c r="I601" s="591"/>
      <c r="J601" s="591"/>
      <c r="K601" s="591"/>
      <c r="L601" s="591"/>
      <c r="M601" s="591"/>
      <c r="N601" s="591"/>
      <c r="O601" s="591"/>
      <c r="P601" s="591"/>
      <c r="Q601" s="591"/>
      <c r="R601" s="591"/>
      <c r="S601" s="591"/>
      <c r="T601" s="591"/>
      <c r="U601" s="591"/>
      <c r="V601" s="591"/>
      <c r="W601" s="591"/>
      <c r="X601" s="591"/>
      <c r="Y601" s="591"/>
      <c r="Z601" s="591"/>
      <c r="AA601" s="591"/>
      <c r="AB601" s="591"/>
      <c r="AC601" s="591"/>
      <c r="AD601" s="591"/>
      <c r="AE601" s="591"/>
    </row>
    <row r="602" spans="1:31">
      <c r="A602" s="591"/>
      <c r="B602" s="591"/>
      <c r="C602" s="591"/>
      <c r="D602" s="591"/>
      <c r="E602" s="591"/>
      <c r="F602" s="591"/>
      <c r="G602" s="591"/>
      <c r="H602" s="591"/>
      <c r="I602" s="591"/>
      <c r="J602" s="591"/>
      <c r="K602" s="591"/>
      <c r="L602" s="591"/>
      <c r="M602" s="591"/>
      <c r="N602" s="591"/>
      <c r="O602" s="591"/>
      <c r="P602" s="591"/>
      <c r="Q602" s="591"/>
      <c r="R602" s="591"/>
      <c r="S602" s="591"/>
      <c r="T602" s="591"/>
      <c r="U602" s="591"/>
      <c r="V602" s="591"/>
      <c r="W602" s="591"/>
      <c r="X602" s="591"/>
      <c r="Y602" s="591"/>
      <c r="Z602" s="591"/>
      <c r="AA602" s="591"/>
      <c r="AB602" s="591"/>
      <c r="AC602" s="591"/>
      <c r="AD602" s="591"/>
      <c r="AE602" s="591"/>
    </row>
    <row r="603" spans="1:31">
      <c r="A603" s="591"/>
      <c r="B603" s="591"/>
      <c r="C603" s="591"/>
      <c r="D603" s="591"/>
      <c r="E603" s="591"/>
      <c r="F603" s="591"/>
      <c r="G603" s="591"/>
      <c r="H603" s="591"/>
      <c r="I603" s="591"/>
      <c r="J603" s="591"/>
      <c r="K603" s="591"/>
      <c r="L603" s="591"/>
      <c r="M603" s="591"/>
      <c r="N603" s="591"/>
      <c r="O603" s="591"/>
      <c r="P603" s="591"/>
      <c r="Q603" s="591"/>
      <c r="R603" s="591"/>
      <c r="S603" s="591"/>
      <c r="T603" s="591"/>
      <c r="U603" s="591"/>
      <c r="V603" s="591"/>
      <c r="W603" s="591"/>
      <c r="X603" s="591"/>
      <c r="Y603" s="591"/>
      <c r="Z603" s="591"/>
      <c r="AA603" s="591"/>
      <c r="AB603" s="591"/>
      <c r="AC603" s="591"/>
      <c r="AD603" s="591"/>
      <c r="AE603" s="591"/>
    </row>
    <row r="604" spans="1:31">
      <c r="A604" s="591"/>
      <c r="B604" s="591"/>
      <c r="C604" s="591"/>
      <c r="D604" s="591"/>
      <c r="E604" s="591"/>
      <c r="F604" s="591"/>
      <c r="G604" s="591"/>
      <c r="H604" s="591"/>
      <c r="I604" s="591"/>
      <c r="J604" s="591"/>
      <c r="K604" s="591"/>
      <c r="L604" s="591"/>
      <c r="M604" s="591"/>
      <c r="N604" s="591"/>
      <c r="O604" s="591"/>
      <c r="P604" s="591"/>
      <c r="Q604" s="591"/>
      <c r="R604" s="591"/>
      <c r="S604" s="591"/>
      <c r="T604" s="591"/>
      <c r="U604" s="591"/>
      <c r="V604" s="591"/>
      <c r="W604" s="591"/>
      <c r="X604" s="591"/>
      <c r="Y604" s="591"/>
      <c r="Z604" s="591"/>
      <c r="AA604" s="591"/>
      <c r="AB604" s="591"/>
      <c r="AC604" s="591"/>
      <c r="AD604" s="591"/>
      <c r="AE604" s="591"/>
    </row>
  </sheetData>
  <mergeCells count="244">
    <mergeCell ref="A1:R1"/>
    <mergeCell ref="S1:AW1"/>
    <mergeCell ref="A2:F5"/>
    <mergeCell ref="G2:R2"/>
    <mergeCell ref="S2:Y4"/>
    <mergeCell ref="Z2:AU4"/>
    <mergeCell ref="AV2:AW4"/>
    <mergeCell ref="G3:R3"/>
    <mergeCell ref="G4:R4"/>
    <mergeCell ref="G5:R5"/>
    <mergeCell ref="S5:AW5"/>
    <mergeCell ref="B6:I6"/>
    <mergeCell ref="J6:K6"/>
    <mergeCell ref="L6:Z6"/>
    <mergeCell ref="AB6:AW6"/>
    <mergeCell ref="A7:I13"/>
    <mergeCell ref="J7:Z7"/>
    <mergeCell ref="AA7:AW7"/>
    <mergeCell ref="J8:K8"/>
    <mergeCell ref="M8:Z8"/>
    <mergeCell ref="AA8:AW8"/>
    <mergeCell ref="J9:Z9"/>
    <mergeCell ref="AA9:AF11"/>
    <mergeCell ref="AG9:AS11"/>
    <mergeCell ref="AT9:AW11"/>
    <mergeCell ref="J10:K10"/>
    <mergeCell ref="M10:Z10"/>
    <mergeCell ref="J11:Z11"/>
    <mergeCell ref="J12:K12"/>
    <mergeCell ref="M12:Z12"/>
    <mergeCell ref="AA12:AW13"/>
    <mergeCell ref="J13:Z13"/>
    <mergeCell ref="A15:S15"/>
    <mergeCell ref="T15:AW17"/>
    <mergeCell ref="A16:D16"/>
    <mergeCell ref="E16:H16"/>
    <mergeCell ref="I16:S16"/>
    <mergeCell ref="A17:S17"/>
    <mergeCell ref="B20:AW20"/>
    <mergeCell ref="A21:AW21"/>
    <mergeCell ref="A22:K22"/>
    <mergeCell ref="L22:AW22"/>
    <mergeCell ref="A23:AW23"/>
    <mergeCell ref="A24:J24"/>
    <mergeCell ref="K24:AW24"/>
    <mergeCell ref="A18:D18"/>
    <mergeCell ref="E18:N18"/>
    <mergeCell ref="T18:AP18"/>
    <mergeCell ref="AQ18:AS18"/>
    <mergeCell ref="AT18:AW18"/>
    <mergeCell ref="A19:S19"/>
    <mergeCell ref="T19:AW19"/>
    <mergeCell ref="A28:N28"/>
    <mergeCell ref="O28:AC28"/>
    <mergeCell ref="AD28:AW28"/>
    <mergeCell ref="A29:N29"/>
    <mergeCell ref="O29:AC29"/>
    <mergeCell ref="AD29:AW29"/>
    <mergeCell ref="A25:AW25"/>
    <mergeCell ref="A26:E26"/>
    <mergeCell ref="F26:K26"/>
    <mergeCell ref="L26:AA26"/>
    <mergeCell ref="AB26:AW26"/>
    <mergeCell ref="A27:E27"/>
    <mergeCell ref="F27:K27"/>
    <mergeCell ref="L27:AA27"/>
    <mergeCell ref="AB27:AW27"/>
    <mergeCell ref="A34:AW34"/>
    <mergeCell ref="A35:B35"/>
    <mergeCell ref="C35:AW35"/>
    <mergeCell ref="A36:O36"/>
    <mergeCell ref="P36:X36"/>
    <mergeCell ref="Y36:AK36"/>
    <mergeCell ref="AL36:AW36"/>
    <mergeCell ref="A30:AW30"/>
    <mergeCell ref="A31:B31"/>
    <mergeCell ref="C31:AW31"/>
    <mergeCell ref="A32:AW32"/>
    <mergeCell ref="A33:X33"/>
    <mergeCell ref="Z33:AW33"/>
    <mergeCell ref="A37:O37"/>
    <mergeCell ref="Q37:X37"/>
    <mergeCell ref="Y37:AK42"/>
    <mergeCell ref="AL37:AW37"/>
    <mergeCell ref="A38:O38"/>
    <mergeCell ref="P38:X38"/>
    <mergeCell ref="AL38:AM38"/>
    <mergeCell ref="AN38:AW38"/>
    <mergeCell ref="A39:O39"/>
    <mergeCell ref="P39:X39"/>
    <mergeCell ref="AL39:AM39"/>
    <mergeCell ref="AN39:AW39"/>
    <mergeCell ref="A40:O40"/>
    <mergeCell ref="Q40:X40"/>
    <mergeCell ref="AL40:AW47"/>
    <mergeCell ref="A41:O41"/>
    <mergeCell ref="Q41:X41"/>
    <mergeCell ref="A42:O42"/>
    <mergeCell ref="P42:X49"/>
    <mergeCell ref="A43:O43"/>
    <mergeCell ref="A47:O47"/>
    <mergeCell ref="Z47:AK47"/>
    <mergeCell ref="A48:O48"/>
    <mergeCell ref="Z48:AK48"/>
    <mergeCell ref="AL48:AM48"/>
    <mergeCell ref="AN48:AW48"/>
    <mergeCell ref="Z43:AK43"/>
    <mergeCell ref="A44:O44"/>
    <mergeCell ref="Z44:AK44"/>
    <mergeCell ref="A45:O45"/>
    <mergeCell ref="Z45:AK45"/>
    <mergeCell ref="A46:O46"/>
    <mergeCell ref="Z46:AK46"/>
    <mergeCell ref="A49:O49"/>
    <mergeCell ref="Z49:AK49"/>
    <mergeCell ref="AL49:AM49"/>
    <mergeCell ref="AN49:AW49"/>
    <mergeCell ref="A50:G50"/>
    <mergeCell ref="H50:O50"/>
    <mergeCell ref="Q50:X50"/>
    <mergeCell ref="Z50:AK50"/>
    <mergeCell ref="AL50:AM50"/>
    <mergeCell ref="AN50:AW50"/>
    <mergeCell ref="A53:AW53"/>
    <mergeCell ref="A54:N54"/>
    <mergeCell ref="P54:V54"/>
    <mergeCell ref="W54:AW54"/>
    <mergeCell ref="A55:AW55"/>
    <mergeCell ref="B56:AW56"/>
    <mergeCell ref="A51:G52"/>
    <mergeCell ref="H51:X51"/>
    <mergeCell ref="Y51:AK51"/>
    <mergeCell ref="AL51:AW51"/>
    <mergeCell ref="H52:AK52"/>
    <mergeCell ref="AL52:AM52"/>
    <mergeCell ref="AN52:AQ52"/>
    <mergeCell ref="AR52:AT52"/>
    <mergeCell ref="AU52:AW52"/>
    <mergeCell ref="A57:AW57"/>
    <mergeCell ref="A58:I58"/>
    <mergeCell ref="J58:AV58"/>
    <mergeCell ref="A59:AW59"/>
    <mergeCell ref="A60:I60"/>
    <mergeCell ref="J60:L60"/>
    <mergeCell ref="M60:T60"/>
    <mergeCell ref="U60:X60"/>
    <mergeCell ref="Y60:AW60"/>
    <mergeCell ref="A63:AW63"/>
    <mergeCell ref="A64:H64"/>
    <mergeCell ref="I64:AF64"/>
    <mergeCell ref="AG64:AJ64"/>
    <mergeCell ref="AL64:AV64"/>
    <mergeCell ref="A65:AW65"/>
    <mergeCell ref="A61:AW61"/>
    <mergeCell ref="E62:L62"/>
    <mergeCell ref="M62:Q62"/>
    <mergeCell ref="S62:AB62"/>
    <mergeCell ref="AC62:AJ62"/>
    <mergeCell ref="AL62:AV62"/>
    <mergeCell ref="A69:AW69"/>
    <mergeCell ref="A70:H70"/>
    <mergeCell ref="I70:O70"/>
    <mergeCell ref="P70:AB70"/>
    <mergeCell ref="AC70:AQ70"/>
    <mergeCell ref="AR70:AW70"/>
    <mergeCell ref="B66:AW66"/>
    <mergeCell ref="A67:AW67"/>
    <mergeCell ref="A68:N68"/>
    <mergeCell ref="O68:Q68"/>
    <mergeCell ref="S68:X68"/>
    <mergeCell ref="Z68:AW68"/>
    <mergeCell ref="A73:AW73"/>
    <mergeCell ref="B74:AW74"/>
    <mergeCell ref="A75:AW75"/>
    <mergeCell ref="A76:AW76"/>
    <mergeCell ref="A77:AW77"/>
    <mergeCell ref="A78:AW78"/>
    <mergeCell ref="A71:AW71"/>
    <mergeCell ref="A72:D72"/>
    <mergeCell ref="E72:R72"/>
    <mergeCell ref="S72:V72"/>
    <mergeCell ref="W72:AB72"/>
    <mergeCell ref="AC72:AV72"/>
    <mergeCell ref="C83:I83"/>
    <mergeCell ref="J83:AW83"/>
    <mergeCell ref="A84:AH84"/>
    <mergeCell ref="AJ84:AV84"/>
    <mergeCell ref="A85:AW85"/>
    <mergeCell ref="A86:AW86"/>
    <mergeCell ref="A79:AW79"/>
    <mergeCell ref="A80:B80"/>
    <mergeCell ref="C80:AW80"/>
    <mergeCell ref="A81:AW81"/>
    <mergeCell ref="A82:AH82"/>
    <mergeCell ref="AJ82:AV82"/>
    <mergeCell ref="A91:R91"/>
    <mergeCell ref="S91:AW91"/>
    <mergeCell ref="A92:R92"/>
    <mergeCell ref="S92:AH92"/>
    <mergeCell ref="AI92:AR92"/>
    <mergeCell ref="AS92:AW92"/>
    <mergeCell ref="A88:AW88"/>
    <mergeCell ref="A89:B89"/>
    <mergeCell ref="C89:R90"/>
    <mergeCell ref="S89:AW89"/>
    <mergeCell ref="A90:B90"/>
    <mergeCell ref="S90:U90"/>
    <mergeCell ref="V90:AW90"/>
    <mergeCell ref="A96:R96"/>
    <mergeCell ref="S96:AW96"/>
    <mergeCell ref="A97:D97"/>
    <mergeCell ref="E97:N97"/>
    <mergeCell ref="O97:R97"/>
    <mergeCell ref="S97:AW97"/>
    <mergeCell ref="A93:R93"/>
    <mergeCell ref="S93:AW93"/>
    <mergeCell ref="A94:R94"/>
    <mergeCell ref="S94:AF94"/>
    <mergeCell ref="AG94:AV94"/>
    <mergeCell ref="A95:D95"/>
    <mergeCell ref="E95:N95"/>
    <mergeCell ref="O95:R95"/>
    <mergeCell ref="S95:AW95"/>
    <mergeCell ref="A102:AW102"/>
    <mergeCell ref="A103:AW103"/>
    <mergeCell ref="A104:AW104"/>
    <mergeCell ref="A105:AW105"/>
    <mergeCell ref="A106:AW106"/>
    <mergeCell ref="A107:AW107"/>
    <mergeCell ref="A98:R98"/>
    <mergeCell ref="S98:AW98"/>
    <mergeCell ref="A99:R99"/>
    <mergeCell ref="S99:AW99"/>
    <mergeCell ref="A101:R101"/>
    <mergeCell ref="S101:AW101"/>
    <mergeCell ref="A115:AW115"/>
    <mergeCell ref="A108:AW108"/>
    <mergeCell ref="A109:AW109"/>
    <mergeCell ref="A110:AW110"/>
    <mergeCell ref="A111:AW111"/>
    <mergeCell ref="A112:AW112"/>
    <mergeCell ref="A113:A114"/>
    <mergeCell ref="B113:AV114"/>
    <mergeCell ref="AW113:AW114"/>
  </mergeCells>
  <printOptions horizontalCentered="1" verticalCentered="1"/>
  <pageMargins left="0.35" right="0.75" top="0.53" bottom="0.71" header="0" footer="0"/>
  <pageSetup paperSize="9" scale="50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21505" r:id="rId4">
          <objectPr defaultSize="0" autoPict="0" r:id="rId5">
            <anchor moveWithCells="1" sizeWithCells="1">
              <from>
                <xdr:col>0</xdr:col>
                <xdr:colOff>57150</xdr:colOff>
                <xdr:row>1</xdr:row>
                <xdr:rowOff>104775</xdr:rowOff>
              </from>
              <to>
                <xdr:col>4</xdr:col>
                <xdr:colOff>219075</xdr:colOff>
                <xdr:row>4</xdr:row>
                <xdr:rowOff>19050</xdr:rowOff>
              </to>
            </anchor>
          </objectPr>
        </oleObject>
      </mc:Choice>
      <mc:Fallback>
        <oleObject progId="Word.Picture.8" shapeId="21505" r:id="rId4"/>
      </mc:Fallback>
    </mc:AlternateContent>
    <mc:AlternateContent xmlns:mc="http://schemas.openxmlformats.org/markup-compatibility/2006">
      <mc:Choice Requires="x14">
        <oleObject progId="MS_ClipArt_Gallery" shapeId="21506" r:id="rId6">
          <objectPr defaultSize="0" autoPict="0" r:id="rId7">
            <anchor moveWithCells="1" sizeWithCells="1">
              <from>
                <xdr:col>18</xdr:col>
                <xdr:colOff>76200</xdr:colOff>
                <xdr:row>1</xdr:row>
                <xdr:rowOff>57150</xdr:rowOff>
              </from>
              <to>
                <xdr:col>24</xdr:col>
                <xdr:colOff>142875</xdr:colOff>
                <xdr:row>3</xdr:row>
                <xdr:rowOff>323850</xdr:rowOff>
              </to>
            </anchor>
          </objectPr>
        </oleObject>
      </mc:Choice>
      <mc:Fallback>
        <oleObject progId="MS_ClipArt_Gallery" shapeId="21506" r:id="rId6"/>
      </mc:Fallback>
    </mc:AlternateContent>
  </oleObjec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N29"/>
  <sheetViews>
    <sheetView showGridLines="0" showZeros="0" topLeftCell="C13" zoomScaleNormal="100" workbookViewId="0">
      <selection activeCell="N17" sqref="C1:N17"/>
    </sheetView>
  </sheetViews>
  <sheetFormatPr defaultColWidth="10.7109375" defaultRowHeight="12" outlineLevelCol="1"/>
  <cols>
    <col min="1" max="1" width="5.7109375" style="431" hidden="1" customWidth="1" outlineLevel="1"/>
    <col min="2" max="2" width="6.7109375" style="431" hidden="1" customWidth="1" outlineLevel="1"/>
    <col min="3" max="3" width="9.5703125" style="421" customWidth="1" collapsed="1"/>
    <col min="4" max="4" width="20.7109375" style="421" customWidth="1"/>
    <col min="5" max="7" width="0" style="421" hidden="1" customWidth="1"/>
    <col min="8" max="8" width="11.140625" style="421" bestFit="1" customWidth="1"/>
    <col min="9" max="10" width="10.7109375" style="421"/>
    <col min="11" max="13" width="0" style="421" hidden="1" customWidth="1"/>
    <col min="14" max="14" width="19.5703125" style="421" bestFit="1" customWidth="1"/>
    <col min="15" max="256" width="10.7109375" style="421"/>
    <col min="257" max="257" width="5.7109375" style="421" customWidth="1"/>
    <col min="258" max="258" width="6.7109375" style="421" customWidth="1"/>
    <col min="259" max="259" width="9.5703125" style="421" customWidth="1"/>
    <col min="260" max="260" width="20.7109375" style="421" customWidth="1"/>
    <col min="261" max="512" width="10.7109375" style="421"/>
    <col min="513" max="513" width="5.7109375" style="421" customWidth="1"/>
    <col min="514" max="514" width="6.7109375" style="421" customWidth="1"/>
    <col min="515" max="515" width="9.5703125" style="421" customWidth="1"/>
    <col min="516" max="516" width="20.7109375" style="421" customWidth="1"/>
    <col min="517" max="768" width="10.7109375" style="421"/>
    <col min="769" max="769" width="5.7109375" style="421" customWidth="1"/>
    <col min="770" max="770" width="6.7109375" style="421" customWidth="1"/>
    <col min="771" max="771" width="9.5703125" style="421" customWidth="1"/>
    <col min="772" max="772" width="20.7109375" style="421" customWidth="1"/>
    <col min="773" max="1024" width="10.7109375" style="421"/>
    <col min="1025" max="1025" width="5.7109375" style="421" customWidth="1"/>
    <col min="1026" max="1026" width="6.7109375" style="421" customWidth="1"/>
    <col min="1027" max="1027" width="9.5703125" style="421" customWidth="1"/>
    <col min="1028" max="1028" width="20.7109375" style="421" customWidth="1"/>
    <col min="1029" max="1280" width="10.7109375" style="421"/>
    <col min="1281" max="1281" width="5.7109375" style="421" customWidth="1"/>
    <col min="1282" max="1282" width="6.7109375" style="421" customWidth="1"/>
    <col min="1283" max="1283" width="9.5703125" style="421" customWidth="1"/>
    <col min="1284" max="1284" width="20.7109375" style="421" customWidth="1"/>
    <col min="1285" max="1536" width="10.7109375" style="421"/>
    <col min="1537" max="1537" width="5.7109375" style="421" customWidth="1"/>
    <col min="1538" max="1538" width="6.7109375" style="421" customWidth="1"/>
    <col min="1539" max="1539" width="9.5703125" style="421" customWidth="1"/>
    <col min="1540" max="1540" width="20.7109375" style="421" customWidth="1"/>
    <col min="1541" max="1792" width="10.7109375" style="421"/>
    <col min="1793" max="1793" width="5.7109375" style="421" customWidth="1"/>
    <col min="1794" max="1794" width="6.7109375" style="421" customWidth="1"/>
    <col min="1795" max="1795" width="9.5703125" style="421" customWidth="1"/>
    <col min="1796" max="1796" width="20.7109375" style="421" customWidth="1"/>
    <col min="1797" max="2048" width="10.7109375" style="421"/>
    <col min="2049" max="2049" width="5.7109375" style="421" customWidth="1"/>
    <col min="2050" max="2050" width="6.7109375" style="421" customWidth="1"/>
    <col min="2051" max="2051" width="9.5703125" style="421" customWidth="1"/>
    <col min="2052" max="2052" width="20.7109375" style="421" customWidth="1"/>
    <col min="2053" max="2304" width="10.7109375" style="421"/>
    <col min="2305" max="2305" width="5.7109375" style="421" customWidth="1"/>
    <col min="2306" max="2306" width="6.7109375" style="421" customWidth="1"/>
    <col min="2307" max="2307" width="9.5703125" style="421" customWidth="1"/>
    <col min="2308" max="2308" width="20.7109375" style="421" customWidth="1"/>
    <col min="2309" max="2560" width="10.7109375" style="421"/>
    <col min="2561" max="2561" width="5.7109375" style="421" customWidth="1"/>
    <col min="2562" max="2562" width="6.7109375" style="421" customWidth="1"/>
    <col min="2563" max="2563" width="9.5703125" style="421" customWidth="1"/>
    <col min="2564" max="2564" width="20.7109375" style="421" customWidth="1"/>
    <col min="2565" max="2816" width="10.7109375" style="421"/>
    <col min="2817" max="2817" width="5.7109375" style="421" customWidth="1"/>
    <col min="2818" max="2818" width="6.7109375" style="421" customWidth="1"/>
    <col min="2819" max="2819" width="9.5703125" style="421" customWidth="1"/>
    <col min="2820" max="2820" width="20.7109375" style="421" customWidth="1"/>
    <col min="2821" max="3072" width="10.7109375" style="421"/>
    <col min="3073" max="3073" width="5.7109375" style="421" customWidth="1"/>
    <col min="3074" max="3074" width="6.7109375" style="421" customWidth="1"/>
    <col min="3075" max="3075" width="9.5703125" style="421" customWidth="1"/>
    <col min="3076" max="3076" width="20.7109375" style="421" customWidth="1"/>
    <col min="3077" max="3328" width="10.7109375" style="421"/>
    <col min="3329" max="3329" width="5.7109375" style="421" customWidth="1"/>
    <col min="3330" max="3330" width="6.7109375" style="421" customWidth="1"/>
    <col min="3331" max="3331" width="9.5703125" style="421" customWidth="1"/>
    <col min="3332" max="3332" width="20.7109375" style="421" customWidth="1"/>
    <col min="3333" max="3584" width="10.7109375" style="421"/>
    <col min="3585" max="3585" width="5.7109375" style="421" customWidth="1"/>
    <col min="3586" max="3586" width="6.7109375" style="421" customWidth="1"/>
    <col min="3587" max="3587" width="9.5703125" style="421" customWidth="1"/>
    <col min="3588" max="3588" width="20.7109375" style="421" customWidth="1"/>
    <col min="3589" max="3840" width="10.7109375" style="421"/>
    <col min="3841" max="3841" width="5.7109375" style="421" customWidth="1"/>
    <col min="3842" max="3842" width="6.7109375" style="421" customWidth="1"/>
    <col min="3843" max="3843" width="9.5703125" style="421" customWidth="1"/>
    <col min="3844" max="3844" width="20.7109375" style="421" customWidth="1"/>
    <col min="3845" max="4096" width="10.7109375" style="421"/>
    <col min="4097" max="4097" width="5.7109375" style="421" customWidth="1"/>
    <col min="4098" max="4098" width="6.7109375" style="421" customWidth="1"/>
    <col min="4099" max="4099" width="9.5703125" style="421" customWidth="1"/>
    <col min="4100" max="4100" width="20.7109375" style="421" customWidth="1"/>
    <col min="4101" max="4352" width="10.7109375" style="421"/>
    <col min="4353" max="4353" width="5.7109375" style="421" customWidth="1"/>
    <col min="4354" max="4354" width="6.7109375" style="421" customWidth="1"/>
    <col min="4355" max="4355" width="9.5703125" style="421" customWidth="1"/>
    <col min="4356" max="4356" width="20.7109375" style="421" customWidth="1"/>
    <col min="4357" max="4608" width="10.7109375" style="421"/>
    <col min="4609" max="4609" width="5.7109375" style="421" customWidth="1"/>
    <col min="4610" max="4610" width="6.7109375" style="421" customWidth="1"/>
    <col min="4611" max="4611" width="9.5703125" style="421" customWidth="1"/>
    <col min="4612" max="4612" width="20.7109375" style="421" customWidth="1"/>
    <col min="4613" max="4864" width="10.7109375" style="421"/>
    <col min="4865" max="4865" width="5.7109375" style="421" customWidth="1"/>
    <col min="4866" max="4866" width="6.7109375" style="421" customWidth="1"/>
    <col min="4867" max="4867" width="9.5703125" style="421" customWidth="1"/>
    <col min="4868" max="4868" width="20.7109375" style="421" customWidth="1"/>
    <col min="4869" max="5120" width="10.7109375" style="421"/>
    <col min="5121" max="5121" width="5.7109375" style="421" customWidth="1"/>
    <col min="5122" max="5122" width="6.7109375" style="421" customWidth="1"/>
    <col min="5123" max="5123" width="9.5703125" style="421" customWidth="1"/>
    <col min="5124" max="5124" width="20.7109375" style="421" customWidth="1"/>
    <col min="5125" max="5376" width="10.7109375" style="421"/>
    <col min="5377" max="5377" width="5.7109375" style="421" customWidth="1"/>
    <col min="5378" max="5378" width="6.7109375" style="421" customWidth="1"/>
    <col min="5379" max="5379" width="9.5703125" style="421" customWidth="1"/>
    <col min="5380" max="5380" width="20.7109375" style="421" customWidth="1"/>
    <col min="5381" max="5632" width="10.7109375" style="421"/>
    <col min="5633" max="5633" width="5.7109375" style="421" customWidth="1"/>
    <col min="5634" max="5634" width="6.7109375" style="421" customWidth="1"/>
    <col min="5635" max="5635" width="9.5703125" style="421" customWidth="1"/>
    <col min="5636" max="5636" width="20.7109375" style="421" customWidth="1"/>
    <col min="5637" max="5888" width="10.7109375" style="421"/>
    <col min="5889" max="5889" width="5.7109375" style="421" customWidth="1"/>
    <col min="5890" max="5890" width="6.7109375" style="421" customWidth="1"/>
    <col min="5891" max="5891" width="9.5703125" style="421" customWidth="1"/>
    <col min="5892" max="5892" width="20.7109375" style="421" customWidth="1"/>
    <col min="5893" max="6144" width="10.7109375" style="421"/>
    <col min="6145" max="6145" width="5.7109375" style="421" customWidth="1"/>
    <col min="6146" max="6146" width="6.7109375" style="421" customWidth="1"/>
    <col min="6147" max="6147" width="9.5703125" style="421" customWidth="1"/>
    <col min="6148" max="6148" width="20.7109375" style="421" customWidth="1"/>
    <col min="6149" max="6400" width="10.7109375" style="421"/>
    <col min="6401" max="6401" width="5.7109375" style="421" customWidth="1"/>
    <col min="6402" max="6402" width="6.7109375" style="421" customWidth="1"/>
    <col min="6403" max="6403" width="9.5703125" style="421" customWidth="1"/>
    <col min="6404" max="6404" width="20.7109375" style="421" customWidth="1"/>
    <col min="6405" max="6656" width="10.7109375" style="421"/>
    <col min="6657" max="6657" width="5.7109375" style="421" customWidth="1"/>
    <col min="6658" max="6658" width="6.7109375" style="421" customWidth="1"/>
    <col min="6659" max="6659" width="9.5703125" style="421" customWidth="1"/>
    <col min="6660" max="6660" width="20.7109375" style="421" customWidth="1"/>
    <col min="6661" max="6912" width="10.7109375" style="421"/>
    <col min="6913" max="6913" width="5.7109375" style="421" customWidth="1"/>
    <col min="6914" max="6914" width="6.7109375" style="421" customWidth="1"/>
    <col min="6915" max="6915" width="9.5703125" style="421" customWidth="1"/>
    <col min="6916" max="6916" width="20.7109375" style="421" customWidth="1"/>
    <col min="6917" max="7168" width="10.7109375" style="421"/>
    <col min="7169" max="7169" width="5.7109375" style="421" customWidth="1"/>
    <col min="7170" max="7170" width="6.7109375" style="421" customWidth="1"/>
    <col min="7171" max="7171" width="9.5703125" style="421" customWidth="1"/>
    <col min="7172" max="7172" width="20.7109375" style="421" customWidth="1"/>
    <col min="7173" max="7424" width="10.7109375" style="421"/>
    <col min="7425" max="7425" width="5.7109375" style="421" customWidth="1"/>
    <col min="7426" max="7426" width="6.7109375" style="421" customWidth="1"/>
    <col min="7427" max="7427" width="9.5703125" style="421" customWidth="1"/>
    <col min="7428" max="7428" width="20.7109375" style="421" customWidth="1"/>
    <col min="7429" max="7680" width="10.7109375" style="421"/>
    <col min="7681" max="7681" width="5.7109375" style="421" customWidth="1"/>
    <col min="7682" max="7682" width="6.7109375" style="421" customWidth="1"/>
    <col min="7683" max="7683" width="9.5703125" style="421" customWidth="1"/>
    <col min="7684" max="7684" width="20.7109375" style="421" customWidth="1"/>
    <col min="7685" max="7936" width="10.7109375" style="421"/>
    <col min="7937" max="7937" width="5.7109375" style="421" customWidth="1"/>
    <col min="7938" max="7938" width="6.7109375" style="421" customWidth="1"/>
    <col min="7939" max="7939" width="9.5703125" style="421" customWidth="1"/>
    <col min="7940" max="7940" width="20.7109375" style="421" customWidth="1"/>
    <col min="7941" max="8192" width="10.7109375" style="421"/>
    <col min="8193" max="8193" width="5.7109375" style="421" customWidth="1"/>
    <col min="8194" max="8194" width="6.7109375" style="421" customWidth="1"/>
    <col min="8195" max="8195" width="9.5703125" style="421" customWidth="1"/>
    <col min="8196" max="8196" width="20.7109375" style="421" customWidth="1"/>
    <col min="8197" max="8448" width="10.7109375" style="421"/>
    <col min="8449" max="8449" width="5.7109375" style="421" customWidth="1"/>
    <col min="8450" max="8450" width="6.7109375" style="421" customWidth="1"/>
    <col min="8451" max="8451" width="9.5703125" style="421" customWidth="1"/>
    <col min="8452" max="8452" width="20.7109375" style="421" customWidth="1"/>
    <col min="8453" max="8704" width="10.7109375" style="421"/>
    <col min="8705" max="8705" width="5.7109375" style="421" customWidth="1"/>
    <col min="8706" max="8706" width="6.7109375" style="421" customWidth="1"/>
    <col min="8707" max="8707" width="9.5703125" style="421" customWidth="1"/>
    <col min="8708" max="8708" width="20.7109375" style="421" customWidth="1"/>
    <col min="8709" max="8960" width="10.7109375" style="421"/>
    <col min="8961" max="8961" width="5.7109375" style="421" customWidth="1"/>
    <col min="8962" max="8962" width="6.7109375" style="421" customWidth="1"/>
    <col min="8963" max="8963" width="9.5703125" style="421" customWidth="1"/>
    <col min="8964" max="8964" width="20.7109375" style="421" customWidth="1"/>
    <col min="8965" max="9216" width="10.7109375" style="421"/>
    <col min="9217" max="9217" width="5.7109375" style="421" customWidth="1"/>
    <col min="9218" max="9218" width="6.7109375" style="421" customWidth="1"/>
    <col min="9219" max="9219" width="9.5703125" style="421" customWidth="1"/>
    <col min="9220" max="9220" width="20.7109375" style="421" customWidth="1"/>
    <col min="9221" max="9472" width="10.7109375" style="421"/>
    <col min="9473" max="9473" width="5.7109375" style="421" customWidth="1"/>
    <col min="9474" max="9474" width="6.7109375" style="421" customWidth="1"/>
    <col min="9475" max="9475" width="9.5703125" style="421" customWidth="1"/>
    <col min="9476" max="9476" width="20.7109375" style="421" customWidth="1"/>
    <col min="9477" max="9728" width="10.7109375" style="421"/>
    <col min="9729" max="9729" width="5.7109375" style="421" customWidth="1"/>
    <col min="9730" max="9730" width="6.7109375" style="421" customWidth="1"/>
    <col min="9731" max="9731" width="9.5703125" style="421" customWidth="1"/>
    <col min="9732" max="9732" width="20.7109375" style="421" customWidth="1"/>
    <col min="9733" max="9984" width="10.7109375" style="421"/>
    <col min="9985" max="9985" width="5.7109375" style="421" customWidth="1"/>
    <col min="9986" max="9986" width="6.7109375" style="421" customWidth="1"/>
    <col min="9987" max="9987" width="9.5703125" style="421" customWidth="1"/>
    <col min="9988" max="9988" width="20.7109375" style="421" customWidth="1"/>
    <col min="9989" max="10240" width="10.7109375" style="421"/>
    <col min="10241" max="10241" width="5.7109375" style="421" customWidth="1"/>
    <col min="10242" max="10242" width="6.7109375" style="421" customWidth="1"/>
    <col min="10243" max="10243" width="9.5703125" style="421" customWidth="1"/>
    <col min="10244" max="10244" width="20.7109375" style="421" customWidth="1"/>
    <col min="10245" max="10496" width="10.7109375" style="421"/>
    <col min="10497" max="10497" width="5.7109375" style="421" customWidth="1"/>
    <col min="10498" max="10498" width="6.7109375" style="421" customWidth="1"/>
    <col min="10499" max="10499" width="9.5703125" style="421" customWidth="1"/>
    <col min="10500" max="10500" width="20.7109375" style="421" customWidth="1"/>
    <col min="10501" max="10752" width="10.7109375" style="421"/>
    <col min="10753" max="10753" width="5.7109375" style="421" customWidth="1"/>
    <col min="10754" max="10754" width="6.7109375" style="421" customWidth="1"/>
    <col min="10755" max="10755" width="9.5703125" style="421" customWidth="1"/>
    <col min="10756" max="10756" width="20.7109375" style="421" customWidth="1"/>
    <col min="10757" max="11008" width="10.7109375" style="421"/>
    <col min="11009" max="11009" width="5.7109375" style="421" customWidth="1"/>
    <col min="11010" max="11010" width="6.7109375" style="421" customWidth="1"/>
    <col min="11011" max="11011" width="9.5703125" style="421" customWidth="1"/>
    <col min="11012" max="11012" width="20.7109375" style="421" customWidth="1"/>
    <col min="11013" max="11264" width="10.7109375" style="421"/>
    <col min="11265" max="11265" width="5.7109375" style="421" customWidth="1"/>
    <col min="11266" max="11266" width="6.7109375" style="421" customWidth="1"/>
    <col min="11267" max="11267" width="9.5703125" style="421" customWidth="1"/>
    <col min="11268" max="11268" width="20.7109375" style="421" customWidth="1"/>
    <col min="11269" max="11520" width="10.7109375" style="421"/>
    <col min="11521" max="11521" width="5.7109375" style="421" customWidth="1"/>
    <col min="11522" max="11522" width="6.7109375" style="421" customWidth="1"/>
    <col min="11523" max="11523" width="9.5703125" style="421" customWidth="1"/>
    <col min="11524" max="11524" width="20.7109375" style="421" customWidth="1"/>
    <col min="11525" max="11776" width="10.7109375" style="421"/>
    <col min="11777" max="11777" width="5.7109375" style="421" customWidth="1"/>
    <col min="11778" max="11778" width="6.7109375" style="421" customWidth="1"/>
    <col min="11779" max="11779" width="9.5703125" style="421" customWidth="1"/>
    <col min="11780" max="11780" width="20.7109375" style="421" customWidth="1"/>
    <col min="11781" max="12032" width="10.7109375" style="421"/>
    <col min="12033" max="12033" width="5.7109375" style="421" customWidth="1"/>
    <col min="12034" max="12034" width="6.7109375" style="421" customWidth="1"/>
    <col min="12035" max="12035" width="9.5703125" style="421" customWidth="1"/>
    <col min="12036" max="12036" width="20.7109375" style="421" customWidth="1"/>
    <col min="12037" max="12288" width="10.7109375" style="421"/>
    <col min="12289" max="12289" width="5.7109375" style="421" customWidth="1"/>
    <col min="12290" max="12290" width="6.7109375" style="421" customWidth="1"/>
    <col min="12291" max="12291" width="9.5703125" style="421" customWidth="1"/>
    <col min="12292" max="12292" width="20.7109375" style="421" customWidth="1"/>
    <col min="12293" max="12544" width="10.7109375" style="421"/>
    <col min="12545" max="12545" width="5.7109375" style="421" customWidth="1"/>
    <col min="12546" max="12546" width="6.7109375" style="421" customWidth="1"/>
    <col min="12547" max="12547" width="9.5703125" style="421" customWidth="1"/>
    <col min="12548" max="12548" width="20.7109375" style="421" customWidth="1"/>
    <col min="12549" max="12800" width="10.7109375" style="421"/>
    <col min="12801" max="12801" width="5.7109375" style="421" customWidth="1"/>
    <col min="12802" max="12802" width="6.7109375" style="421" customWidth="1"/>
    <col min="12803" max="12803" width="9.5703125" style="421" customWidth="1"/>
    <col min="12804" max="12804" width="20.7109375" style="421" customWidth="1"/>
    <col min="12805" max="13056" width="10.7109375" style="421"/>
    <col min="13057" max="13057" width="5.7109375" style="421" customWidth="1"/>
    <col min="13058" max="13058" width="6.7109375" style="421" customWidth="1"/>
    <col min="13059" max="13059" width="9.5703125" style="421" customWidth="1"/>
    <col min="13060" max="13060" width="20.7109375" style="421" customWidth="1"/>
    <col min="13061" max="13312" width="10.7109375" style="421"/>
    <col min="13313" max="13313" width="5.7109375" style="421" customWidth="1"/>
    <col min="13314" max="13314" width="6.7109375" style="421" customWidth="1"/>
    <col min="13315" max="13315" width="9.5703125" style="421" customWidth="1"/>
    <col min="13316" max="13316" width="20.7109375" style="421" customWidth="1"/>
    <col min="13317" max="13568" width="10.7109375" style="421"/>
    <col min="13569" max="13569" width="5.7109375" style="421" customWidth="1"/>
    <col min="13570" max="13570" width="6.7109375" style="421" customWidth="1"/>
    <col min="13571" max="13571" width="9.5703125" style="421" customWidth="1"/>
    <col min="13572" max="13572" width="20.7109375" style="421" customWidth="1"/>
    <col min="13573" max="13824" width="10.7109375" style="421"/>
    <col min="13825" max="13825" width="5.7109375" style="421" customWidth="1"/>
    <col min="13826" max="13826" width="6.7109375" style="421" customWidth="1"/>
    <col min="13827" max="13827" width="9.5703125" style="421" customWidth="1"/>
    <col min="13828" max="13828" width="20.7109375" style="421" customWidth="1"/>
    <col min="13829" max="14080" width="10.7109375" style="421"/>
    <col min="14081" max="14081" width="5.7109375" style="421" customWidth="1"/>
    <col min="14082" max="14082" width="6.7109375" style="421" customWidth="1"/>
    <col min="14083" max="14083" width="9.5703125" style="421" customWidth="1"/>
    <col min="14084" max="14084" width="20.7109375" style="421" customWidth="1"/>
    <col min="14085" max="14336" width="10.7109375" style="421"/>
    <col min="14337" max="14337" width="5.7109375" style="421" customWidth="1"/>
    <col min="14338" max="14338" width="6.7109375" style="421" customWidth="1"/>
    <col min="14339" max="14339" width="9.5703125" style="421" customWidth="1"/>
    <col min="14340" max="14340" width="20.7109375" style="421" customWidth="1"/>
    <col min="14341" max="14592" width="10.7109375" style="421"/>
    <col min="14593" max="14593" width="5.7109375" style="421" customWidth="1"/>
    <col min="14594" max="14594" width="6.7109375" style="421" customWidth="1"/>
    <col min="14595" max="14595" width="9.5703125" style="421" customWidth="1"/>
    <col min="14596" max="14596" width="20.7109375" style="421" customWidth="1"/>
    <col min="14597" max="14848" width="10.7109375" style="421"/>
    <col min="14849" max="14849" width="5.7109375" style="421" customWidth="1"/>
    <col min="14850" max="14850" width="6.7109375" style="421" customWidth="1"/>
    <col min="14851" max="14851" width="9.5703125" style="421" customWidth="1"/>
    <col min="14852" max="14852" width="20.7109375" style="421" customWidth="1"/>
    <col min="14853" max="15104" width="10.7109375" style="421"/>
    <col min="15105" max="15105" width="5.7109375" style="421" customWidth="1"/>
    <col min="15106" max="15106" width="6.7109375" style="421" customWidth="1"/>
    <col min="15107" max="15107" width="9.5703125" style="421" customWidth="1"/>
    <col min="15108" max="15108" width="20.7109375" style="421" customWidth="1"/>
    <col min="15109" max="15360" width="10.7109375" style="421"/>
    <col min="15361" max="15361" width="5.7109375" style="421" customWidth="1"/>
    <col min="15362" max="15362" width="6.7109375" style="421" customWidth="1"/>
    <col min="15363" max="15363" width="9.5703125" style="421" customWidth="1"/>
    <col min="15364" max="15364" width="20.7109375" style="421" customWidth="1"/>
    <col min="15365" max="15616" width="10.7109375" style="421"/>
    <col min="15617" max="15617" width="5.7109375" style="421" customWidth="1"/>
    <col min="15618" max="15618" width="6.7109375" style="421" customWidth="1"/>
    <col min="15619" max="15619" width="9.5703125" style="421" customWidth="1"/>
    <col min="15620" max="15620" width="20.7109375" style="421" customWidth="1"/>
    <col min="15621" max="15872" width="10.7109375" style="421"/>
    <col min="15873" max="15873" width="5.7109375" style="421" customWidth="1"/>
    <col min="15874" max="15874" width="6.7109375" style="421" customWidth="1"/>
    <col min="15875" max="15875" width="9.5703125" style="421" customWidth="1"/>
    <col min="15876" max="15876" width="20.7109375" style="421" customWidth="1"/>
    <col min="15877" max="16128" width="10.7109375" style="421"/>
    <col min="16129" max="16129" width="5.7109375" style="421" customWidth="1"/>
    <col min="16130" max="16130" width="6.7109375" style="421" customWidth="1"/>
    <col min="16131" max="16131" width="9.5703125" style="421" customWidth="1"/>
    <col min="16132" max="16132" width="20.7109375" style="421" customWidth="1"/>
    <col min="16133" max="16384" width="10.7109375" style="421"/>
  </cols>
  <sheetData>
    <row r="1" spans="1:14" s="419" customFormat="1" ht="20.100000000000001" customHeight="1">
      <c r="A1" s="418"/>
      <c r="B1" s="418"/>
      <c r="N1" s="420" t="s">
        <v>389</v>
      </c>
    </row>
    <row r="2" spans="1:14" ht="30" customHeight="1">
      <c r="A2" s="1303" t="s">
        <v>346</v>
      </c>
      <c r="B2" s="1303" t="s">
        <v>347</v>
      </c>
      <c r="C2" s="1305" t="s">
        <v>46</v>
      </c>
      <c r="D2" s="1306"/>
      <c r="E2" s="1309" t="s">
        <v>348</v>
      </c>
      <c r="F2" s="1311" t="s">
        <v>349</v>
      </c>
      <c r="G2" s="1312"/>
      <c r="H2" s="1309" t="s">
        <v>350</v>
      </c>
      <c r="I2" s="1309" t="s">
        <v>351</v>
      </c>
      <c r="J2" s="1309" t="s">
        <v>352</v>
      </c>
      <c r="K2" s="1309" t="s">
        <v>353</v>
      </c>
      <c r="L2" s="1309" t="s">
        <v>354</v>
      </c>
      <c r="M2" s="1309" t="s">
        <v>355</v>
      </c>
      <c r="N2" s="1301" t="s">
        <v>356</v>
      </c>
    </row>
    <row r="3" spans="1:14" ht="30" customHeight="1">
      <c r="A3" s="1304"/>
      <c r="B3" s="1304"/>
      <c r="C3" s="1307"/>
      <c r="D3" s="1308"/>
      <c r="E3" s="1310"/>
      <c r="F3" s="422" t="s">
        <v>357</v>
      </c>
      <c r="G3" s="422" t="s">
        <v>358</v>
      </c>
      <c r="H3" s="1310"/>
      <c r="I3" s="1310"/>
      <c r="J3" s="1310"/>
      <c r="K3" s="1310"/>
      <c r="L3" s="1310"/>
      <c r="M3" s="1310"/>
      <c r="N3" s="1302"/>
    </row>
    <row r="4" spans="1:14" ht="20.100000000000001" customHeight="1">
      <c r="A4" s="423" t="s">
        <v>359</v>
      </c>
      <c r="B4" s="424" t="s">
        <v>360</v>
      </c>
      <c r="C4" s="1294" t="s">
        <v>390</v>
      </c>
      <c r="D4" s="425" t="s">
        <v>361</v>
      </c>
      <c r="E4" s="426"/>
      <c r="F4" s="426"/>
      <c r="G4" s="426"/>
      <c r="H4" s="426">
        <f>Razão!B45</f>
        <v>4545281.7722399998</v>
      </c>
      <c r="I4" s="426">
        <f>Razão!F82</f>
        <v>1500000</v>
      </c>
      <c r="J4" s="426">
        <f>Razão!J82</f>
        <v>193650</v>
      </c>
      <c r="K4" s="426"/>
      <c r="L4" s="426"/>
      <c r="M4" s="426"/>
      <c r="N4" s="427">
        <f>SUBTOTAL(9,E4:M4)</f>
        <v>6238931.7722399998</v>
      </c>
    </row>
    <row r="5" spans="1:14" ht="20.100000000000001" customHeight="1">
      <c r="A5" s="423" t="s">
        <v>359</v>
      </c>
      <c r="B5" s="424" t="s">
        <v>362</v>
      </c>
      <c r="C5" s="1295"/>
      <c r="D5" s="428" t="s">
        <v>363</v>
      </c>
      <c r="E5" s="426"/>
      <c r="F5" s="426"/>
      <c r="G5" s="426"/>
      <c r="H5" s="426"/>
      <c r="I5" s="426"/>
      <c r="J5" s="426"/>
      <c r="K5" s="426"/>
      <c r="L5" s="426"/>
      <c r="M5" s="426"/>
      <c r="N5" s="427">
        <f t="shared" ref="N5:N28" si="0">SUBTOTAL(9,E5:M5)</f>
        <v>0</v>
      </c>
    </row>
    <row r="6" spans="1:14" ht="20.100000000000001" customHeight="1">
      <c r="A6" s="423" t="s">
        <v>364</v>
      </c>
      <c r="B6" s="429" t="s">
        <v>365</v>
      </c>
      <c r="C6" s="1296"/>
      <c r="D6" s="425" t="s">
        <v>366</v>
      </c>
      <c r="E6" s="427">
        <f t="shared" ref="E6:M6" si="1">SUM(E4:E5)</f>
        <v>0</v>
      </c>
      <c r="F6" s="427">
        <f>SUM(F4:F5)</f>
        <v>0</v>
      </c>
      <c r="G6" s="427">
        <f>SUM(G4:G5)</f>
        <v>0</v>
      </c>
      <c r="H6" s="427">
        <f t="shared" si="1"/>
        <v>4545281.7722399998</v>
      </c>
      <c r="I6" s="427">
        <f t="shared" si="1"/>
        <v>1500000</v>
      </c>
      <c r="J6" s="427">
        <f t="shared" si="1"/>
        <v>193650</v>
      </c>
      <c r="K6" s="427">
        <f t="shared" si="1"/>
        <v>0</v>
      </c>
      <c r="L6" s="427">
        <f t="shared" si="1"/>
        <v>0</v>
      </c>
      <c r="M6" s="427">
        <f t="shared" si="1"/>
        <v>0</v>
      </c>
      <c r="N6" s="427">
        <f t="shared" si="0"/>
        <v>6238931.7722399998</v>
      </c>
    </row>
    <row r="7" spans="1:14" ht="20.100000000000001" customHeight="1">
      <c r="A7" s="423" t="s">
        <v>367</v>
      </c>
      <c r="B7" s="424" t="s">
        <v>368</v>
      </c>
      <c r="C7" s="1297" t="s">
        <v>369</v>
      </c>
      <c r="D7" s="1298"/>
      <c r="E7" s="426"/>
      <c r="F7" s="426"/>
      <c r="G7" s="426"/>
      <c r="H7" s="426"/>
      <c r="I7" s="426"/>
      <c r="J7" s="426"/>
      <c r="K7" s="426"/>
      <c r="L7" s="426"/>
      <c r="M7" s="426"/>
      <c r="N7" s="427">
        <f t="shared" si="0"/>
        <v>0</v>
      </c>
    </row>
    <row r="8" spans="1:14" ht="20.100000000000001" customHeight="1">
      <c r="A8" s="423" t="s">
        <v>367</v>
      </c>
      <c r="B8" s="424" t="s">
        <v>370</v>
      </c>
      <c r="C8" s="1297" t="s">
        <v>371</v>
      </c>
      <c r="D8" s="1298"/>
      <c r="E8" s="426"/>
      <c r="F8" s="426"/>
      <c r="G8" s="426"/>
      <c r="H8" s="426"/>
      <c r="I8" s="426"/>
      <c r="J8" s="426"/>
      <c r="K8" s="426"/>
      <c r="L8" s="426"/>
      <c r="M8" s="426"/>
      <c r="N8" s="427">
        <f t="shared" si="0"/>
        <v>0</v>
      </c>
    </row>
    <row r="9" spans="1:14" ht="20.100000000000001" customHeight="1">
      <c r="A9" s="423" t="s">
        <v>367</v>
      </c>
      <c r="B9" s="429" t="s">
        <v>372</v>
      </c>
      <c r="C9" s="1297" t="s">
        <v>373</v>
      </c>
      <c r="D9" s="1298"/>
      <c r="E9" s="426"/>
      <c r="F9" s="426"/>
      <c r="G9" s="426"/>
      <c r="H9" s="426"/>
      <c r="I9" s="426"/>
      <c r="J9" s="426"/>
      <c r="K9" s="426"/>
      <c r="L9" s="426"/>
      <c r="M9" s="426"/>
      <c r="N9" s="427">
        <f t="shared" si="0"/>
        <v>0</v>
      </c>
    </row>
    <row r="10" spans="1:14" ht="20.100000000000001" customHeight="1">
      <c r="A10" s="423" t="s">
        <v>367</v>
      </c>
      <c r="B10" s="429" t="s">
        <v>374</v>
      </c>
      <c r="C10" s="1299" t="s">
        <v>375</v>
      </c>
      <c r="D10" s="1300"/>
      <c r="E10" s="426"/>
      <c r="F10" s="426"/>
      <c r="G10" s="426"/>
      <c r="H10" s="426"/>
      <c r="I10" s="426"/>
      <c r="J10" s="426"/>
      <c r="K10" s="426"/>
      <c r="L10" s="426"/>
      <c r="M10" s="426"/>
      <c r="N10" s="427">
        <f>SUBTOTAL(9,E10:M10)</f>
        <v>0</v>
      </c>
    </row>
    <row r="11" spans="1:14" ht="20.100000000000001" customHeight="1">
      <c r="A11" s="423" t="s">
        <v>367</v>
      </c>
      <c r="B11" s="430" t="s">
        <v>376</v>
      </c>
      <c r="C11" s="1297" t="s">
        <v>377</v>
      </c>
      <c r="D11" s="1298"/>
      <c r="E11" s="426"/>
      <c r="F11" s="426"/>
      <c r="G11" s="426"/>
      <c r="H11" s="426"/>
      <c r="I11" s="426"/>
      <c r="J11" s="426"/>
      <c r="K11" s="426"/>
      <c r="L11" s="426"/>
      <c r="M11" s="426"/>
      <c r="N11" s="427">
        <f t="shared" si="0"/>
        <v>0</v>
      </c>
    </row>
    <row r="12" spans="1:14" ht="20.100000000000001" customHeight="1">
      <c r="A12" s="423" t="s">
        <v>367</v>
      </c>
      <c r="B12" s="424" t="s">
        <v>378</v>
      </c>
      <c r="C12" s="1297" t="s">
        <v>379</v>
      </c>
      <c r="D12" s="1298"/>
      <c r="E12" s="426"/>
      <c r="F12" s="426"/>
      <c r="G12" s="426"/>
      <c r="H12" s="426"/>
      <c r="I12" s="426"/>
      <c r="J12" s="426"/>
      <c r="K12" s="426"/>
      <c r="L12" s="426"/>
      <c r="M12" s="426"/>
      <c r="N12" s="427">
        <f t="shared" si="0"/>
        <v>0</v>
      </c>
    </row>
    <row r="13" spans="1:14" ht="20.100000000000001" customHeight="1">
      <c r="A13" s="423" t="s">
        <v>367</v>
      </c>
      <c r="B13" s="424">
        <v>642</v>
      </c>
      <c r="C13" s="1297" t="s">
        <v>380</v>
      </c>
      <c r="D13" s="1298"/>
      <c r="E13" s="426"/>
      <c r="F13" s="426"/>
      <c r="G13" s="426"/>
      <c r="H13" s="426">
        <f>-Razão!C45</f>
        <v>-1136320.44306</v>
      </c>
      <c r="I13" s="426">
        <f>-Razão!G82</f>
        <v>-187500</v>
      </c>
      <c r="J13" s="426">
        <f>-Razão!K82</f>
        <v>-48412.5</v>
      </c>
      <c r="K13" s="426"/>
      <c r="L13" s="426"/>
      <c r="M13" s="426"/>
      <c r="N13" s="427">
        <f t="shared" si="0"/>
        <v>-1372232.94306</v>
      </c>
    </row>
    <row r="14" spans="1:14" ht="20.100000000000001" customHeight="1">
      <c r="A14" s="423" t="s">
        <v>367</v>
      </c>
      <c r="B14" s="424">
        <v>655</v>
      </c>
      <c r="C14" s="1297" t="s">
        <v>381</v>
      </c>
      <c r="D14" s="1298"/>
      <c r="E14" s="426"/>
      <c r="F14" s="426"/>
      <c r="G14" s="426"/>
      <c r="H14" s="426"/>
      <c r="I14" s="426"/>
      <c r="J14" s="426"/>
      <c r="K14" s="426"/>
      <c r="L14" s="426"/>
      <c r="M14" s="426"/>
      <c r="N14" s="427">
        <f t="shared" si="0"/>
        <v>0</v>
      </c>
    </row>
    <row r="15" spans="1:14" ht="20.100000000000001" customHeight="1">
      <c r="A15" s="423" t="s">
        <v>359</v>
      </c>
      <c r="B15" s="424" t="s">
        <v>382</v>
      </c>
      <c r="C15" s="1294" t="s">
        <v>386</v>
      </c>
      <c r="D15" s="425" t="s">
        <v>361</v>
      </c>
      <c r="E15" s="426">
        <f>+E4+SUM(E7:E12)</f>
        <v>0</v>
      </c>
      <c r="F15" s="426">
        <f t="shared" ref="F15:M15" si="2">+F4+SUM(F7:F12)</f>
        <v>0</v>
      </c>
      <c r="G15" s="426">
        <f t="shared" si="2"/>
        <v>0</v>
      </c>
      <c r="H15" s="426">
        <f>+H4+SUM(H7:H12)</f>
        <v>4545281.7722399998</v>
      </c>
      <c r="I15" s="426">
        <f t="shared" si="2"/>
        <v>1500000</v>
      </c>
      <c r="J15" s="426">
        <f t="shared" si="2"/>
        <v>193650</v>
      </c>
      <c r="K15" s="426">
        <f t="shared" si="2"/>
        <v>0</v>
      </c>
      <c r="L15" s="426">
        <f t="shared" si="2"/>
        <v>0</v>
      </c>
      <c r="M15" s="426">
        <f t="shared" si="2"/>
        <v>0</v>
      </c>
      <c r="N15" s="427">
        <f t="shared" si="0"/>
        <v>6238931.7722399998</v>
      </c>
    </row>
    <row r="16" spans="1:14" ht="20.100000000000001" customHeight="1">
      <c r="A16" s="423" t="s">
        <v>359</v>
      </c>
      <c r="B16" s="424" t="s">
        <v>383</v>
      </c>
      <c r="C16" s="1295"/>
      <c r="D16" s="428" t="s">
        <v>363</v>
      </c>
      <c r="E16" s="426">
        <f>+E5+SUM(E13:E14)</f>
        <v>0</v>
      </c>
      <c r="F16" s="426">
        <f t="shared" ref="F16:M16" si="3">+F5+SUM(F13:F14)</f>
        <v>0</v>
      </c>
      <c r="G16" s="426">
        <f t="shared" si="3"/>
        <v>0</v>
      </c>
      <c r="H16" s="426">
        <f t="shared" si="3"/>
        <v>-1136320.44306</v>
      </c>
      <c r="I16" s="426">
        <f t="shared" si="3"/>
        <v>-187500</v>
      </c>
      <c r="J16" s="426">
        <f t="shared" si="3"/>
        <v>-48412.5</v>
      </c>
      <c r="K16" s="426">
        <f t="shared" si="3"/>
        <v>0</v>
      </c>
      <c r="L16" s="426">
        <f t="shared" si="3"/>
        <v>0</v>
      </c>
      <c r="M16" s="426">
        <f t="shared" si="3"/>
        <v>0</v>
      </c>
      <c r="N16" s="427">
        <f t="shared" si="0"/>
        <v>-1372232.94306</v>
      </c>
    </row>
    <row r="17" spans="1:14" ht="20.100000000000001" customHeight="1">
      <c r="A17" s="423" t="s">
        <v>364</v>
      </c>
      <c r="B17" s="429" t="s">
        <v>384</v>
      </c>
      <c r="C17" s="1296"/>
      <c r="D17" s="425" t="s">
        <v>366</v>
      </c>
      <c r="E17" s="427">
        <f t="shared" ref="E17:M17" si="4">SUM(E15:E16)</f>
        <v>0</v>
      </c>
      <c r="F17" s="427">
        <f t="shared" si="4"/>
        <v>0</v>
      </c>
      <c r="G17" s="427">
        <f t="shared" si="4"/>
        <v>0</v>
      </c>
      <c r="H17" s="427">
        <f>SUM(H15:H16)</f>
        <v>3408961.3291799999</v>
      </c>
      <c r="I17" s="427">
        <f t="shared" si="4"/>
        <v>1312500</v>
      </c>
      <c r="J17" s="427">
        <f t="shared" si="4"/>
        <v>145237.5</v>
      </c>
      <c r="K17" s="427">
        <f t="shared" si="4"/>
        <v>0</v>
      </c>
      <c r="L17" s="427">
        <f t="shared" si="4"/>
        <v>0</v>
      </c>
      <c r="M17" s="427">
        <f t="shared" si="4"/>
        <v>0</v>
      </c>
      <c r="N17" s="427">
        <f t="shared" si="0"/>
        <v>4866698.8291800003</v>
      </c>
    </row>
    <row r="18" spans="1:14" ht="20.100000000000001" hidden="1" customHeight="1">
      <c r="A18" s="423" t="s">
        <v>367</v>
      </c>
      <c r="B18" s="424" t="s">
        <v>368</v>
      </c>
      <c r="C18" s="1297" t="s">
        <v>369</v>
      </c>
      <c r="D18" s="1298"/>
      <c r="E18" s="426"/>
      <c r="F18" s="426"/>
      <c r="G18" s="426"/>
      <c r="H18" s="426"/>
      <c r="I18" s="426"/>
      <c r="J18" s="426"/>
      <c r="K18" s="426"/>
      <c r="L18" s="426"/>
      <c r="M18" s="426"/>
      <c r="N18" s="427">
        <f t="shared" si="0"/>
        <v>0</v>
      </c>
    </row>
    <row r="19" spans="1:14" ht="20.100000000000001" hidden="1" customHeight="1">
      <c r="A19" s="423" t="s">
        <v>367</v>
      </c>
      <c r="B19" s="424" t="s">
        <v>370</v>
      </c>
      <c r="C19" s="1297" t="s">
        <v>371</v>
      </c>
      <c r="D19" s="1298"/>
      <c r="E19" s="426"/>
      <c r="F19" s="426"/>
      <c r="G19" s="426"/>
      <c r="H19" s="426"/>
      <c r="I19" s="426"/>
      <c r="J19" s="426"/>
      <c r="K19" s="426"/>
      <c r="L19" s="426"/>
      <c r="M19" s="426"/>
      <c r="N19" s="427">
        <f t="shared" si="0"/>
        <v>0</v>
      </c>
    </row>
    <row r="20" spans="1:14" ht="20.100000000000001" hidden="1" customHeight="1">
      <c r="A20" s="423" t="s">
        <v>367</v>
      </c>
      <c r="B20" s="429" t="s">
        <v>372</v>
      </c>
      <c r="C20" s="1297" t="s">
        <v>373</v>
      </c>
      <c r="D20" s="1298"/>
      <c r="E20" s="426"/>
      <c r="F20" s="426"/>
      <c r="G20" s="426"/>
      <c r="H20" s="426"/>
      <c r="I20" s="426"/>
      <c r="J20" s="426"/>
      <c r="K20" s="426"/>
      <c r="L20" s="426"/>
      <c r="M20" s="426"/>
      <c r="N20" s="427">
        <f t="shared" si="0"/>
        <v>0</v>
      </c>
    </row>
    <row r="21" spans="1:14" ht="20.100000000000001" hidden="1" customHeight="1">
      <c r="A21" s="423" t="s">
        <v>367</v>
      </c>
      <c r="B21" s="429" t="s">
        <v>374</v>
      </c>
      <c r="C21" s="1299" t="s">
        <v>375</v>
      </c>
      <c r="D21" s="1300"/>
      <c r="E21" s="426"/>
      <c r="F21" s="426"/>
      <c r="G21" s="426"/>
      <c r="H21" s="426"/>
      <c r="I21" s="426"/>
      <c r="J21" s="426"/>
      <c r="K21" s="426"/>
      <c r="L21" s="426"/>
      <c r="M21" s="426"/>
      <c r="N21" s="427">
        <f>SUBTOTAL(9,E21:M21)</f>
        <v>0</v>
      </c>
    </row>
    <row r="22" spans="1:14" ht="20.100000000000001" hidden="1" customHeight="1">
      <c r="A22" s="423" t="s">
        <v>367</v>
      </c>
      <c r="B22" s="430" t="s">
        <v>376</v>
      </c>
      <c r="C22" s="1297" t="s">
        <v>377</v>
      </c>
      <c r="D22" s="1298"/>
      <c r="E22" s="426"/>
      <c r="F22" s="426"/>
      <c r="G22" s="426"/>
      <c r="H22" s="426"/>
      <c r="I22" s="426"/>
      <c r="J22" s="426"/>
      <c r="K22" s="426"/>
      <c r="L22" s="426"/>
      <c r="M22" s="426"/>
      <c r="N22" s="427">
        <f t="shared" si="0"/>
        <v>0</v>
      </c>
    </row>
    <row r="23" spans="1:14" ht="20.100000000000001" hidden="1" customHeight="1">
      <c r="A23" s="423" t="s">
        <v>367</v>
      </c>
      <c r="B23" s="424" t="s">
        <v>378</v>
      </c>
      <c r="C23" s="1297" t="s">
        <v>379</v>
      </c>
      <c r="D23" s="1298"/>
      <c r="E23" s="426"/>
      <c r="F23" s="426"/>
      <c r="G23" s="426"/>
      <c r="H23" s="426"/>
      <c r="I23" s="426"/>
      <c r="J23" s="426"/>
      <c r="K23" s="426"/>
      <c r="L23" s="426"/>
      <c r="M23" s="426"/>
      <c r="N23" s="427">
        <f t="shared" si="0"/>
        <v>0</v>
      </c>
    </row>
    <row r="24" spans="1:14" ht="20.100000000000001" hidden="1" customHeight="1">
      <c r="A24" s="423" t="s">
        <v>367</v>
      </c>
      <c r="B24" s="424">
        <v>642</v>
      </c>
      <c r="C24" s="1297" t="s">
        <v>380</v>
      </c>
      <c r="D24" s="1298"/>
      <c r="E24" s="426"/>
      <c r="F24" s="426"/>
      <c r="G24" s="426"/>
      <c r="H24" s="426"/>
      <c r="I24" s="426"/>
      <c r="J24" s="426"/>
      <c r="K24" s="426"/>
      <c r="L24" s="426"/>
      <c r="M24" s="426"/>
      <c r="N24" s="427">
        <f t="shared" si="0"/>
        <v>0</v>
      </c>
    </row>
    <row r="25" spans="1:14" ht="20.100000000000001" hidden="1" customHeight="1">
      <c r="A25" s="423" t="s">
        <v>367</v>
      </c>
      <c r="B25" s="424">
        <v>655</v>
      </c>
      <c r="C25" s="1297" t="s">
        <v>381</v>
      </c>
      <c r="D25" s="1298"/>
      <c r="E25" s="426"/>
      <c r="F25" s="426"/>
      <c r="G25" s="426"/>
      <c r="H25" s="426"/>
      <c r="I25" s="426"/>
      <c r="J25" s="426"/>
      <c r="K25" s="426"/>
      <c r="L25" s="426"/>
      <c r="M25" s="426"/>
      <c r="N25" s="427">
        <f t="shared" si="0"/>
        <v>0</v>
      </c>
    </row>
    <row r="26" spans="1:14" ht="20.100000000000001" hidden="1" customHeight="1">
      <c r="A26" s="423" t="s">
        <v>359</v>
      </c>
      <c r="B26" s="424" t="s">
        <v>385</v>
      </c>
      <c r="C26" s="1294" t="s">
        <v>386</v>
      </c>
      <c r="D26" s="425" t="s">
        <v>361</v>
      </c>
      <c r="E26" s="426">
        <f>+E15+SUM(E18:E23)</f>
        <v>0</v>
      </c>
      <c r="F26" s="426">
        <f t="shared" ref="F26:M26" si="5">+F15+SUM(F18:F23)</f>
        <v>0</v>
      </c>
      <c r="G26" s="426">
        <f t="shared" si="5"/>
        <v>0</v>
      </c>
      <c r="H26" s="426">
        <f t="shared" si="5"/>
        <v>4545281.7722399998</v>
      </c>
      <c r="I26" s="426">
        <f t="shared" si="5"/>
        <v>1500000</v>
      </c>
      <c r="J26" s="426">
        <f t="shared" si="5"/>
        <v>193650</v>
      </c>
      <c r="K26" s="426">
        <f t="shared" si="5"/>
        <v>0</v>
      </c>
      <c r="L26" s="426">
        <f t="shared" si="5"/>
        <v>0</v>
      </c>
      <c r="M26" s="426">
        <f t="shared" si="5"/>
        <v>0</v>
      </c>
      <c r="N26" s="427">
        <f t="shared" si="0"/>
        <v>6238931.7722399998</v>
      </c>
    </row>
    <row r="27" spans="1:14" ht="20.100000000000001" hidden="1" customHeight="1">
      <c r="A27" s="423" t="s">
        <v>359</v>
      </c>
      <c r="B27" s="424" t="s">
        <v>387</v>
      </c>
      <c r="C27" s="1295"/>
      <c r="D27" s="428" t="s">
        <v>363</v>
      </c>
      <c r="E27" s="426">
        <f>+E16+SUM(E24:E25)</f>
        <v>0</v>
      </c>
      <c r="F27" s="426">
        <f t="shared" ref="F27:M27" si="6">+F16+SUM(F24:F25)</f>
        <v>0</v>
      </c>
      <c r="G27" s="426">
        <f t="shared" si="6"/>
        <v>0</v>
      </c>
      <c r="H27" s="426">
        <f t="shared" si="6"/>
        <v>-1136320.44306</v>
      </c>
      <c r="I27" s="426">
        <f t="shared" si="6"/>
        <v>-187500</v>
      </c>
      <c r="J27" s="426">
        <f t="shared" si="6"/>
        <v>-48412.5</v>
      </c>
      <c r="K27" s="426">
        <f t="shared" si="6"/>
        <v>0</v>
      </c>
      <c r="L27" s="426">
        <f t="shared" si="6"/>
        <v>0</v>
      </c>
      <c r="M27" s="426">
        <f t="shared" si="6"/>
        <v>0</v>
      </c>
      <c r="N27" s="427">
        <f t="shared" si="0"/>
        <v>-1372232.94306</v>
      </c>
    </row>
    <row r="28" spans="1:14" ht="20.100000000000001" hidden="1" customHeight="1">
      <c r="A28" s="423" t="s">
        <v>364</v>
      </c>
      <c r="B28" s="429" t="s">
        <v>388</v>
      </c>
      <c r="C28" s="1296"/>
      <c r="D28" s="425" t="s">
        <v>366</v>
      </c>
      <c r="E28" s="427">
        <f t="shared" ref="E28:M28" si="7">SUM(E26:E27)</f>
        <v>0</v>
      </c>
      <c r="F28" s="427">
        <f t="shared" si="7"/>
        <v>0</v>
      </c>
      <c r="G28" s="427">
        <f t="shared" si="7"/>
        <v>0</v>
      </c>
      <c r="H28" s="427">
        <f t="shared" si="7"/>
        <v>3408961.3291799999</v>
      </c>
      <c r="I28" s="427">
        <f t="shared" si="7"/>
        <v>1312500</v>
      </c>
      <c r="J28" s="427">
        <f t="shared" si="7"/>
        <v>145237.5</v>
      </c>
      <c r="K28" s="427">
        <f t="shared" si="7"/>
        <v>0</v>
      </c>
      <c r="L28" s="427">
        <f t="shared" si="7"/>
        <v>0</v>
      </c>
      <c r="M28" s="427">
        <f t="shared" si="7"/>
        <v>0</v>
      </c>
      <c r="N28" s="427">
        <f t="shared" si="0"/>
        <v>4866698.8291800003</v>
      </c>
    </row>
    <row r="29" spans="1:14" hidden="1"/>
  </sheetData>
  <mergeCells count="31">
    <mergeCell ref="N2:N3"/>
    <mergeCell ref="A2:A3"/>
    <mergeCell ref="B2:B3"/>
    <mergeCell ref="C2:D3"/>
    <mergeCell ref="E2:E3"/>
    <mergeCell ref="F2:G2"/>
    <mergeCell ref="H2:H3"/>
    <mergeCell ref="I2:I3"/>
    <mergeCell ref="J2:J3"/>
    <mergeCell ref="K2:K3"/>
    <mergeCell ref="L2:L3"/>
    <mergeCell ref="M2:M3"/>
    <mergeCell ref="C19:D19"/>
    <mergeCell ref="C4:C6"/>
    <mergeCell ref="C7:D7"/>
    <mergeCell ref="C8:D8"/>
    <mergeCell ref="C9:D9"/>
    <mergeCell ref="C10:D10"/>
    <mergeCell ref="C11:D11"/>
    <mergeCell ref="C12:D12"/>
    <mergeCell ref="C13:D13"/>
    <mergeCell ref="C14:D14"/>
    <mergeCell ref="C15:C17"/>
    <mergeCell ref="C18:D18"/>
    <mergeCell ref="C26:C28"/>
    <mergeCell ref="C20:D20"/>
    <mergeCell ref="C21:D21"/>
    <mergeCell ref="C22:D22"/>
    <mergeCell ref="C23:D23"/>
    <mergeCell ref="C24:D24"/>
    <mergeCell ref="C25:D25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6" orientation="landscape" r:id="rId1"/>
  <headerFooter scaleWithDoc="0">
    <oddHeader>&amp;L&amp;K03-049MANUAL DA PRESTAÇÃO DE CONTAS NAS SOCIEDADES COMERCIAIS&amp;R&amp;K03-049Ponto &amp;A do modelo geral de anexo do SNC</oddHeader>
    <oddFooter>&amp;L&amp;K03-049&amp;F&amp;R&amp;K03-049&amp;D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workbookViewId="0">
      <selection sqref="A1:B12"/>
    </sheetView>
  </sheetViews>
  <sheetFormatPr defaultRowHeight="15"/>
  <cols>
    <col min="1" max="1" width="54.28515625" customWidth="1"/>
    <col min="2" max="2" width="10.85546875" bestFit="1" customWidth="1"/>
    <col min="4" max="17" width="9.140625" style="516"/>
  </cols>
  <sheetData>
    <row r="1" spans="1:3" ht="54">
      <c r="A1" s="615" t="s">
        <v>239</v>
      </c>
      <c r="B1" s="500">
        <v>41244</v>
      </c>
      <c r="C1" s="316"/>
    </row>
    <row r="2" spans="1:3">
      <c r="A2" s="474" t="s">
        <v>240</v>
      </c>
      <c r="B2" s="240">
        <v>0</v>
      </c>
      <c r="C2" s="240"/>
    </row>
    <row r="3" spans="1:3">
      <c r="A3" s="474" t="s">
        <v>241</v>
      </c>
      <c r="B3" s="240">
        <v>0</v>
      </c>
      <c r="C3" s="240"/>
    </row>
    <row r="4" spans="1:3">
      <c r="A4" s="474" t="s">
        <v>242</v>
      </c>
      <c r="B4" s="240">
        <v>0</v>
      </c>
      <c r="C4" s="240"/>
    </row>
    <row r="5" spans="1:3">
      <c r="A5" s="474" t="s">
        <v>243</v>
      </c>
      <c r="B5" s="240">
        <v>0</v>
      </c>
      <c r="C5" s="240"/>
    </row>
    <row r="6" spans="1:3">
      <c r="A6" s="474" t="s">
        <v>241</v>
      </c>
      <c r="B6" s="240"/>
      <c r="C6" s="240"/>
    </row>
    <row r="7" spans="1:3">
      <c r="A7" s="474" t="s">
        <v>242</v>
      </c>
      <c r="B7" s="240">
        <f>DRE!C50</f>
        <v>25919676.521739133</v>
      </c>
      <c r="C7" s="240"/>
    </row>
    <row r="8" spans="1:3">
      <c r="A8" s="474" t="s">
        <v>244</v>
      </c>
      <c r="B8" s="240">
        <v>0</v>
      </c>
      <c r="C8" s="240"/>
    </row>
    <row r="9" spans="1:3">
      <c r="A9" s="474" t="s">
        <v>241</v>
      </c>
      <c r="B9" s="240">
        <v>0</v>
      </c>
      <c r="C9" s="240"/>
    </row>
    <row r="10" spans="1:3">
      <c r="A10" s="474" t="s">
        <v>242</v>
      </c>
      <c r="B10" s="240">
        <f>'[5]Orçamento de compra'!$H$66</f>
        <v>3166284</v>
      </c>
      <c r="C10" s="240"/>
    </row>
    <row r="11" spans="1:3">
      <c r="A11" s="474" t="s">
        <v>245</v>
      </c>
      <c r="B11" s="240">
        <v>0</v>
      </c>
      <c r="C11" s="240"/>
    </row>
    <row r="12" spans="1:3">
      <c r="A12" s="474" t="s">
        <v>246</v>
      </c>
      <c r="B12" s="240">
        <f>(B7+B6)+(-B10-B11)</f>
        <v>22753392.521739133</v>
      </c>
      <c r="C12" s="240"/>
    </row>
    <row r="13" spans="1:3">
      <c r="A13" s="516"/>
      <c r="B13" s="516"/>
      <c r="C13" s="516"/>
    </row>
    <row r="14" spans="1:3">
      <c r="A14" s="516"/>
      <c r="B14" s="516"/>
      <c r="C14" s="516"/>
    </row>
    <row r="15" spans="1:3">
      <c r="A15" s="516"/>
      <c r="B15" s="516"/>
      <c r="C15" s="516"/>
    </row>
    <row r="16" spans="1:3">
      <c r="A16" s="516"/>
      <c r="B16" s="516"/>
      <c r="C16" s="516"/>
    </row>
    <row r="17" spans="1:3">
      <c r="A17" s="516"/>
      <c r="B17" s="240">
        <v>25919676.52</v>
      </c>
      <c r="C17" s="516"/>
    </row>
    <row r="18" spans="1:3">
      <c r="A18" s="516"/>
      <c r="B18" s="516"/>
      <c r="C18" s="516"/>
    </row>
    <row r="19" spans="1:3">
      <c r="A19" s="516"/>
      <c r="B19" s="516"/>
      <c r="C19" s="516"/>
    </row>
    <row r="20" spans="1:3">
      <c r="A20" s="516"/>
      <c r="B20" s="516"/>
      <c r="C20" s="516"/>
    </row>
    <row r="21" spans="1:3">
      <c r="A21" s="516"/>
      <c r="B21" s="516"/>
      <c r="C21" s="516"/>
    </row>
    <row r="22" spans="1:3">
      <c r="A22" s="516"/>
      <c r="B22" s="516"/>
      <c r="C22" s="516"/>
    </row>
    <row r="23" spans="1:3">
      <c r="A23" s="516"/>
      <c r="B23" s="516"/>
      <c r="C23" s="516"/>
    </row>
    <row r="24" spans="1:3">
      <c r="A24" s="516"/>
      <c r="B24" s="516"/>
      <c r="C24" s="516"/>
    </row>
    <row r="25" spans="1:3">
      <c r="A25" s="516"/>
      <c r="B25" s="516"/>
      <c r="C25" s="516"/>
    </row>
    <row r="26" spans="1:3">
      <c r="A26" s="516"/>
      <c r="B26" s="516"/>
      <c r="C26" s="516"/>
    </row>
    <row r="27" spans="1:3">
      <c r="A27" s="516"/>
      <c r="B27" s="516"/>
      <c r="C27" s="516"/>
    </row>
    <row r="28" spans="1:3">
      <c r="A28" s="516"/>
      <c r="B28" s="516"/>
      <c r="C28" s="516"/>
    </row>
    <row r="29" spans="1:3">
      <c r="A29" s="516"/>
      <c r="B29" s="516"/>
      <c r="C29" s="516"/>
    </row>
    <row r="30" spans="1:3">
      <c r="A30" s="516"/>
      <c r="B30" s="516"/>
      <c r="C30" s="516"/>
    </row>
    <row r="31" spans="1:3">
      <c r="A31" s="516"/>
      <c r="B31" s="516"/>
      <c r="C31" s="516"/>
    </row>
    <row r="32" spans="1:3">
      <c r="A32" s="516"/>
      <c r="B32" s="516"/>
      <c r="C32" s="516"/>
    </row>
    <row r="33" spans="1:3">
      <c r="A33" s="516"/>
      <c r="B33" s="516"/>
      <c r="C33" s="516"/>
    </row>
    <row r="34" spans="1:3">
      <c r="A34" s="516"/>
      <c r="B34" s="516"/>
      <c r="C34" s="516"/>
    </row>
    <row r="35" spans="1:3">
      <c r="A35" s="516"/>
      <c r="B35" s="516"/>
      <c r="C35" s="516"/>
    </row>
    <row r="36" spans="1:3">
      <c r="A36" s="516"/>
      <c r="B36" s="516"/>
      <c r="C36" s="516"/>
    </row>
    <row r="37" spans="1:3">
      <c r="A37" s="516"/>
      <c r="B37" s="516"/>
      <c r="C37" s="516"/>
    </row>
    <row r="38" spans="1:3">
      <c r="A38" s="516"/>
      <c r="B38" s="516"/>
      <c r="C38" s="516"/>
    </row>
    <row r="39" spans="1:3">
      <c r="A39" s="516"/>
      <c r="B39" s="516"/>
      <c r="C39" s="516"/>
    </row>
    <row r="40" spans="1:3">
      <c r="A40" s="516"/>
      <c r="B40" s="516"/>
      <c r="C40" s="516"/>
    </row>
    <row r="41" spans="1:3">
      <c r="A41" s="516"/>
      <c r="B41" s="516"/>
      <c r="C41" s="516"/>
    </row>
    <row r="42" spans="1:3">
      <c r="A42" s="516"/>
      <c r="B42" s="516"/>
      <c r="C42" s="516"/>
    </row>
    <row r="43" spans="1:3">
      <c r="A43" s="516"/>
      <c r="B43" s="516"/>
      <c r="C43" s="516"/>
    </row>
    <row r="44" spans="1:3">
      <c r="A44" s="516"/>
      <c r="B44" s="516"/>
      <c r="C44" s="516"/>
    </row>
    <row r="45" spans="1:3">
      <c r="A45" s="516"/>
      <c r="B45" s="516"/>
      <c r="C45" s="516"/>
    </row>
    <row r="46" spans="1:3">
      <c r="A46" s="516"/>
      <c r="B46" s="516"/>
      <c r="C46" s="516"/>
    </row>
    <row r="47" spans="1:3">
      <c r="A47" s="516"/>
      <c r="B47" s="516"/>
      <c r="C47" s="516"/>
    </row>
    <row r="48" spans="1:3">
      <c r="A48" s="516"/>
      <c r="B48" s="516"/>
      <c r="C48" s="516"/>
    </row>
    <row r="49" spans="1:3">
      <c r="A49" s="516"/>
      <c r="B49" s="516"/>
      <c r="C49" s="516"/>
    </row>
    <row r="50" spans="1:3">
      <c r="A50" s="516"/>
      <c r="B50" s="516"/>
      <c r="C50" s="516"/>
    </row>
    <row r="51" spans="1:3">
      <c r="A51" s="516"/>
      <c r="B51" s="516"/>
      <c r="C51" s="516"/>
    </row>
    <row r="52" spans="1:3">
      <c r="A52" s="516"/>
      <c r="B52" s="516"/>
      <c r="C52" s="516"/>
    </row>
    <row r="53" spans="1:3">
      <c r="A53" s="516"/>
      <c r="B53" s="516"/>
      <c r="C53" s="516"/>
    </row>
    <row r="54" spans="1:3">
      <c r="A54" s="516"/>
      <c r="B54" s="516"/>
      <c r="C54" s="516"/>
    </row>
    <row r="55" spans="1:3">
      <c r="A55" s="516"/>
      <c r="B55" s="516"/>
      <c r="C55" s="516"/>
    </row>
    <row r="56" spans="1:3">
      <c r="A56" s="516"/>
      <c r="B56" s="516"/>
      <c r="C56" s="516"/>
    </row>
    <row r="57" spans="1:3">
      <c r="A57" s="516"/>
      <c r="B57" s="516"/>
      <c r="C57" s="516"/>
    </row>
    <row r="58" spans="1:3">
      <c r="A58" s="516"/>
      <c r="B58" s="516"/>
      <c r="C58" s="516"/>
    </row>
    <row r="59" spans="1:3">
      <c r="A59" s="516"/>
      <c r="B59" s="516"/>
      <c r="C59" s="516"/>
    </row>
    <row r="60" spans="1:3">
      <c r="A60" s="516"/>
      <c r="B60" s="516"/>
      <c r="C60" s="516"/>
    </row>
    <row r="61" spans="1:3">
      <c r="A61" s="516"/>
      <c r="B61" s="516"/>
      <c r="C61" s="516"/>
    </row>
    <row r="62" spans="1:3">
      <c r="A62" s="516"/>
      <c r="B62" s="516"/>
      <c r="C62" s="516"/>
    </row>
    <row r="63" spans="1:3">
      <c r="A63" s="516"/>
      <c r="B63" s="516"/>
      <c r="C63" s="516"/>
    </row>
    <row r="64" spans="1:3">
      <c r="A64" s="516"/>
      <c r="B64" s="516"/>
      <c r="C64" s="516"/>
    </row>
    <row r="65" spans="1:3">
      <c r="A65" s="516"/>
      <c r="B65" s="516"/>
      <c r="C65" s="516"/>
    </row>
    <row r="66" spans="1:3">
      <c r="A66" s="516"/>
      <c r="B66" s="516"/>
      <c r="C66" s="516"/>
    </row>
    <row r="67" spans="1:3">
      <c r="A67" s="516"/>
      <c r="B67" s="516"/>
      <c r="C67" s="516"/>
    </row>
    <row r="68" spans="1:3">
      <c r="A68" s="516"/>
      <c r="B68" s="516"/>
      <c r="C68" s="516"/>
    </row>
    <row r="69" spans="1:3">
      <c r="A69" s="516"/>
      <c r="B69" s="516"/>
      <c r="C69" s="516"/>
    </row>
    <row r="70" spans="1:3">
      <c r="A70" s="516"/>
      <c r="B70" s="516"/>
      <c r="C70" s="516"/>
    </row>
    <row r="71" spans="1:3">
      <c r="A71" s="516"/>
      <c r="B71" s="516"/>
      <c r="C71" s="516"/>
    </row>
    <row r="72" spans="1:3">
      <c r="A72" s="516"/>
      <c r="B72" s="516"/>
      <c r="C72" s="516"/>
    </row>
    <row r="73" spans="1:3">
      <c r="A73" s="516"/>
      <c r="B73" s="516"/>
      <c r="C73" s="516"/>
    </row>
    <row r="74" spans="1:3">
      <c r="A74" s="516"/>
      <c r="B74" s="516"/>
      <c r="C74" s="516"/>
    </row>
    <row r="75" spans="1:3">
      <c r="A75" s="516"/>
      <c r="B75" s="516"/>
      <c r="C75" s="516"/>
    </row>
    <row r="76" spans="1:3">
      <c r="A76" s="516"/>
      <c r="B76" s="516"/>
      <c r="C76" s="516"/>
    </row>
    <row r="77" spans="1:3">
      <c r="A77" s="516"/>
      <c r="B77" s="516"/>
      <c r="C77" s="516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4"/>
  <sheetViews>
    <sheetView showGridLines="0" showZeros="0" topLeftCell="C1" zoomScaleNormal="100" workbookViewId="0">
      <selection activeCell="H17" sqref="H17"/>
    </sheetView>
  </sheetViews>
  <sheetFormatPr defaultColWidth="10.7109375" defaultRowHeight="12" outlineLevelCol="1"/>
  <cols>
    <col min="1" max="1" width="5.7109375" style="431" hidden="1" customWidth="1" outlineLevel="1"/>
    <col min="2" max="2" width="6.7109375" style="431" hidden="1" customWidth="1" outlineLevel="1"/>
    <col min="3" max="3" width="16.85546875" style="421" customWidth="1" collapsed="1"/>
    <col min="4" max="4" width="23" style="421" customWidth="1" collapsed="1"/>
    <col min="5" max="256" width="10.7109375" style="421"/>
    <col min="257" max="257" width="5.7109375" style="421" customWidth="1"/>
    <col min="258" max="258" width="6.7109375" style="421" customWidth="1"/>
    <col min="259" max="259" width="16.85546875" style="421" customWidth="1"/>
    <col min="260" max="260" width="23" style="421" customWidth="1"/>
    <col min="261" max="512" width="10.7109375" style="421"/>
    <col min="513" max="513" width="5.7109375" style="421" customWidth="1"/>
    <col min="514" max="514" width="6.7109375" style="421" customWidth="1"/>
    <col min="515" max="515" width="16.85546875" style="421" customWidth="1"/>
    <col min="516" max="516" width="23" style="421" customWidth="1"/>
    <col min="517" max="768" width="10.7109375" style="421"/>
    <col min="769" max="769" width="5.7109375" style="421" customWidth="1"/>
    <col min="770" max="770" width="6.7109375" style="421" customWidth="1"/>
    <col min="771" max="771" width="16.85546875" style="421" customWidth="1"/>
    <col min="772" max="772" width="23" style="421" customWidth="1"/>
    <col min="773" max="1024" width="10.7109375" style="421"/>
    <col min="1025" max="1025" width="5.7109375" style="421" customWidth="1"/>
    <col min="1026" max="1026" width="6.7109375" style="421" customWidth="1"/>
    <col min="1027" max="1027" width="16.85546875" style="421" customWidth="1"/>
    <col min="1028" max="1028" width="23" style="421" customWidth="1"/>
    <col min="1029" max="1280" width="10.7109375" style="421"/>
    <col min="1281" max="1281" width="5.7109375" style="421" customWidth="1"/>
    <col min="1282" max="1282" width="6.7109375" style="421" customWidth="1"/>
    <col min="1283" max="1283" width="16.85546875" style="421" customWidth="1"/>
    <col min="1284" max="1284" width="23" style="421" customWidth="1"/>
    <col min="1285" max="1536" width="10.7109375" style="421"/>
    <col min="1537" max="1537" width="5.7109375" style="421" customWidth="1"/>
    <col min="1538" max="1538" width="6.7109375" style="421" customWidth="1"/>
    <col min="1539" max="1539" width="16.85546875" style="421" customWidth="1"/>
    <col min="1540" max="1540" width="23" style="421" customWidth="1"/>
    <col min="1541" max="1792" width="10.7109375" style="421"/>
    <col min="1793" max="1793" width="5.7109375" style="421" customWidth="1"/>
    <col min="1794" max="1794" width="6.7109375" style="421" customWidth="1"/>
    <col min="1795" max="1795" width="16.85546875" style="421" customWidth="1"/>
    <col min="1796" max="1796" width="23" style="421" customWidth="1"/>
    <col min="1797" max="2048" width="10.7109375" style="421"/>
    <col min="2049" max="2049" width="5.7109375" style="421" customWidth="1"/>
    <col min="2050" max="2050" width="6.7109375" style="421" customWidth="1"/>
    <col min="2051" max="2051" width="16.85546875" style="421" customWidth="1"/>
    <col min="2052" max="2052" width="23" style="421" customWidth="1"/>
    <col min="2053" max="2304" width="10.7109375" style="421"/>
    <col min="2305" max="2305" width="5.7109375" style="421" customWidth="1"/>
    <col min="2306" max="2306" width="6.7109375" style="421" customWidth="1"/>
    <col min="2307" max="2307" width="16.85546875" style="421" customWidth="1"/>
    <col min="2308" max="2308" width="23" style="421" customWidth="1"/>
    <col min="2309" max="2560" width="10.7109375" style="421"/>
    <col min="2561" max="2561" width="5.7109375" style="421" customWidth="1"/>
    <col min="2562" max="2562" width="6.7109375" style="421" customWidth="1"/>
    <col min="2563" max="2563" width="16.85546875" style="421" customWidth="1"/>
    <col min="2564" max="2564" width="23" style="421" customWidth="1"/>
    <col min="2565" max="2816" width="10.7109375" style="421"/>
    <col min="2817" max="2817" width="5.7109375" style="421" customWidth="1"/>
    <col min="2818" max="2818" width="6.7109375" style="421" customWidth="1"/>
    <col min="2819" max="2819" width="16.85546875" style="421" customWidth="1"/>
    <col min="2820" max="2820" width="23" style="421" customWidth="1"/>
    <col min="2821" max="3072" width="10.7109375" style="421"/>
    <col min="3073" max="3073" width="5.7109375" style="421" customWidth="1"/>
    <col min="3074" max="3074" width="6.7109375" style="421" customWidth="1"/>
    <col min="3075" max="3075" width="16.85546875" style="421" customWidth="1"/>
    <col min="3076" max="3076" width="23" style="421" customWidth="1"/>
    <col min="3077" max="3328" width="10.7109375" style="421"/>
    <col min="3329" max="3329" width="5.7109375" style="421" customWidth="1"/>
    <col min="3330" max="3330" width="6.7109375" style="421" customWidth="1"/>
    <col min="3331" max="3331" width="16.85546875" style="421" customWidth="1"/>
    <col min="3332" max="3332" width="23" style="421" customWidth="1"/>
    <col min="3333" max="3584" width="10.7109375" style="421"/>
    <col min="3585" max="3585" width="5.7109375" style="421" customWidth="1"/>
    <col min="3586" max="3586" width="6.7109375" style="421" customWidth="1"/>
    <col min="3587" max="3587" width="16.85546875" style="421" customWidth="1"/>
    <col min="3588" max="3588" width="23" style="421" customWidth="1"/>
    <col min="3589" max="3840" width="10.7109375" style="421"/>
    <col min="3841" max="3841" width="5.7109375" style="421" customWidth="1"/>
    <col min="3842" max="3842" width="6.7109375" style="421" customWidth="1"/>
    <col min="3843" max="3843" width="16.85546875" style="421" customWidth="1"/>
    <col min="3844" max="3844" width="23" style="421" customWidth="1"/>
    <col min="3845" max="4096" width="10.7109375" style="421"/>
    <col min="4097" max="4097" width="5.7109375" style="421" customWidth="1"/>
    <col min="4098" max="4098" width="6.7109375" style="421" customWidth="1"/>
    <col min="4099" max="4099" width="16.85546875" style="421" customWidth="1"/>
    <col min="4100" max="4100" width="23" style="421" customWidth="1"/>
    <col min="4101" max="4352" width="10.7109375" style="421"/>
    <col min="4353" max="4353" width="5.7109375" style="421" customWidth="1"/>
    <col min="4354" max="4354" width="6.7109375" style="421" customWidth="1"/>
    <col min="4355" max="4355" width="16.85546875" style="421" customWidth="1"/>
    <col min="4356" max="4356" width="23" style="421" customWidth="1"/>
    <col min="4357" max="4608" width="10.7109375" style="421"/>
    <col min="4609" max="4609" width="5.7109375" style="421" customWidth="1"/>
    <col min="4610" max="4610" width="6.7109375" style="421" customWidth="1"/>
    <col min="4611" max="4611" width="16.85546875" style="421" customWidth="1"/>
    <col min="4612" max="4612" width="23" style="421" customWidth="1"/>
    <col min="4613" max="4864" width="10.7109375" style="421"/>
    <col min="4865" max="4865" width="5.7109375" style="421" customWidth="1"/>
    <col min="4866" max="4866" width="6.7109375" style="421" customWidth="1"/>
    <col min="4867" max="4867" width="16.85546875" style="421" customWidth="1"/>
    <col min="4868" max="4868" width="23" style="421" customWidth="1"/>
    <col min="4869" max="5120" width="10.7109375" style="421"/>
    <col min="5121" max="5121" width="5.7109375" style="421" customWidth="1"/>
    <col min="5122" max="5122" width="6.7109375" style="421" customWidth="1"/>
    <col min="5123" max="5123" width="16.85546875" style="421" customWidth="1"/>
    <col min="5124" max="5124" width="23" style="421" customWidth="1"/>
    <col min="5125" max="5376" width="10.7109375" style="421"/>
    <col min="5377" max="5377" width="5.7109375" style="421" customWidth="1"/>
    <col min="5378" max="5378" width="6.7109375" style="421" customWidth="1"/>
    <col min="5379" max="5379" width="16.85546875" style="421" customWidth="1"/>
    <col min="5380" max="5380" width="23" style="421" customWidth="1"/>
    <col min="5381" max="5632" width="10.7109375" style="421"/>
    <col min="5633" max="5633" width="5.7109375" style="421" customWidth="1"/>
    <col min="5634" max="5634" width="6.7109375" style="421" customWidth="1"/>
    <col min="5635" max="5635" width="16.85546875" style="421" customWidth="1"/>
    <col min="5636" max="5636" width="23" style="421" customWidth="1"/>
    <col min="5637" max="5888" width="10.7109375" style="421"/>
    <col min="5889" max="5889" width="5.7109375" style="421" customWidth="1"/>
    <col min="5890" max="5890" width="6.7109375" style="421" customWidth="1"/>
    <col min="5891" max="5891" width="16.85546875" style="421" customWidth="1"/>
    <col min="5892" max="5892" width="23" style="421" customWidth="1"/>
    <col min="5893" max="6144" width="10.7109375" style="421"/>
    <col min="6145" max="6145" width="5.7109375" style="421" customWidth="1"/>
    <col min="6146" max="6146" width="6.7109375" style="421" customWidth="1"/>
    <col min="6147" max="6147" width="16.85546875" style="421" customWidth="1"/>
    <col min="6148" max="6148" width="23" style="421" customWidth="1"/>
    <col min="6149" max="6400" width="10.7109375" style="421"/>
    <col min="6401" max="6401" width="5.7109375" style="421" customWidth="1"/>
    <col min="6402" max="6402" width="6.7109375" style="421" customWidth="1"/>
    <col min="6403" max="6403" width="16.85546875" style="421" customWidth="1"/>
    <col min="6404" max="6404" width="23" style="421" customWidth="1"/>
    <col min="6405" max="6656" width="10.7109375" style="421"/>
    <col min="6657" max="6657" width="5.7109375" style="421" customWidth="1"/>
    <col min="6658" max="6658" width="6.7109375" style="421" customWidth="1"/>
    <col min="6659" max="6659" width="16.85546875" style="421" customWidth="1"/>
    <col min="6660" max="6660" width="23" style="421" customWidth="1"/>
    <col min="6661" max="6912" width="10.7109375" style="421"/>
    <col min="6913" max="6913" width="5.7109375" style="421" customWidth="1"/>
    <col min="6914" max="6914" width="6.7109375" style="421" customWidth="1"/>
    <col min="6915" max="6915" width="16.85546875" style="421" customWidth="1"/>
    <col min="6916" max="6916" width="23" style="421" customWidth="1"/>
    <col min="6917" max="7168" width="10.7109375" style="421"/>
    <col min="7169" max="7169" width="5.7109375" style="421" customWidth="1"/>
    <col min="7170" max="7170" width="6.7109375" style="421" customWidth="1"/>
    <col min="7171" max="7171" width="16.85546875" style="421" customWidth="1"/>
    <col min="7172" max="7172" width="23" style="421" customWidth="1"/>
    <col min="7173" max="7424" width="10.7109375" style="421"/>
    <col min="7425" max="7425" width="5.7109375" style="421" customWidth="1"/>
    <col min="7426" max="7426" width="6.7109375" style="421" customWidth="1"/>
    <col min="7427" max="7427" width="16.85546875" style="421" customWidth="1"/>
    <col min="7428" max="7428" width="23" style="421" customWidth="1"/>
    <col min="7429" max="7680" width="10.7109375" style="421"/>
    <col min="7681" max="7681" width="5.7109375" style="421" customWidth="1"/>
    <col min="7682" max="7682" width="6.7109375" style="421" customWidth="1"/>
    <col min="7683" max="7683" width="16.85546875" style="421" customWidth="1"/>
    <col min="7684" max="7684" width="23" style="421" customWidth="1"/>
    <col min="7685" max="7936" width="10.7109375" style="421"/>
    <col min="7937" max="7937" width="5.7109375" style="421" customWidth="1"/>
    <col min="7938" max="7938" width="6.7109375" style="421" customWidth="1"/>
    <col min="7939" max="7939" width="16.85546875" style="421" customWidth="1"/>
    <col min="7940" max="7940" width="23" style="421" customWidth="1"/>
    <col min="7941" max="8192" width="10.7109375" style="421"/>
    <col min="8193" max="8193" width="5.7109375" style="421" customWidth="1"/>
    <col min="8194" max="8194" width="6.7109375" style="421" customWidth="1"/>
    <col min="8195" max="8195" width="16.85546875" style="421" customWidth="1"/>
    <col min="8196" max="8196" width="23" style="421" customWidth="1"/>
    <col min="8197" max="8448" width="10.7109375" style="421"/>
    <col min="8449" max="8449" width="5.7109375" style="421" customWidth="1"/>
    <col min="8450" max="8450" width="6.7109375" style="421" customWidth="1"/>
    <col min="8451" max="8451" width="16.85546875" style="421" customWidth="1"/>
    <col min="8452" max="8452" width="23" style="421" customWidth="1"/>
    <col min="8453" max="8704" width="10.7109375" style="421"/>
    <col min="8705" max="8705" width="5.7109375" style="421" customWidth="1"/>
    <col min="8706" max="8706" width="6.7109375" style="421" customWidth="1"/>
    <col min="8707" max="8707" width="16.85546875" style="421" customWidth="1"/>
    <col min="8708" max="8708" width="23" style="421" customWidth="1"/>
    <col min="8709" max="8960" width="10.7109375" style="421"/>
    <col min="8961" max="8961" width="5.7109375" style="421" customWidth="1"/>
    <col min="8962" max="8962" width="6.7109375" style="421" customWidth="1"/>
    <col min="8963" max="8963" width="16.85546875" style="421" customWidth="1"/>
    <col min="8964" max="8964" width="23" style="421" customWidth="1"/>
    <col min="8965" max="9216" width="10.7109375" style="421"/>
    <col min="9217" max="9217" width="5.7109375" style="421" customWidth="1"/>
    <col min="9218" max="9218" width="6.7109375" style="421" customWidth="1"/>
    <col min="9219" max="9219" width="16.85546875" style="421" customWidth="1"/>
    <col min="9220" max="9220" width="23" style="421" customWidth="1"/>
    <col min="9221" max="9472" width="10.7109375" style="421"/>
    <col min="9473" max="9473" width="5.7109375" style="421" customWidth="1"/>
    <col min="9474" max="9474" width="6.7109375" style="421" customWidth="1"/>
    <col min="9475" max="9475" width="16.85546875" style="421" customWidth="1"/>
    <col min="9476" max="9476" width="23" style="421" customWidth="1"/>
    <col min="9477" max="9728" width="10.7109375" style="421"/>
    <col min="9729" max="9729" width="5.7109375" style="421" customWidth="1"/>
    <col min="9730" max="9730" width="6.7109375" style="421" customWidth="1"/>
    <col min="9731" max="9731" width="16.85546875" style="421" customWidth="1"/>
    <col min="9732" max="9732" width="23" style="421" customWidth="1"/>
    <col min="9733" max="9984" width="10.7109375" style="421"/>
    <col min="9985" max="9985" width="5.7109375" style="421" customWidth="1"/>
    <col min="9986" max="9986" width="6.7109375" style="421" customWidth="1"/>
    <col min="9987" max="9987" width="16.85546875" style="421" customWidth="1"/>
    <col min="9988" max="9988" width="23" style="421" customWidth="1"/>
    <col min="9989" max="10240" width="10.7109375" style="421"/>
    <col min="10241" max="10241" width="5.7109375" style="421" customWidth="1"/>
    <col min="10242" max="10242" width="6.7109375" style="421" customWidth="1"/>
    <col min="10243" max="10243" width="16.85546875" style="421" customWidth="1"/>
    <col min="10244" max="10244" width="23" style="421" customWidth="1"/>
    <col min="10245" max="10496" width="10.7109375" style="421"/>
    <col min="10497" max="10497" width="5.7109375" style="421" customWidth="1"/>
    <col min="10498" max="10498" width="6.7109375" style="421" customWidth="1"/>
    <col min="10499" max="10499" width="16.85546875" style="421" customWidth="1"/>
    <col min="10500" max="10500" width="23" style="421" customWidth="1"/>
    <col min="10501" max="10752" width="10.7109375" style="421"/>
    <col min="10753" max="10753" width="5.7109375" style="421" customWidth="1"/>
    <col min="10754" max="10754" width="6.7109375" style="421" customWidth="1"/>
    <col min="10755" max="10755" width="16.85546875" style="421" customWidth="1"/>
    <col min="10756" max="10756" width="23" style="421" customWidth="1"/>
    <col min="10757" max="11008" width="10.7109375" style="421"/>
    <col min="11009" max="11009" width="5.7109375" style="421" customWidth="1"/>
    <col min="11010" max="11010" width="6.7109375" style="421" customWidth="1"/>
    <col min="11011" max="11011" width="16.85546875" style="421" customWidth="1"/>
    <col min="11012" max="11012" width="23" style="421" customWidth="1"/>
    <col min="11013" max="11264" width="10.7109375" style="421"/>
    <col min="11265" max="11265" width="5.7109375" style="421" customWidth="1"/>
    <col min="11266" max="11266" width="6.7109375" style="421" customWidth="1"/>
    <col min="11267" max="11267" width="16.85546875" style="421" customWidth="1"/>
    <col min="11268" max="11268" width="23" style="421" customWidth="1"/>
    <col min="11269" max="11520" width="10.7109375" style="421"/>
    <col min="11521" max="11521" width="5.7109375" style="421" customWidth="1"/>
    <col min="11522" max="11522" width="6.7109375" style="421" customWidth="1"/>
    <col min="11523" max="11523" width="16.85546875" style="421" customWidth="1"/>
    <col min="11524" max="11524" width="23" style="421" customWidth="1"/>
    <col min="11525" max="11776" width="10.7109375" style="421"/>
    <col min="11777" max="11777" width="5.7109375" style="421" customWidth="1"/>
    <col min="11778" max="11778" width="6.7109375" style="421" customWidth="1"/>
    <col min="11779" max="11779" width="16.85546875" style="421" customWidth="1"/>
    <col min="11780" max="11780" width="23" style="421" customWidth="1"/>
    <col min="11781" max="12032" width="10.7109375" style="421"/>
    <col min="12033" max="12033" width="5.7109375" style="421" customWidth="1"/>
    <col min="12034" max="12034" width="6.7109375" style="421" customWidth="1"/>
    <col min="12035" max="12035" width="16.85546875" style="421" customWidth="1"/>
    <col min="12036" max="12036" width="23" style="421" customWidth="1"/>
    <col min="12037" max="12288" width="10.7109375" style="421"/>
    <col min="12289" max="12289" width="5.7109375" style="421" customWidth="1"/>
    <col min="12290" max="12290" width="6.7109375" style="421" customWidth="1"/>
    <col min="12291" max="12291" width="16.85546875" style="421" customWidth="1"/>
    <col min="12292" max="12292" width="23" style="421" customWidth="1"/>
    <col min="12293" max="12544" width="10.7109375" style="421"/>
    <col min="12545" max="12545" width="5.7109375" style="421" customWidth="1"/>
    <col min="12546" max="12546" width="6.7109375" style="421" customWidth="1"/>
    <col min="12547" max="12547" width="16.85546875" style="421" customWidth="1"/>
    <col min="12548" max="12548" width="23" style="421" customWidth="1"/>
    <col min="12549" max="12800" width="10.7109375" style="421"/>
    <col min="12801" max="12801" width="5.7109375" style="421" customWidth="1"/>
    <col min="12802" max="12802" width="6.7109375" style="421" customWidth="1"/>
    <col min="12803" max="12803" width="16.85546875" style="421" customWidth="1"/>
    <col min="12804" max="12804" width="23" style="421" customWidth="1"/>
    <col min="12805" max="13056" width="10.7109375" style="421"/>
    <col min="13057" max="13057" width="5.7109375" style="421" customWidth="1"/>
    <col min="13058" max="13058" width="6.7109375" style="421" customWidth="1"/>
    <col min="13059" max="13059" width="16.85546875" style="421" customWidth="1"/>
    <col min="13060" max="13060" width="23" style="421" customWidth="1"/>
    <col min="13061" max="13312" width="10.7109375" style="421"/>
    <col min="13313" max="13313" width="5.7109375" style="421" customWidth="1"/>
    <col min="13314" max="13314" width="6.7109375" style="421" customWidth="1"/>
    <col min="13315" max="13315" width="16.85546875" style="421" customWidth="1"/>
    <col min="13316" max="13316" width="23" style="421" customWidth="1"/>
    <col min="13317" max="13568" width="10.7109375" style="421"/>
    <col min="13569" max="13569" width="5.7109375" style="421" customWidth="1"/>
    <col min="13570" max="13570" width="6.7109375" style="421" customWidth="1"/>
    <col min="13571" max="13571" width="16.85546875" style="421" customWidth="1"/>
    <col min="13572" max="13572" width="23" style="421" customWidth="1"/>
    <col min="13573" max="13824" width="10.7109375" style="421"/>
    <col min="13825" max="13825" width="5.7109375" style="421" customWidth="1"/>
    <col min="13826" max="13826" width="6.7109375" style="421" customWidth="1"/>
    <col min="13827" max="13827" width="16.85546875" style="421" customWidth="1"/>
    <col min="13828" max="13828" width="23" style="421" customWidth="1"/>
    <col min="13829" max="14080" width="10.7109375" style="421"/>
    <col min="14081" max="14081" width="5.7109375" style="421" customWidth="1"/>
    <col min="14082" max="14082" width="6.7109375" style="421" customWidth="1"/>
    <col min="14083" max="14083" width="16.85546875" style="421" customWidth="1"/>
    <col min="14084" max="14084" width="23" style="421" customWidth="1"/>
    <col min="14085" max="14336" width="10.7109375" style="421"/>
    <col min="14337" max="14337" width="5.7109375" style="421" customWidth="1"/>
    <col min="14338" max="14338" width="6.7109375" style="421" customWidth="1"/>
    <col min="14339" max="14339" width="16.85546875" style="421" customWidth="1"/>
    <col min="14340" max="14340" width="23" style="421" customWidth="1"/>
    <col min="14341" max="14592" width="10.7109375" style="421"/>
    <col min="14593" max="14593" width="5.7109375" style="421" customWidth="1"/>
    <col min="14594" max="14594" width="6.7109375" style="421" customWidth="1"/>
    <col min="14595" max="14595" width="16.85546875" style="421" customWidth="1"/>
    <col min="14596" max="14596" width="23" style="421" customWidth="1"/>
    <col min="14597" max="14848" width="10.7109375" style="421"/>
    <col min="14849" max="14849" width="5.7109375" style="421" customWidth="1"/>
    <col min="14850" max="14850" width="6.7109375" style="421" customWidth="1"/>
    <col min="14851" max="14851" width="16.85546875" style="421" customWidth="1"/>
    <col min="14852" max="14852" width="23" style="421" customWidth="1"/>
    <col min="14853" max="15104" width="10.7109375" style="421"/>
    <col min="15105" max="15105" width="5.7109375" style="421" customWidth="1"/>
    <col min="15106" max="15106" width="6.7109375" style="421" customWidth="1"/>
    <col min="15107" max="15107" width="16.85546875" style="421" customWidth="1"/>
    <col min="15108" max="15108" width="23" style="421" customWidth="1"/>
    <col min="15109" max="15360" width="10.7109375" style="421"/>
    <col min="15361" max="15361" width="5.7109375" style="421" customWidth="1"/>
    <col min="15362" max="15362" width="6.7109375" style="421" customWidth="1"/>
    <col min="15363" max="15363" width="16.85546875" style="421" customWidth="1"/>
    <col min="15364" max="15364" width="23" style="421" customWidth="1"/>
    <col min="15365" max="15616" width="10.7109375" style="421"/>
    <col min="15617" max="15617" width="5.7109375" style="421" customWidth="1"/>
    <col min="15618" max="15618" width="6.7109375" style="421" customWidth="1"/>
    <col min="15619" max="15619" width="16.85546875" style="421" customWidth="1"/>
    <col min="15620" max="15620" width="23" style="421" customWidth="1"/>
    <col min="15621" max="15872" width="10.7109375" style="421"/>
    <col min="15873" max="15873" width="5.7109375" style="421" customWidth="1"/>
    <col min="15874" max="15874" width="6.7109375" style="421" customWidth="1"/>
    <col min="15875" max="15875" width="16.85546875" style="421" customWidth="1"/>
    <col min="15876" max="15876" width="23" style="421" customWidth="1"/>
    <col min="15877" max="16128" width="10.7109375" style="421"/>
    <col min="16129" max="16129" width="5.7109375" style="421" customWidth="1"/>
    <col min="16130" max="16130" width="6.7109375" style="421" customWidth="1"/>
    <col min="16131" max="16131" width="16.85546875" style="421" customWidth="1"/>
    <col min="16132" max="16132" width="23" style="421" customWidth="1"/>
    <col min="16133" max="16384" width="10.7109375" style="421"/>
  </cols>
  <sheetData>
    <row r="1" spans="1:10" s="419" customFormat="1" ht="20.100000000000001" customHeight="1">
      <c r="A1" s="418"/>
      <c r="B1" s="418"/>
      <c r="J1" s="420" t="s">
        <v>494</v>
      </c>
    </row>
    <row r="2" spans="1:10" ht="20.100000000000001" customHeight="1">
      <c r="A2" s="1303" t="s">
        <v>481</v>
      </c>
      <c r="B2" s="1303" t="s">
        <v>347</v>
      </c>
      <c r="C2" s="1315" t="s">
        <v>482</v>
      </c>
      <c r="D2" s="1315"/>
      <c r="E2" s="1313" t="s">
        <v>393</v>
      </c>
      <c r="F2" s="1313"/>
      <c r="G2" s="1313"/>
      <c r="H2" s="1313" t="s">
        <v>394</v>
      </c>
      <c r="I2" s="1313"/>
      <c r="J2" s="1313"/>
    </row>
    <row r="3" spans="1:10" ht="45" customHeight="1">
      <c r="A3" s="1304"/>
      <c r="B3" s="1304"/>
      <c r="C3" s="1315"/>
      <c r="D3" s="1315"/>
      <c r="E3" s="489" t="s">
        <v>483</v>
      </c>
      <c r="F3" s="489" t="s">
        <v>484</v>
      </c>
      <c r="G3" s="489" t="s">
        <v>356</v>
      </c>
      <c r="H3" s="489" t="s">
        <v>483</v>
      </c>
      <c r="I3" s="489" t="s">
        <v>484</v>
      </c>
      <c r="J3" s="489" t="s">
        <v>356</v>
      </c>
    </row>
    <row r="4" spans="1:10" ht="20.100000000000001" customHeight="1">
      <c r="A4" s="423" t="s">
        <v>485</v>
      </c>
      <c r="B4" s="424">
        <v>11</v>
      </c>
      <c r="C4" s="1314" t="s">
        <v>486</v>
      </c>
      <c r="D4" s="490" t="s">
        <v>487</v>
      </c>
      <c r="E4" s="426">
        <f>Razão!$B$42</f>
        <v>25000</v>
      </c>
      <c r="F4" s="426"/>
      <c r="G4" s="427">
        <f t="shared" ref="G4:G11" si="0">SUM(E4:F4)</f>
        <v>25000</v>
      </c>
      <c r="H4" s="426"/>
      <c r="I4" s="426"/>
      <c r="J4" s="427">
        <f t="shared" ref="J4:J12" si="1">SUM(H4:I4)</f>
        <v>0</v>
      </c>
    </row>
    <row r="5" spans="1:10" ht="20.100000000000001" customHeight="1">
      <c r="A5" s="423" t="s">
        <v>485</v>
      </c>
      <c r="B5" s="424">
        <v>11</v>
      </c>
      <c r="C5" s="1314"/>
      <c r="D5" s="490" t="s">
        <v>378</v>
      </c>
      <c r="E5" s="426"/>
      <c r="F5" s="426"/>
      <c r="G5" s="427">
        <f t="shared" si="0"/>
        <v>0</v>
      </c>
      <c r="H5" s="426"/>
      <c r="I5" s="426"/>
      <c r="J5" s="427">
        <f t="shared" si="1"/>
        <v>0</v>
      </c>
    </row>
    <row r="6" spans="1:10" ht="20.100000000000001" customHeight="1">
      <c r="A6" s="423" t="s">
        <v>485</v>
      </c>
      <c r="B6" s="424">
        <v>11</v>
      </c>
      <c r="C6" s="1297"/>
      <c r="D6" s="491" t="s">
        <v>488</v>
      </c>
      <c r="E6" s="427">
        <f>SUM(E4:E5)</f>
        <v>25000</v>
      </c>
      <c r="F6" s="427">
        <f>SUM(F4:F5)</f>
        <v>0</v>
      </c>
      <c r="G6" s="427">
        <f t="shared" si="0"/>
        <v>25000</v>
      </c>
      <c r="H6" s="427">
        <f>SUM(H4:H5)</f>
        <v>0</v>
      </c>
      <c r="I6" s="427">
        <f>SUM(I4:I5)</f>
        <v>0</v>
      </c>
      <c r="J6" s="427">
        <f t="shared" si="1"/>
        <v>0</v>
      </c>
    </row>
    <row r="7" spans="1:10" ht="20.100000000000001" customHeight="1">
      <c r="A7" s="423" t="s">
        <v>485</v>
      </c>
      <c r="B7" s="424">
        <v>12</v>
      </c>
      <c r="C7" s="1314" t="s">
        <v>489</v>
      </c>
      <c r="D7" s="490" t="s">
        <v>490</v>
      </c>
      <c r="E7" s="426">
        <f>Razão!F42</f>
        <v>9983889.8561625481</v>
      </c>
      <c r="F7" s="426"/>
      <c r="G7" s="427">
        <f t="shared" si="0"/>
        <v>9983889.8561625481</v>
      </c>
      <c r="H7" s="426"/>
      <c r="I7" s="426"/>
      <c r="J7" s="427">
        <f t="shared" si="1"/>
        <v>0</v>
      </c>
    </row>
    <row r="8" spans="1:10" ht="20.100000000000001" customHeight="1">
      <c r="A8" s="423" t="s">
        <v>485</v>
      </c>
      <c r="B8" s="424">
        <v>13</v>
      </c>
      <c r="C8" s="1314"/>
      <c r="D8" s="490" t="s">
        <v>491</v>
      </c>
      <c r="E8" s="426"/>
      <c r="F8" s="426"/>
      <c r="G8" s="427">
        <f t="shared" si="0"/>
        <v>0</v>
      </c>
      <c r="H8" s="426"/>
      <c r="I8" s="426"/>
      <c r="J8" s="427">
        <f t="shared" si="1"/>
        <v>0</v>
      </c>
    </row>
    <row r="9" spans="1:10" ht="20.100000000000001" customHeight="1">
      <c r="A9" s="423" t="s">
        <v>485</v>
      </c>
      <c r="B9" s="424" t="s">
        <v>492</v>
      </c>
      <c r="C9" s="1314"/>
      <c r="D9" s="490" t="s">
        <v>378</v>
      </c>
      <c r="E9" s="426"/>
      <c r="F9" s="426"/>
      <c r="G9" s="427">
        <f t="shared" si="0"/>
        <v>0</v>
      </c>
      <c r="H9" s="426"/>
      <c r="I9" s="426"/>
      <c r="J9" s="427">
        <f t="shared" si="1"/>
        <v>0</v>
      </c>
    </row>
    <row r="10" spans="1:10" ht="20.100000000000001" customHeight="1">
      <c r="A10" s="423" t="s">
        <v>485</v>
      </c>
      <c r="B10" s="424" t="s">
        <v>492</v>
      </c>
      <c r="C10" s="1297"/>
      <c r="D10" s="491" t="s">
        <v>488</v>
      </c>
      <c r="E10" s="427">
        <f>SUM(E7:E9)</f>
        <v>9983889.8561625481</v>
      </c>
      <c r="F10" s="427">
        <f>SUM(F7:F9)</f>
        <v>0</v>
      </c>
      <c r="G10" s="427">
        <f t="shared" si="0"/>
        <v>9983889.8561625481</v>
      </c>
      <c r="H10" s="427">
        <f>SUM(H7:H9)</f>
        <v>0</v>
      </c>
      <c r="I10" s="427">
        <f>SUM(I7:I9)</f>
        <v>0</v>
      </c>
      <c r="J10" s="427">
        <f t="shared" si="1"/>
        <v>0</v>
      </c>
    </row>
    <row r="11" spans="1:10" ht="20.100000000000001" customHeight="1">
      <c r="A11" s="423" t="s">
        <v>485</v>
      </c>
      <c r="B11" s="424">
        <v>14</v>
      </c>
      <c r="C11" s="1314" t="s">
        <v>493</v>
      </c>
      <c r="D11" s="490" t="s">
        <v>378</v>
      </c>
      <c r="E11" s="426"/>
      <c r="F11" s="426"/>
      <c r="G11" s="427">
        <f t="shared" si="0"/>
        <v>0</v>
      </c>
      <c r="H11" s="426"/>
      <c r="I11" s="426"/>
      <c r="J11" s="427">
        <f t="shared" si="1"/>
        <v>0</v>
      </c>
    </row>
    <row r="12" spans="1:10" ht="20.100000000000001" customHeight="1">
      <c r="A12" s="423" t="s">
        <v>485</v>
      </c>
      <c r="B12" s="424">
        <v>14</v>
      </c>
      <c r="C12" s="1297"/>
      <c r="D12" s="491" t="s">
        <v>488</v>
      </c>
      <c r="E12" s="427">
        <f>SUM(E11)</f>
        <v>0</v>
      </c>
      <c r="F12" s="427">
        <f>SUM(F11)</f>
        <v>0</v>
      </c>
      <c r="G12" s="427">
        <f>SUM(E12:F12)</f>
        <v>0</v>
      </c>
      <c r="H12" s="427">
        <f>SUM(H11)</f>
        <v>0</v>
      </c>
      <c r="I12" s="427">
        <f>SUM(I11)</f>
        <v>0</v>
      </c>
      <c r="J12" s="427">
        <f t="shared" si="1"/>
        <v>0</v>
      </c>
    </row>
    <row r="13" spans="1:10" ht="20.100000000000001" customHeight="1">
      <c r="A13" s="423" t="s">
        <v>485</v>
      </c>
      <c r="B13" s="424">
        <v>1</v>
      </c>
      <c r="C13" s="1313" t="s">
        <v>356</v>
      </c>
      <c r="D13" s="1313"/>
      <c r="E13" s="492">
        <f t="shared" ref="E13:J13" si="2">+E6+E10+E12</f>
        <v>10008889.856162548</v>
      </c>
      <c r="F13" s="492">
        <f t="shared" si="2"/>
        <v>0</v>
      </c>
      <c r="G13" s="492">
        <f t="shared" si="2"/>
        <v>10008889.856162548</v>
      </c>
      <c r="H13" s="492">
        <f t="shared" si="2"/>
        <v>0</v>
      </c>
      <c r="I13" s="492">
        <f t="shared" si="2"/>
        <v>0</v>
      </c>
      <c r="J13" s="492">
        <f t="shared" si="2"/>
        <v>0</v>
      </c>
    </row>
    <row r="14" spans="1:10">
      <c r="E14" s="493"/>
      <c r="F14" s="493"/>
      <c r="G14" s="493"/>
      <c r="H14" s="493"/>
      <c r="I14" s="493"/>
      <c r="J14" s="493"/>
    </row>
  </sheetData>
  <mergeCells count="9">
    <mergeCell ref="A2:A3"/>
    <mergeCell ref="B2:B3"/>
    <mergeCell ref="C2:D3"/>
    <mergeCell ref="E2:G2"/>
    <mergeCell ref="H2:J2"/>
    <mergeCell ref="C4:C6"/>
    <mergeCell ref="C7:C10"/>
    <mergeCell ref="C11:C12"/>
    <mergeCell ref="C13:D13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>
    <oddHeader>&amp;L&amp;K03-049MANUAL DA PRESTAÇÃO DE CONTAS NAS SOCIEDADES COMERCIAIS&amp;R&amp;K03-049Ponto &amp;A do modelo geral de anexo do SNC</oddHeader>
    <oddFooter>&amp;L&amp;K03-049&amp;F&amp;R&amp;K03-049&amp;D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26"/>
  <sheetViews>
    <sheetView showGridLines="0" showZeros="0" topLeftCell="B1" zoomScaleNormal="100" workbookViewId="0">
      <selection activeCell="G50" sqref="G50"/>
    </sheetView>
  </sheetViews>
  <sheetFormatPr defaultRowHeight="12" outlineLevelCol="1"/>
  <cols>
    <col min="1" max="1" width="5.7109375" style="431" hidden="1" customWidth="1" outlineLevel="1"/>
    <col min="2" max="2" width="30.7109375" style="421" customWidth="1" collapsed="1"/>
    <col min="3" max="229" width="10.7109375" style="421" customWidth="1"/>
    <col min="230" max="256" width="9.140625" style="421"/>
    <col min="257" max="257" width="5.7109375" style="421" customWidth="1"/>
    <col min="258" max="258" width="30.7109375" style="421" customWidth="1"/>
    <col min="259" max="485" width="10.7109375" style="421" customWidth="1"/>
    <col min="486" max="512" width="9.140625" style="421"/>
    <col min="513" max="513" width="5.7109375" style="421" customWidth="1"/>
    <col min="514" max="514" width="30.7109375" style="421" customWidth="1"/>
    <col min="515" max="741" width="10.7109375" style="421" customWidth="1"/>
    <col min="742" max="768" width="9.140625" style="421"/>
    <col min="769" max="769" width="5.7109375" style="421" customWidth="1"/>
    <col min="770" max="770" width="30.7109375" style="421" customWidth="1"/>
    <col min="771" max="997" width="10.7109375" style="421" customWidth="1"/>
    <col min="998" max="1024" width="9.140625" style="421"/>
    <col min="1025" max="1025" width="5.7109375" style="421" customWidth="1"/>
    <col min="1026" max="1026" width="30.7109375" style="421" customWidth="1"/>
    <col min="1027" max="1253" width="10.7109375" style="421" customWidth="1"/>
    <col min="1254" max="1280" width="9.140625" style="421"/>
    <col min="1281" max="1281" width="5.7109375" style="421" customWidth="1"/>
    <col min="1282" max="1282" width="30.7109375" style="421" customWidth="1"/>
    <col min="1283" max="1509" width="10.7109375" style="421" customWidth="1"/>
    <col min="1510" max="1536" width="9.140625" style="421"/>
    <col min="1537" max="1537" width="5.7109375" style="421" customWidth="1"/>
    <col min="1538" max="1538" width="30.7109375" style="421" customWidth="1"/>
    <col min="1539" max="1765" width="10.7109375" style="421" customWidth="1"/>
    <col min="1766" max="1792" width="9.140625" style="421"/>
    <col min="1793" max="1793" width="5.7109375" style="421" customWidth="1"/>
    <col min="1794" max="1794" width="30.7109375" style="421" customWidth="1"/>
    <col min="1795" max="2021" width="10.7109375" style="421" customWidth="1"/>
    <col min="2022" max="2048" width="9.140625" style="421"/>
    <col min="2049" max="2049" width="5.7109375" style="421" customWidth="1"/>
    <col min="2050" max="2050" width="30.7109375" style="421" customWidth="1"/>
    <col min="2051" max="2277" width="10.7109375" style="421" customWidth="1"/>
    <col min="2278" max="2304" width="9.140625" style="421"/>
    <col min="2305" max="2305" width="5.7109375" style="421" customWidth="1"/>
    <col min="2306" max="2306" width="30.7109375" style="421" customWidth="1"/>
    <col min="2307" max="2533" width="10.7109375" style="421" customWidth="1"/>
    <col min="2534" max="2560" width="9.140625" style="421"/>
    <col min="2561" max="2561" width="5.7109375" style="421" customWidth="1"/>
    <col min="2562" max="2562" width="30.7109375" style="421" customWidth="1"/>
    <col min="2563" max="2789" width="10.7109375" style="421" customWidth="1"/>
    <col min="2790" max="2816" width="9.140625" style="421"/>
    <col min="2817" max="2817" width="5.7109375" style="421" customWidth="1"/>
    <col min="2818" max="2818" width="30.7109375" style="421" customWidth="1"/>
    <col min="2819" max="3045" width="10.7109375" style="421" customWidth="1"/>
    <col min="3046" max="3072" width="9.140625" style="421"/>
    <col min="3073" max="3073" width="5.7109375" style="421" customWidth="1"/>
    <col min="3074" max="3074" width="30.7109375" style="421" customWidth="1"/>
    <col min="3075" max="3301" width="10.7109375" style="421" customWidth="1"/>
    <col min="3302" max="3328" width="9.140625" style="421"/>
    <col min="3329" max="3329" width="5.7109375" style="421" customWidth="1"/>
    <col min="3330" max="3330" width="30.7109375" style="421" customWidth="1"/>
    <col min="3331" max="3557" width="10.7109375" style="421" customWidth="1"/>
    <col min="3558" max="3584" width="9.140625" style="421"/>
    <col min="3585" max="3585" width="5.7109375" style="421" customWidth="1"/>
    <col min="3586" max="3586" width="30.7109375" style="421" customWidth="1"/>
    <col min="3587" max="3813" width="10.7109375" style="421" customWidth="1"/>
    <col min="3814" max="3840" width="9.140625" style="421"/>
    <col min="3841" max="3841" width="5.7109375" style="421" customWidth="1"/>
    <col min="3842" max="3842" width="30.7109375" style="421" customWidth="1"/>
    <col min="3843" max="4069" width="10.7109375" style="421" customWidth="1"/>
    <col min="4070" max="4096" width="9.140625" style="421"/>
    <col min="4097" max="4097" width="5.7109375" style="421" customWidth="1"/>
    <col min="4098" max="4098" width="30.7109375" style="421" customWidth="1"/>
    <col min="4099" max="4325" width="10.7109375" style="421" customWidth="1"/>
    <col min="4326" max="4352" width="9.140625" style="421"/>
    <col min="4353" max="4353" width="5.7109375" style="421" customWidth="1"/>
    <col min="4354" max="4354" width="30.7109375" style="421" customWidth="1"/>
    <col min="4355" max="4581" width="10.7109375" style="421" customWidth="1"/>
    <col min="4582" max="4608" width="9.140625" style="421"/>
    <col min="4609" max="4609" width="5.7109375" style="421" customWidth="1"/>
    <col min="4610" max="4610" width="30.7109375" style="421" customWidth="1"/>
    <col min="4611" max="4837" width="10.7109375" style="421" customWidth="1"/>
    <col min="4838" max="4864" width="9.140625" style="421"/>
    <col min="4865" max="4865" width="5.7109375" style="421" customWidth="1"/>
    <col min="4866" max="4866" width="30.7109375" style="421" customWidth="1"/>
    <col min="4867" max="5093" width="10.7109375" style="421" customWidth="1"/>
    <col min="5094" max="5120" width="9.140625" style="421"/>
    <col min="5121" max="5121" width="5.7109375" style="421" customWidth="1"/>
    <col min="5122" max="5122" width="30.7109375" style="421" customWidth="1"/>
    <col min="5123" max="5349" width="10.7109375" style="421" customWidth="1"/>
    <col min="5350" max="5376" width="9.140625" style="421"/>
    <col min="5377" max="5377" width="5.7109375" style="421" customWidth="1"/>
    <col min="5378" max="5378" width="30.7109375" style="421" customWidth="1"/>
    <col min="5379" max="5605" width="10.7109375" style="421" customWidth="1"/>
    <col min="5606" max="5632" width="9.140625" style="421"/>
    <col min="5633" max="5633" width="5.7109375" style="421" customWidth="1"/>
    <col min="5634" max="5634" width="30.7109375" style="421" customWidth="1"/>
    <col min="5635" max="5861" width="10.7109375" style="421" customWidth="1"/>
    <col min="5862" max="5888" width="9.140625" style="421"/>
    <col min="5889" max="5889" width="5.7109375" style="421" customWidth="1"/>
    <col min="5890" max="5890" width="30.7109375" style="421" customWidth="1"/>
    <col min="5891" max="6117" width="10.7109375" style="421" customWidth="1"/>
    <col min="6118" max="6144" width="9.140625" style="421"/>
    <col min="6145" max="6145" width="5.7109375" style="421" customWidth="1"/>
    <col min="6146" max="6146" width="30.7109375" style="421" customWidth="1"/>
    <col min="6147" max="6373" width="10.7109375" style="421" customWidth="1"/>
    <col min="6374" max="6400" width="9.140625" style="421"/>
    <col min="6401" max="6401" width="5.7109375" style="421" customWidth="1"/>
    <col min="6402" max="6402" width="30.7109375" style="421" customWidth="1"/>
    <col min="6403" max="6629" width="10.7109375" style="421" customWidth="1"/>
    <col min="6630" max="6656" width="9.140625" style="421"/>
    <col min="6657" max="6657" width="5.7109375" style="421" customWidth="1"/>
    <col min="6658" max="6658" width="30.7109375" style="421" customWidth="1"/>
    <col min="6659" max="6885" width="10.7109375" style="421" customWidth="1"/>
    <col min="6886" max="6912" width="9.140625" style="421"/>
    <col min="6913" max="6913" width="5.7109375" style="421" customWidth="1"/>
    <col min="6914" max="6914" width="30.7109375" style="421" customWidth="1"/>
    <col min="6915" max="7141" width="10.7109375" style="421" customWidth="1"/>
    <col min="7142" max="7168" width="9.140625" style="421"/>
    <col min="7169" max="7169" width="5.7109375" style="421" customWidth="1"/>
    <col min="7170" max="7170" width="30.7109375" style="421" customWidth="1"/>
    <col min="7171" max="7397" width="10.7109375" style="421" customWidth="1"/>
    <col min="7398" max="7424" width="9.140625" style="421"/>
    <col min="7425" max="7425" width="5.7109375" style="421" customWidth="1"/>
    <col min="7426" max="7426" width="30.7109375" style="421" customWidth="1"/>
    <col min="7427" max="7653" width="10.7109375" style="421" customWidth="1"/>
    <col min="7654" max="7680" width="9.140625" style="421"/>
    <col min="7681" max="7681" width="5.7109375" style="421" customWidth="1"/>
    <col min="7682" max="7682" width="30.7109375" style="421" customWidth="1"/>
    <col min="7683" max="7909" width="10.7109375" style="421" customWidth="1"/>
    <col min="7910" max="7936" width="9.140625" style="421"/>
    <col min="7937" max="7937" width="5.7109375" style="421" customWidth="1"/>
    <col min="7938" max="7938" width="30.7109375" style="421" customWidth="1"/>
    <col min="7939" max="8165" width="10.7109375" style="421" customWidth="1"/>
    <col min="8166" max="8192" width="9.140625" style="421"/>
    <col min="8193" max="8193" width="5.7109375" style="421" customWidth="1"/>
    <col min="8194" max="8194" width="30.7109375" style="421" customWidth="1"/>
    <col min="8195" max="8421" width="10.7109375" style="421" customWidth="1"/>
    <col min="8422" max="8448" width="9.140625" style="421"/>
    <col min="8449" max="8449" width="5.7109375" style="421" customWidth="1"/>
    <col min="8450" max="8450" width="30.7109375" style="421" customWidth="1"/>
    <col min="8451" max="8677" width="10.7109375" style="421" customWidth="1"/>
    <col min="8678" max="8704" width="9.140625" style="421"/>
    <col min="8705" max="8705" width="5.7109375" style="421" customWidth="1"/>
    <col min="8706" max="8706" width="30.7109375" style="421" customWidth="1"/>
    <col min="8707" max="8933" width="10.7109375" style="421" customWidth="1"/>
    <col min="8934" max="8960" width="9.140625" style="421"/>
    <col min="8961" max="8961" width="5.7109375" style="421" customWidth="1"/>
    <col min="8962" max="8962" width="30.7109375" style="421" customWidth="1"/>
    <col min="8963" max="9189" width="10.7109375" style="421" customWidth="1"/>
    <col min="9190" max="9216" width="9.140625" style="421"/>
    <col min="9217" max="9217" width="5.7109375" style="421" customWidth="1"/>
    <col min="9218" max="9218" width="30.7109375" style="421" customWidth="1"/>
    <col min="9219" max="9445" width="10.7109375" style="421" customWidth="1"/>
    <col min="9446" max="9472" width="9.140625" style="421"/>
    <col min="9473" max="9473" width="5.7109375" style="421" customWidth="1"/>
    <col min="9474" max="9474" width="30.7109375" style="421" customWidth="1"/>
    <col min="9475" max="9701" width="10.7109375" style="421" customWidth="1"/>
    <col min="9702" max="9728" width="9.140625" style="421"/>
    <col min="9729" max="9729" width="5.7109375" style="421" customWidth="1"/>
    <col min="9730" max="9730" width="30.7109375" style="421" customWidth="1"/>
    <col min="9731" max="9957" width="10.7109375" style="421" customWidth="1"/>
    <col min="9958" max="9984" width="9.140625" style="421"/>
    <col min="9985" max="9985" width="5.7109375" style="421" customWidth="1"/>
    <col min="9986" max="9986" width="30.7109375" style="421" customWidth="1"/>
    <col min="9987" max="10213" width="10.7109375" style="421" customWidth="1"/>
    <col min="10214" max="10240" width="9.140625" style="421"/>
    <col min="10241" max="10241" width="5.7109375" style="421" customWidth="1"/>
    <col min="10242" max="10242" width="30.7109375" style="421" customWidth="1"/>
    <col min="10243" max="10469" width="10.7109375" style="421" customWidth="1"/>
    <col min="10470" max="10496" width="9.140625" style="421"/>
    <col min="10497" max="10497" width="5.7109375" style="421" customWidth="1"/>
    <col min="10498" max="10498" width="30.7109375" style="421" customWidth="1"/>
    <col min="10499" max="10725" width="10.7109375" style="421" customWidth="1"/>
    <col min="10726" max="10752" width="9.140625" style="421"/>
    <col min="10753" max="10753" width="5.7109375" style="421" customWidth="1"/>
    <col min="10754" max="10754" width="30.7109375" style="421" customWidth="1"/>
    <col min="10755" max="10981" width="10.7109375" style="421" customWidth="1"/>
    <col min="10982" max="11008" width="9.140625" style="421"/>
    <col min="11009" max="11009" width="5.7109375" style="421" customWidth="1"/>
    <col min="11010" max="11010" width="30.7109375" style="421" customWidth="1"/>
    <col min="11011" max="11237" width="10.7109375" style="421" customWidth="1"/>
    <col min="11238" max="11264" width="9.140625" style="421"/>
    <col min="11265" max="11265" width="5.7109375" style="421" customWidth="1"/>
    <col min="11266" max="11266" width="30.7109375" style="421" customWidth="1"/>
    <col min="11267" max="11493" width="10.7109375" style="421" customWidth="1"/>
    <col min="11494" max="11520" width="9.140625" style="421"/>
    <col min="11521" max="11521" width="5.7109375" style="421" customWidth="1"/>
    <col min="11522" max="11522" width="30.7109375" style="421" customWidth="1"/>
    <col min="11523" max="11749" width="10.7109375" style="421" customWidth="1"/>
    <col min="11750" max="11776" width="9.140625" style="421"/>
    <col min="11777" max="11777" width="5.7109375" style="421" customWidth="1"/>
    <col min="11778" max="11778" width="30.7109375" style="421" customWidth="1"/>
    <col min="11779" max="12005" width="10.7109375" style="421" customWidth="1"/>
    <col min="12006" max="12032" width="9.140625" style="421"/>
    <col min="12033" max="12033" width="5.7109375" style="421" customWidth="1"/>
    <col min="12034" max="12034" width="30.7109375" style="421" customWidth="1"/>
    <col min="12035" max="12261" width="10.7109375" style="421" customWidth="1"/>
    <col min="12262" max="12288" width="9.140625" style="421"/>
    <col min="12289" max="12289" width="5.7109375" style="421" customWidth="1"/>
    <col min="12290" max="12290" width="30.7109375" style="421" customWidth="1"/>
    <col min="12291" max="12517" width="10.7109375" style="421" customWidth="1"/>
    <col min="12518" max="12544" width="9.140625" style="421"/>
    <col min="12545" max="12545" width="5.7109375" style="421" customWidth="1"/>
    <col min="12546" max="12546" width="30.7109375" style="421" customWidth="1"/>
    <col min="12547" max="12773" width="10.7109375" style="421" customWidth="1"/>
    <col min="12774" max="12800" width="9.140625" style="421"/>
    <col min="12801" max="12801" width="5.7109375" style="421" customWidth="1"/>
    <col min="12802" max="12802" width="30.7109375" style="421" customWidth="1"/>
    <col min="12803" max="13029" width="10.7109375" style="421" customWidth="1"/>
    <col min="13030" max="13056" width="9.140625" style="421"/>
    <col min="13057" max="13057" width="5.7109375" style="421" customWidth="1"/>
    <col min="13058" max="13058" width="30.7109375" style="421" customWidth="1"/>
    <col min="13059" max="13285" width="10.7109375" style="421" customWidth="1"/>
    <col min="13286" max="13312" width="9.140625" style="421"/>
    <col min="13313" max="13313" width="5.7109375" style="421" customWidth="1"/>
    <col min="13314" max="13314" width="30.7109375" style="421" customWidth="1"/>
    <col min="13315" max="13541" width="10.7109375" style="421" customWidth="1"/>
    <col min="13542" max="13568" width="9.140625" style="421"/>
    <col min="13569" max="13569" width="5.7109375" style="421" customWidth="1"/>
    <col min="13570" max="13570" width="30.7109375" style="421" customWidth="1"/>
    <col min="13571" max="13797" width="10.7109375" style="421" customWidth="1"/>
    <col min="13798" max="13824" width="9.140625" style="421"/>
    <col min="13825" max="13825" width="5.7109375" style="421" customWidth="1"/>
    <col min="13826" max="13826" width="30.7109375" style="421" customWidth="1"/>
    <col min="13827" max="14053" width="10.7109375" style="421" customWidth="1"/>
    <col min="14054" max="14080" width="9.140625" style="421"/>
    <col min="14081" max="14081" width="5.7109375" style="421" customWidth="1"/>
    <col min="14082" max="14082" width="30.7109375" style="421" customWidth="1"/>
    <col min="14083" max="14309" width="10.7109375" style="421" customWidth="1"/>
    <col min="14310" max="14336" width="9.140625" style="421"/>
    <col min="14337" max="14337" width="5.7109375" style="421" customWidth="1"/>
    <col min="14338" max="14338" width="30.7109375" style="421" customWidth="1"/>
    <col min="14339" max="14565" width="10.7109375" style="421" customWidth="1"/>
    <col min="14566" max="14592" width="9.140625" style="421"/>
    <col min="14593" max="14593" width="5.7109375" style="421" customWidth="1"/>
    <col min="14594" max="14594" width="30.7109375" style="421" customWidth="1"/>
    <col min="14595" max="14821" width="10.7109375" style="421" customWidth="1"/>
    <col min="14822" max="14848" width="9.140625" style="421"/>
    <col min="14849" max="14849" width="5.7109375" style="421" customWidth="1"/>
    <col min="14850" max="14850" width="30.7109375" style="421" customWidth="1"/>
    <col min="14851" max="15077" width="10.7109375" style="421" customWidth="1"/>
    <col min="15078" max="15104" width="9.140625" style="421"/>
    <col min="15105" max="15105" width="5.7109375" style="421" customWidth="1"/>
    <col min="15106" max="15106" width="30.7109375" style="421" customWidth="1"/>
    <col min="15107" max="15333" width="10.7109375" style="421" customWidth="1"/>
    <col min="15334" max="15360" width="9.140625" style="421"/>
    <col min="15361" max="15361" width="5.7109375" style="421" customWidth="1"/>
    <col min="15362" max="15362" width="30.7109375" style="421" customWidth="1"/>
    <col min="15363" max="15589" width="10.7109375" style="421" customWidth="1"/>
    <col min="15590" max="15616" width="9.140625" style="421"/>
    <col min="15617" max="15617" width="5.7109375" style="421" customWidth="1"/>
    <col min="15618" max="15618" width="30.7109375" style="421" customWidth="1"/>
    <col min="15619" max="15845" width="10.7109375" style="421" customWidth="1"/>
    <col min="15846" max="15872" width="9.140625" style="421"/>
    <col min="15873" max="15873" width="5.7109375" style="421" customWidth="1"/>
    <col min="15874" max="15874" width="30.7109375" style="421" customWidth="1"/>
    <col min="15875" max="16101" width="10.7109375" style="421" customWidth="1"/>
    <col min="16102" max="16128" width="9.140625" style="421"/>
    <col min="16129" max="16129" width="5.7109375" style="421" customWidth="1"/>
    <col min="16130" max="16130" width="30.7109375" style="421" customWidth="1"/>
    <col min="16131" max="16357" width="10.7109375" style="421" customWidth="1"/>
    <col min="16358" max="16384" width="9.140625" style="421"/>
  </cols>
  <sheetData>
    <row r="1" spans="1:13" ht="20.100000000000001" customHeight="1">
      <c r="M1" s="420" t="s">
        <v>389</v>
      </c>
    </row>
    <row r="2" spans="1:13" ht="24.95" customHeight="1">
      <c r="A2" s="1303" t="s">
        <v>500</v>
      </c>
      <c r="B2" s="1301" t="s">
        <v>501</v>
      </c>
      <c r="C2" s="1316" t="s">
        <v>502</v>
      </c>
      <c r="D2" s="1316" t="s">
        <v>503</v>
      </c>
      <c r="E2" s="1318" t="s">
        <v>51</v>
      </c>
      <c r="F2" s="1316" t="s">
        <v>52</v>
      </c>
      <c r="G2" s="1320" t="s">
        <v>504</v>
      </c>
      <c r="H2" s="1321"/>
      <c r="I2" s="1316" t="s">
        <v>55</v>
      </c>
      <c r="J2" s="1318" t="s">
        <v>505</v>
      </c>
      <c r="K2" s="1316" t="s">
        <v>57</v>
      </c>
      <c r="L2" s="1316" t="s">
        <v>84</v>
      </c>
      <c r="M2" s="1316" t="s">
        <v>356</v>
      </c>
    </row>
    <row r="3" spans="1:13" ht="24.95" customHeight="1">
      <c r="A3" s="1304"/>
      <c r="B3" s="1302"/>
      <c r="C3" s="1317"/>
      <c r="D3" s="1317"/>
      <c r="E3" s="1319"/>
      <c r="F3" s="1317"/>
      <c r="G3" s="496" t="s">
        <v>53</v>
      </c>
      <c r="H3" s="496" t="s">
        <v>54</v>
      </c>
      <c r="I3" s="1317"/>
      <c r="J3" s="1319"/>
      <c r="K3" s="1317"/>
      <c r="L3" s="1317"/>
      <c r="M3" s="1317"/>
    </row>
    <row r="4" spans="1:13" ht="20.100000000000001" customHeight="1">
      <c r="A4" s="423" t="s">
        <v>506</v>
      </c>
      <c r="B4" s="494" t="s">
        <v>507</v>
      </c>
      <c r="C4" s="515">
        <f>DACP!D20</f>
        <v>3000000</v>
      </c>
      <c r="D4" s="427"/>
      <c r="E4" s="427"/>
      <c r="F4" s="427"/>
      <c r="G4" s="427"/>
      <c r="H4" s="427"/>
      <c r="I4" s="427"/>
      <c r="J4" s="427"/>
      <c r="K4" s="427"/>
      <c r="L4" s="427"/>
      <c r="M4" s="427">
        <f t="shared" ref="M4:M14" si="0">SUM(C4:L4)</f>
        <v>3000000</v>
      </c>
    </row>
    <row r="5" spans="1:13" ht="20.100000000000001" customHeight="1">
      <c r="A5" s="423" t="s">
        <v>506</v>
      </c>
      <c r="B5" s="497" t="s">
        <v>508</v>
      </c>
      <c r="C5" s="426"/>
      <c r="D5" s="426"/>
      <c r="E5" s="426"/>
      <c r="F5" s="426"/>
      <c r="G5" s="426"/>
      <c r="H5" s="426"/>
      <c r="I5" s="426"/>
      <c r="J5" s="426"/>
      <c r="K5" s="426"/>
      <c r="L5" s="426"/>
      <c r="M5" s="427">
        <f t="shared" si="0"/>
        <v>0</v>
      </c>
    </row>
    <row r="6" spans="1:13" ht="20.100000000000001" customHeight="1">
      <c r="A6" s="423" t="s">
        <v>506</v>
      </c>
      <c r="B6" s="497" t="s">
        <v>509</v>
      </c>
      <c r="C6" s="426"/>
      <c r="D6" s="426"/>
      <c r="E6" s="426"/>
      <c r="F6" s="426"/>
      <c r="G6" s="426"/>
      <c r="H6" s="426"/>
      <c r="I6" s="426"/>
      <c r="J6" s="426"/>
      <c r="K6" s="426"/>
      <c r="L6" s="426"/>
      <c r="M6" s="427">
        <f t="shared" si="0"/>
        <v>0</v>
      </c>
    </row>
    <row r="7" spans="1:13" ht="20.100000000000001" customHeight="1">
      <c r="A7" s="423" t="s">
        <v>506</v>
      </c>
      <c r="B7" s="497" t="s">
        <v>510</v>
      </c>
      <c r="C7" s="426"/>
      <c r="D7" s="426"/>
      <c r="E7" s="426"/>
      <c r="F7" s="426"/>
      <c r="G7" s="426"/>
      <c r="H7" s="426"/>
      <c r="I7" s="426"/>
      <c r="J7" s="426"/>
      <c r="K7" s="426"/>
      <c r="L7" s="426"/>
      <c r="M7" s="427">
        <f t="shared" si="0"/>
        <v>0</v>
      </c>
    </row>
    <row r="8" spans="1:13" ht="20.100000000000001" customHeight="1">
      <c r="A8" s="423" t="s">
        <v>506</v>
      </c>
      <c r="B8" s="497" t="s">
        <v>511</v>
      </c>
      <c r="C8" s="426"/>
      <c r="D8" s="426"/>
      <c r="E8" s="426"/>
      <c r="F8" s="426"/>
      <c r="G8" s="426"/>
      <c r="H8" s="426"/>
      <c r="I8" s="426"/>
      <c r="J8" s="426"/>
      <c r="K8" s="426"/>
      <c r="L8" s="426"/>
      <c r="M8" s="427">
        <f>SUM(C8:L8)</f>
        <v>0</v>
      </c>
    </row>
    <row r="9" spans="1:13" ht="20.100000000000001" customHeight="1">
      <c r="A9" s="423" t="s">
        <v>506</v>
      </c>
      <c r="B9" s="497" t="s">
        <v>512</v>
      </c>
      <c r="C9" s="426"/>
      <c r="D9" s="426"/>
      <c r="E9" s="426"/>
      <c r="F9" s="426"/>
      <c r="G9" s="426"/>
      <c r="H9" s="426"/>
      <c r="I9" s="426"/>
      <c r="J9" s="426"/>
      <c r="K9" s="426"/>
      <c r="L9" s="426"/>
      <c r="M9" s="427">
        <f t="shared" si="0"/>
        <v>0</v>
      </c>
    </row>
    <row r="10" spans="1:13" ht="20.100000000000001" customHeight="1">
      <c r="A10" s="423" t="s">
        <v>506</v>
      </c>
      <c r="B10" s="497" t="s">
        <v>513</v>
      </c>
      <c r="C10" s="426"/>
      <c r="D10" s="426"/>
      <c r="E10" s="426"/>
      <c r="F10" s="426"/>
      <c r="G10" s="426"/>
      <c r="H10" s="426"/>
      <c r="I10" s="426"/>
      <c r="J10" s="426"/>
      <c r="K10" s="426"/>
      <c r="L10" s="426"/>
      <c r="M10" s="427">
        <f t="shared" si="0"/>
        <v>0</v>
      </c>
    </row>
    <row r="11" spans="1:13" ht="20.100000000000001" customHeight="1">
      <c r="A11" s="423" t="s">
        <v>506</v>
      </c>
      <c r="B11" s="497" t="s">
        <v>475</v>
      </c>
      <c r="C11" s="426"/>
      <c r="D11" s="426"/>
      <c r="E11" s="426"/>
      <c r="F11" s="426"/>
      <c r="G11" s="426"/>
      <c r="H11" s="426"/>
      <c r="I11" s="426"/>
      <c r="J11" s="426"/>
      <c r="K11" s="426"/>
      <c r="L11" s="426"/>
      <c r="M11" s="427">
        <f t="shared" si="0"/>
        <v>0</v>
      </c>
    </row>
    <row r="12" spans="1:13" ht="20.100000000000001" customHeight="1">
      <c r="A12" s="423" t="s">
        <v>506</v>
      </c>
      <c r="B12" s="497" t="s">
        <v>514</v>
      </c>
      <c r="C12" s="426"/>
      <c r="D12" s="426"/>
      <c r="E12" s="426"/>
      <c r="F12" s="426"/>
      <c r="G12" s="426"/>
      <c r="H12" s="426"/>
      <c r="I12" s="426"/>
      <c r="J12" s="426"/>
      <c r="K12" s="426"/>
      <c r="L12" s="426"/>
      <c r="M12" s="427">
        <f t="shared" si="0"/>
        <v>0</v>
      </c>
    </row>
    <row r="13" spans="1:13" ht="20.100000000000001" customHeight="1">
      <c r="A13" s="423" t="s">
        <v>506</v>
      </c>
      <c r="B13" s="497" t="s">
        <v>84</v>
      </c>
      <c r="C13" s="426"/>
      <c r="D13" s="426"/>
      <c r="E13" s="426"/>
      <c r="F13" s="426"/>
      <c r="G13" s="426"/>
      <c r="H13" s="426"/>
      <c r="I13" s="426"/>
      <c r="J13" s="426"/>
      <c r="K13" s="426"/>
      <c r="L13" s="426"/>
      <c r="M13" s="427">
        <f t="shared" si="0"/>
        <v>0</v>
      </c>
    </row>
    <row r="14" spans="1:13" ht="20.100000000000001" customHeight="1">
      <c r="A14" s="423" t="s">
        <v>506</v>
      </c>
      <c r="B14" s="497" t="s">
        <v>378</v>
      </c>
      <c r="C14" s="426"/>
      <c r="D14" s="426"/>
      <c r="E14" s="426"/>
      <c r="F14" s="426"/>
      <c r="G14" s="426"/>
      <c r="H14" s="426"/>
      <c r="I14" s="426"/>
      <c r="J14" s="426"/>
      <c r="K14" s="426"/>
      <c r="L14" s="426"/>
      <c r="M14" s="427">
        <f t="shared" si="0"/>
        <v>0</v>
      </c>
    </row>
    <row r="15" spans="1:13" ht="20.100000000000001" customHeight="1">
      <c r="A15" s="423" t="s">
        <v>506</v>
      </c>
      <c r="B15" s="494" t="s">
        <v>515</v>
      </c>
      <c r="C15" s="427">
        <f>SUM(C4:C14)</f>
        <v>3000000</v>
      </c>
      <c r="D15" s="427">
        <f>SUM(D4:D14)</f>
        <v>0</v>
      </c>
      <c r="E15" s="427">
        <f t="shared" ref="E15:M15" si="1">SUM(E4:E14)</f>
        <v>0</v>
      </c>
      <c r="F15" s="427">
        <f t="shared" si="1"/>
        <v>0</v>
      </c>
      <c r="G15" s="427">
        <f t="shared" si="1"/>
        <v>0</v>
      </c>
      <c r="H15" s="427">
        <f t="shared" si="1"/>
        <v>0</v>
      </c>
      <c r="I15" s="427">
        <f t="shared" si="1"/>
        <v>0</v>
      </c>
      <c r="J15" s="427">
        <f t="shared" si="1"/>
        <v>0</v>
      </c>
      <c r="K15" s="427">
        <f t="shared" si="1"/>
        <v>0</v>
      </c>
      <c r="L15" s="427">
        <f t="shared" si="1"/>
        <v>0</v>
      </c>
      <c r="M15" s="427">
        <f t="shared" si="1"/>
        <v>3000000</v>
      </c>
    </row>
    <row r="16" spans="1:13" ht="20.100000000000001" customHeight="1">
      <c r="A16" s="423" t="s">
        <v>506</v>
      </c>
      <c r="B16" s="497" t="s">
        <v>508</v>
      </c>
      <c r="C16" s="426"/>
      <c r="D16" s="426"/>
      <c r="E16" s="426"/>
      <c r="F16" s="426"/>
      <c r="G16" s="426"/>
      <c r="H16" s="426"/>
      <c r="I16" s="426"/>
      <c r="J16" s="426"/>
      <c r="K16" s="426"/>
      <c r="L16" s="426"/>
      <c r="M16" s="427">
        <f t="shared" ref="M16:M25" si="2">SUM(C16:L16)</f>
        <v>0</v>
      </c>
    </row>
    <row r="17" spans="1:13" ht="20.100000000000001" customHeight="1">
      <c r="A17" s="423" t="s">
        <v>506</v>
      </c>
      <c r="B17" s="497" t="s">
        <v>509</v>
      </c>
      <c r="C17" s="426"/>
      <c r="D17" s="426"/>
      <c r="E17" s="426"/>
      <c r="F17" s="426"/>
      <c r="G17" s="426"/>
      <c r="H17" s="426"/>
      <c r="I17" s="426"/>
      <c r="J17" s="426"/>
      <c r="K17" s="426"/>
      <c r="L17" s="426"/>
      <c r="M17" s="427">
        <f t="shared" si="2"/>
        <v>0</v>
      </c>
    </row>
    <row r="18" spans="1:13" ht="20.100000000000001" customHeight="1">
      <c r="A18" s="423" t="s">
        <v>506</v>
      </c>
      <c r="B18" s="497" t="s">
        <v>510</v>
      </c>
      <c r="C18" s="426"/>
      <c r="D18" s="426"/>
      <c r="E18" s="426"/>
      <c r="F18" s="426"/>
      <c r="G18" s="426"/>
      <c r="H18" s="426"/>
      <c r="I18" s="426"/>
      <c r="J18" s="426"/>
      <c r="K18" s="426"/>
      <c r="L18" s="426"/>
      <c r="M18" s="427">
        <f t="shared" si="2"/>
        <v>0</v>
      </c>
    </row>
    <row r="19" spans="1:13" ht="20.100000000000001" customHeight="1">
      <c r="A19" s="423" t="s">
        <v>506</v>
      </c>
      <c r="B19" s="497" t="s">
        <v>511</v>
      </c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7">
        <f t="shared" si="2"/>
        <v>0</v>
      </c>
    </row>
    <row r="20" spans="1:13" ht="20.100000000000001" customHeight="1">
      <c r="A20" s="423" t="s">
        <v>506</v>
      </c>
      <c r="B20" s="497" t="s">
        <v>512</v>
      </c>
      <c r="C20" s="426"/>
      <c r="D20" s="426"/>
      <c r="E20" s="426"/>
      <c r="F20" s="426"/>
      <c r="G20" s="426"/>
      <c r="H20" s="426"/>
      <c r="I20" s="426"/>
      <c r="J20" s="426"/>
      <c r="K20" s="426"/>
      <c r="L20" s="426"/>
      <c r="M20" s="427">
        <f t="shared" si="2"/>
        <v>0</v>
      </c>
    </row>
    <row r="21" spans="1:13" ht="20.100000000000001" customHeight="1">
      <c r="A21" s="423" t="s">
        <v>506</v>
      </c>
      <c r="B21" s="497" t="s">
        <v>513</v>
      </c>
      <c r="C21" s="426"/>
      <c r="D21" s="426"/>
      <c r="E21" s="426"/>
      <c r="F21" s="426"/>
      <c r="G21" s="426">
        <f>DACP!H26</f>
        <v>355556.72323333332</v>
      </c>
      <c r="H21" s="426">
        <f>DACP!I26</f>
        <v>355556.72323333332</v>
      </c>
      <c r="I21" s="426"/>
      <c r="J21" s="426"/>
      <c r="K21" s="426"/>
      <c r="L21" s="426"/>
      <c r="M21" s="427">
        <f t="shared" si="2"/>
        <v>711113.44646666665</v>
      </c>
    </row>
    <row r="22" spans="1:13" ht="20.100000000000001" customHeight="1">
      <c r="A22" s="423" t="s">
        <v>506</v>
      </c>
      <c r="B22" s="497" t="s">
        <v>475</v>
      </c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7">
        <f t="shared" si="2"/>
        <v>0</v>
      </c>
    </row>
    <row r="23" spans="1:13" ht="20.100000000000001" customHeight="1">
      <c r="A23" s="423" t="s">
        <v>506</v>
      </c>
      <c r="B23" s="497" t="s">
        <v>514</v>
      </c>
      <c r="C23" s="426"/>
      <c r="D23" s="426"/>
      <c r="E23" s="426"/>
      <c r="F23" s="426"/>
      <c r="G23" s="426"/>
      <c r="H23" s="426"/>
      <c r="I23" s="426"/>
      <c r="J23" s="426"/>
      <c r="K23" s="426"/>
      <c r="L23" s="426"/>
      <c r="M23" s="427">
        <f t="shared" si="2"/>
        <v>0</v>
      </c>
    </row>
    <row r="24" spans="1:13" ht="20.100000000000001" customHeight="1">
      <c r="A24" s="423" t="s">
        <v>506</v>
      </c>
      <c r="B24" s="497" t="s">
        <v>84</v>
      </c>
      <c r="C24" s="426"/>
      <c r="D24" s="426"/>
      <c r="E24" s="426"/>
      <c r="F24" s="426"/>
      <c r="G24" s="426"/>
      <c r="H24" s="426"/>
      <c r="I24" s="426"/>
      <c r="J24" s="426"/>
      <c r="K24" s="426"/>
      <c r="L24" s="426">
        <f>DACP!N26</f>
        <v>6400021.0181999998</v>
      </c>
      <c r="M24" s="427">
        <f t="shared" si="2"/>
        <v>6400021.0181999998</v>
      </c>
    </row>
    <row r="25" spans="1:13" ht="20.100000000000001" customHeight="1">
      <c r="A25" s="423" t="s">
        <v>506</v>
      </c>
      <c r="B25" s="497" t="s">
        <v>378</v>
      </c>
      <c r="C25" s="426"/>
      <c r="D25" s="426"/>
      <c r="E25" s="426"/>
      <c r="F25" s="426"/>
      <c r="G25" s="426"/>
      <c r="H25" s="426"/>
      <c r="I25" s="426"/>
      <c r="J25" s="426"/>
      <c r="K25" s="426"/>
      <c r="L25" s="426"/>
      <c r="M25" s="427">
        <f t="shared" si="2"/>
        <v>0</v>
      </c>
    </row>
    <row r="26" spans="1:13" ht="20.100000000000001" customHeight="1">
      <c r="A26" s="423" t="s">
        <v>506</v>
      </c>
      <c r="B26" s="494" t="s">
        <v>516</v>
      </c>
      <c r="C26" s="427">
        <f>SUM(C15:C25)</f>
        <v>3000000</v>
      </c>
      <c r="D26" s="427">
        <f>SUM(D15:D25)</f>
        <v>0</v>
      </c>
      <c r="E26" s="427">
        <f t="shared" ref="E26:L26" si="3">SUM(E15:E25)</f>
        <v>0</v>
      </c>
      <c r="F26" s="427">
        <f t="shared" si="3"/>
        <v>0</v>
      </c>
      <c r="G26" s="427">
        <f t="shared" si="3"/>
        <v>355556.72323333332</v>
      </c>
      <c r="H26" s="427">
        <f t="shared" si="3"/>
        <v>355556.72323333332</v>
      </c>
      <c r="I26" s="427">
        <f t="shared" si="3"/>
        <v>0</v>
      </c>
      <c r="J26" s="427">
        <f t="shared" si="3"/>
        <v>0</v>
      </c>
      <c r="K26" s="427">
        <f t="shared" si="3"/>
        <v>0</v>
      </c>
      <c r="L26" s="427">
        <f t="shared" si="3"/>
        <v>6400021.0181999998</v>
      </c>
      <c r="M26" s="427">
        <f>SUM(M15:M25)</f>
        <v>10111134.464666666</v>
      </c>
    </row>
  </sheetData>
  <mergeCells count="12">
    <mergeCell ref="M2:M3"/>
    <mergeCell ref="A2:A3"/>
    <mergeCell ref="B2:B3"/>
    <mergeCell ref="C2:C3"/>
    <mergeCell ref="D2:D3"/>
    <mergeCell ref="E2:E3"/>
    <mergeCell ref="F2:F3"/>
    <mergeCell ref="G2:H2"/>
    <mergeCell ref="I2:I3"/>
    <mergeCell ref="J2:J3"/>
    <mergeCell ref="K2:K3"/>
    <mergeCell ref="L2:L3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4" orientation="landscape" r:id="rId1"/>
  <headerFooter scaleWithDoc="0">
    <oddHeader>&amp;L&amp;K03-049MANUAL DE PRESTAÇÃO DE CONTAS NAS SOCIEDADES COMERCIAIS&amp;R&amp;K03-049Ponto &amp;A do anexo da NCM</oddHeader>
    <oddFooter>&amp;L&amp;K03-049&amp;F&amp;R&amp;K03-049&amp;D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E9"/>
  <sheetViews>
    <sheetView showGridLines="0" showZeros="0" zoomScaleNormal="100" workbookViewId="0">
      <selection activeCell="E22" sqref="E22"/>
    </sheetView>
  </sheetViews>
  <sheetFormatPr defaultColWidth="10.7109375" defaultRowHeight="12"/>
  <cols>
    <col min="1" max="1" width="17.5703125" style="421" customWidth="1"/>
    <col min="2" max="2" width="29" style="421" customWidth="1" collapsed="1"/>
    <col min="3" max="3" width="11.28515625" style="421" bestFit="1" customWidth="1"/>
    <col min="4" max="5" width="10.7109375" style="421" customWidth="1"/>
    <col min="6" max="6" width="9.140625" style="421" customWidth="1"/>
    <col min="7" max="254" width="10.7109375" style="421"/>
    <col min="255" max="255" width="5.7109375" style="421" customWidth="1"/>
    <col min="256" max="256" width="17.5703125" style="421" customWidth="1"/>
    <col min="257" max="257" width="29" style="421" customWidth="1"/>
    <col min="258" max="261" width="10.7109375" style="421" customWidth="1"/>
    <col min="262" max="262" width="9.140625" style="421" customWidth="1"/>
    <col min="263" max="510" width="10.7109375" style="421"/>
    <col min="511" max="511" width="5.7109375" style="421" customWidth="1"/>
    <col min="512" max="512" width="17.5703125" style="421" customWidth="1"/>
    <col min="513" max="513" width="29" style="421" customWidth="1"/>
    <col min="514" max="517" width="10.7109375" style="421" customWidth="1"/>
    <col min="518" max="518" width="9.140625" style="421" customWidth="1"/>
    <col min="519" max="766" width="10.7109375" style="421"/>
    <col min="767" max="767" width="5.7109375" style="421" customWidth="1"/>
    <col min="768" max="768" width="17.5703125" style="421" customWidth="1"/>
    <col min="769" max="769" width="29" style="421" customWidth="1"/>
    <col min="770" max="773" width="10.7109375" style="421" customWidth="1"/>
    <col min="774" max="774" width="9.140625" style="421" customWidth="1"/>
    <col min="775" max="1022" width="10.7109375" style="421"/>
    <col min="1023" max="1023" width="5.7109375" style="421" customWidth="1"/>
    <col min="1024" max="1024" width="17.5703125" style="421" customWidth="1"/>
    <col min="1025" max="1025" width="29" style="421" customWidth="1"/>
    <col min="1026" max="1029" width="10.7109375" style="421" customWidth="1"/>
    <col min="1030" max="1030" width="9.140625" style="421" customWidth="1"/>
    <col min="1031" max="1278" width="10.7109375" style="421"/>
    <col min="1279" max="1279" width="5.7109375" style="421" customWidth="1"/>
    <col min="1280" max="1280" width="17.5703125" style="421" customWidth="1"/>
    <col min="1281" max="1281" width="29" style="421" customWidth="1"/>
    <col min="1282" max="1285" width="10.7109375" style="421" customWidth="1"/>
    <col min="1286" max="1286" width="9.140625" style="421" customWidth="1"/>
    <col min="1287" max="1534" width="10.7109375" style="421"/>
    <col min="1535" max="1535" width="5.7109375" style="421" customWidth="1"/>
    <col min="1536" max="1536" width="17.5703125" style="421" customWidth="1"/>
    <col min="1537" max="1537" width="29" style="421" customWidth="1"/>
    <col min="1538" max="1541" width="10.7109375" style="421" customWidth="1"/>
    <col min="1542" max="1542" width="9.140625" style="421" customWidth="1"/>
    <col min="1543" max="1790" width="10.7109375" style="421"/>
    <col min="1791" max="1791" width="5.7109375" style="421" customWidth="1"/>
    <col min="1792" max="1792" width="17.5703125" style="421" customWidth="1"/>
    <col min="1793" max="1793" width="29" style="421" customWidth="1"/>
    <col min="1794" max="1797" width="10.7109375" style="421" customWidth="1"/>
    <col min="1798" max="1798" width="9.140625" style="421" customWidth="1"/>
    <col min="1799" max="2046" width="10.7109375" style="421"/>
    <col min="2047" max="2047" width="5.7109375" style="421" customWidth="1"/>
    <col min="2048" max="2048" width="17.5703125" style="421" customWidth="1"/>
    <col min="2049" max="2049" width="29" style="421" customWidth="1"/>
    <col min="2050" max="2053" width="10.7109375" style="421" customWidth="1"/>
    <col min="2054" max="2054" width="9.140625" style="421" customWidth="1"/>
    <col min="2055" max="2302" width="10.7109375" style="421"/>
    <col min="2303" max="2303" width="5.7109375" style="421" customWidth="1"/>
    <col min="2304" max="2304" width="17.5703125" style="421" customWidth="1"/>
    <col min="2305" max="2305" width="29" style="421" customWidth="1"/>
    <col min="2306" max="2309" width="10.7109375" style="421" customWidth="1"/>
    <col min="2310" max="2310" width="9.140625" style="421" customWidth="1"/>
    <col min="2311" max="2558" width="10.7109375" style="421"/>
    <col min="2559" max="2559" width="5.7109375" style="421" customWidth="1"/>
    <col min="2560" max="2560" width="17.5703125" style="421" customWidth="1"/>
    <col min="2561" max="2561" width="29" style="421" customWidth="1"/>
    <col min="2562" max="2565" width="10.7109375" style="421" customWidth="1"/>
    <col min="2566" max="2566" width="9.140625" style="421" customWidth="1"/>
    <col min="2567" max="2814" width="10.7109375" style="421"/>
    <col min="2815" max="2815" width="5.7109375" style="421" customWidth="1"/>
    <col min="2816" max="2816" width="17.5703125" style="421" customWidth="1"/>
    <col min="2817" max="2817" width="29" style="421" customWidth="1"/>
    <col min="2818" max="2821" width="10.7109375" style="421" customWidth="1"/>
    <col min="2822" max="2822" width="9.140625" style="421" customWidth="1"/>
    <col min="2823" max="3070" width="10.7109375" style="421"/>
    <col min="3071" max="3071" width="5.7109375" style="421" customWidth="1"/>
    <col min="3072" max="3072" width="17.5703125" style="421" customWidth="1"/>
    <col min="3073" max="3073" width="29" style="421" customWidth="1"/>
    <col min="3074" max="3077" width="10.7109375" style="421" customWidth="1"/>
    <col min="3078" max="3078" width="9.140625" style="421" customWidth="1"/>
    <col min="3079" max="3326" width="10.7109375" style="421"/>
    <col min="3327" max="3327" width="5.7109375" style="421" customWidth="1"/>
    <col min="3328" max="3328" width="17.5703125" style="421" customWidth="1"/>
    <col min="3329" max="3329" width="29" style="421" customWidth="1"/>
    <col min="3330" max="3333" width="10.7109375" style="421" customWidth="1"/>
    <col min="3334" max="3334" width="9.140625" style="421" customWidth="1"/>
    <col min="3335" max="3582" width="10.7109375" style="421"/>
    <col min="3583" max="3583" width="5.7109375" style="421" customWidth="1"/>
    <col min="3584" max="3584" width="17.5703125" style="421" customWidth="1"/>
    <col min="3585" max="3585" width="29" style="421" customWidth="1"/>
    <col min="3586" max="3589" width="10.7109375" style="421" customWidth="1"/>
    <col min="3590" max="3590" width="9.140625" style="421" customWidth="1"/>
    <col min="3591" max="3838" width="10.7109375" style="421"/>
    <col min="3839" max="3839" width="5.7109375" style="421" customWidth="1"/>
    <col min="3840" max="3840" width="17.5703125" style="421" customWidth="1"/>
    <col min="3841" max="3841" width="29" style="421" customWidth="1"/>
    <col min="3842" max="3845" width="10.7109375" style="421" customWidth="1"/>
    <col min="3846" max="3846" width="9.140625" style="421" customWidth="1"/>
    <col min="3847" max="4094" width="10.7109375" style="421"/>
    <col min="4095" max="4095" width="5.7109375" style="421" customWidth="1"/>
    <col min="4096" max="4096" width="17.5703125" style="421" customWidth="1"/>
    <col min="4097" max="4097" width="29" style="421" customWidth="1"/>
    <col min="4098" max="4101" width="10.7109375" style="421" customWidth="1"/>
    <col min="4102" max="4102" width="9.140625" style="421" customWidth="1"/>
    <col min="4103" max="4350" width="10.7109375" style="421"/>
    <col min="4351" max="4351" width="5.7109375" style="421" customWidth="1"/>
    <col min="4352" max="4352" width="17.5703125" style="421" customWidth="1"/>
    <col min="4353" max="4353" width="29" style="421" customWidth="1"/>
    <col min="4354" max="4357" width="10.7109375" style="421" customWidth="1"/>
    <col min="4358" max="4358" width="9.140625" style="421" customWidth="1"/>
    <col min="4359" max="4606" width="10.7109375" style="421"/>
    <col min="4607" max="4607" width="5.7109375" style="421" customWidth="1"/>
    <col min="4608" max="4608" width="17.5703125" style="421" customWidth="1"/>
    <col min="4609" max="4609" width="29" style="421" customWidth="1"/>
    <col min="4610" max="4613" width="10.7109375" style="421" customWidth="1"/>
    <col min="4614" max="4614" width="9.140625" style="421" customWidth="1"/>
    <col min="4615" max="4862" width="10.7109375" style="421"/>
    <col min="4863" max="4863" width="5.7109375" style="421" customWidth="1"/>
    <col min="4864" max="4864" width="17.5703125" style="421" customWidth="1"/>
    <col min="4865" max="4865" width="29" style="421" customWidth="1"/>
    <col min="4866" max="4869" width="10.7109375" style="421" customWidth="1"/>
    <col min="4870" max="4870" width="9.140625" style="421" customWidth="1"/>
    <col min="4871" max="5118" width="10.7109375" style="421"/>
    <col min="5119" max="5119" width="5.7109375" style="421" customWidth="1"/>
    <col min="5120" max="5120" width="17.5703125" style="421" customWidth="1"/>
    <col min="5121" max="5121" width="29" style="421" customWidth="1"/>
    <col min="5122" max="5125" width="10.7109375" style="421" customWidth="1"/>
    <col min="5126" max="5126" width="9.140625" style="421" customWidth="1"/>
    <col min="5127" max="5374" width="10.7109375" style="421"/>
    <col min="5375" max="5375" width="5.7109375" style="421" customWidth="1"/>
    <col min="5376" max="5376" width="17.5703125" style="421" customWidth="1"/>
    <col min="5377" max="5377" width="29" style="421" customWidth="1"/>
    <col min="5378" max="5381" width="10.7109375" style="421" customWidth="1"/>
    <col min="5382" max="5382" width="9.140625" style="421" customWidth="1"/>
    <col min="5383" max="5630" width="10.7109375" style="421"/>
    <col min="5631" max="5631" width="5.7109375" style="421" customWidth="1"/>
    <col min="5632" max="5632" width="17.5703125" style="421" customWidth="1"/>
    <col min="5633" max="5633" width="29" style="421" customWidth="1"/>
    <col min="5634" max="5637" width="10.7109375" style="421" customWidth="1"/>
    <col min="5638" max="5638" width="9.140625" style="421" customWidth="1"/>
    <col min="5639" max="5886" width="10.7109375" style="421"/>
    <col min="5887" max="5887" width="5.7109375" style="421" customWidth="1"/>
    <col min="5888" max="5888" width="17.5703125" style="421" customWidth="1"/>
    <col min="5889" max="5889" width="29" style="421" customWidth="1"/>
    <col min="5890" max="5893" width="10.7109375" style="421" customWidth="1"/>
    <col min="5894" max="5894" width="9.140625" style="421" customWidth="1"/>
    <col min="5895" max="6142" width="10.7109375" style="421"/>
    <col min="6143" max="6143" width="5.7109375" style="421" customWidth="1"/>
    <col min="6144" max="6144" width="17.5703125" style="421" customWidth="1"/>
    <col min="6145" max="6145" width="29" style="421" customWidth="1"/>
    <col min="6146" max="6149" width="10.7109375" style="421" customWidth="1"/>
    <col min="6150" max="6150" width="9.140625" style="421" customWidth="1"/>
    <col min="6151" max="6398" width="10.7109375" style="421"/>
    <col min="6399" max="6399" width="5.7109375" style="421" customWidth="1"/>
    <col min="6400" max="6400" width="17.5703125" style="421" customWidth="1"/>
    <col min="6401" max="6401" width="29" style="421" customWidth="1"/>
    <col min="6402" max="6405" width="10.7109375" style="421" customWidth="1"/>
    <col min="6406" max="6406" width="9.140625" style="421" customWidth="1"/>
    <col min="6407" max="6654" width="10.7109375" style="421"/>
    <col min="6655" max="6655" width="5.7109375" style="421" customWidth="1"/>
    <col min="6656" max="6656" width="17.5703125" style="421" customWidth="1"/>
    <col min="6657" max="6657" width="29" style="421" customWidth="1"/>
    <col min="6658" max="6661" width="10.7109375" style="421" customWidth="1"/>
    <col min="6662" max="6662" width="9.140625" style="421" customWidth="1"/>
    <col min="6663" max="6910" width="10.7109375" style="421"/>
    <col min="6911" max="6911" width="5.7109375" style="421" customWidth="1"/>
    <col min="6912" max="6912" width="17.5703125" style="421" customWidth="1"/>
    <col min="6913" max="6913" width="29" style="421" customWidth="1"/>
    <col min="6914" max="6917" width="10.7109375" style="421" customWidth="1"/>
    <col min="6918" max="6918" width="9.140625" style="421" customWidth="1"/>
    <col min="6919" max="7166" width="10.7109375" style="421"/>
    <col min="7167" max="7167" width="5.7109375" style="421" customWidth="1"/>
    <col min="7168" max="7168" width="17.5703125" style="421" customWidth="1"/>
    <col min="7169" max="7169" width="29" style="421" customWidth="1"/>
    <col min="7170" max="7173" width="10.7109375" style="421" customWidth="1"/>
    <col min="7174" max="7174" width="9.140625" style="421" customWidth="1"/>
    <col min="7175" max="7422" width="10.7109375" style="421"/>
    <col min="7423" max="7423" width="5.7109375" style="421" customWidth="1"/>
    <col min="7424" max="7424" width="17.5703125" style="421" customWidth="1"/>
    <col min="7425" max="7425" width="29" style="421" customWidth="1"/>
    <col min="7426" max="7429" width="10.7109375" style="421" customWidth="1"/>
    <col min="7430" max="7430" width="9.140625" style="421" customWidth="1"/>
    <col min="7431" max="7678" width="10.7109375" style="421"/>
    <col min="7679" max="7679" width="5.7109375" style="421" customWidth="1"/>
    <col min="7680" max="7680" width="17.5703125" style="421" customWidth="1"/>
    <col min="7681" max="7681" width="29" style="421" customWidth="1"/>
    <col min="7682" max="7685" width="10.7109375" style="421" customWidth="1"/>
    <col min="7686" max="7686" width="9.140625" style="421" customWidth="1"/>
    <col min="7687" max="7934" width="10.7109375" style="421"/>
    <col min="7935" max="7935" width="5.7109375" style="421" customWidth="1"/>
    <col min="7936" max="7936" width="17.5703125" style="421" customWidth="1"/>
    <col min="7937" max="7937" width="29" style="421" customWidth="1"/>
    <col min="7938" max="7941" width="10.7109375" style="421" customWidth="1"/>
    <col min="7942" max="7942" width="9.140625" style="421" customWidth="1"/>
    <col min="7943" max="8190" width="10.7109375" style="421"/>
    <col min="8191" max="8191" width="5.7109375" style="421" customWidth="1"/>
    <col min="8192" max="8192" width="17.5703125" style="421" customWidth="1"/>
    <col min="8193" max="8193" width="29" style="421" customWidth="1"/>
    <col min="8194" max="8197" width="10.7109375" style="421" customWidth="1"/>
    <col min="8198" max="8198" width="9.140625" style="421" customWidth="1"/>
    <col min="8199" max="8446" width="10.7109375" style="421"/>
    <col min="8447" max="8447" width="5.7109375" style="421" customWidth="1"/>
    <col min="8448" max="8448" width="17.5703125" style="421" customWidth="1"/>
    <col min="8449" max="8449" width="29" style="421" customWidth="1"/>
    <col min="8450" max="8453" width="10.7109375" style="421" customWidth="1"/>
    <col min="8454" max="8454" width="9.140625" style="421" customWidth="1"/>
    <col min="8455" max="8702" width="10.7109375" style="421"/>
    <col min="8703" max="8703" width="5.7109375" style="421" customWidth="1"/>
    <col min="8704" max="8704" width="17.5703125" style="421" customWidth="1"/>
    <col min="8705" max="8705" width="29" style="421" customWidth="1"/>
    <col min="8706" max="8709" width="10.7109375" style="421" customWidth="1"/>
    <col min="8710" max="8710" width="9.140625" style="421" customWidth="1"/>
    <col min="8711" max="8958" width="10.7109375" style="421"/>
    <col min="8959" max="8959" width="5.7109375" style="421" customWidth="1"/>
    <col min="8960" max="8960" width="17.5703125" style="421" customWidth="1"/>
    <col min="8961" max="8961" width="29" style="421" customWidth="1"/>
    <col min="8962" max="8965" width="10.7109375" style="421" customWidth="1"/>
    <col min="8966" max="8966" width="9.140625" style="421" customWidth="1"/>
    <col min="8967" max="9214" width="10.7109375" style="421"/>
    <col min="9215" max="9215" width="5.7109375" style="421" customWidth="1"/>
    <col min="9216" max="9216" width="17.5703125" style="421" customWidth="1"/>
    <col min="9217" max="9217" width="29" style="421" customWidth="1"/>
    <col min="9218" max="9221" width="10.7109375" style="421" customWidth="1"/>
    <col min="9222" max="9222" width="9.140625" style="421" customWidth="1"/>
    <col min="9223" max="9470" width="10.7109375" style="421"/>
    <col min="9471" max="9471" width="5.7109375" style="421" customWidth="1"/>
    <col min="9472" max="9472" width="17.5703125" style="421" customWidth="1"/>
    <col min="9473" max="9473" width="29" style="421" customWidth="1"/>
    <col min="9474" max="9477" width="10.7109375" style="421" customWidth="1"/>
    <col min="9478" max="9478" width="9.140625" style="421" customWidth="1"/>
    <col min="9479" max="9726" width="10.7109375" style="421"/>
    <col min="9727" max="9727" width="5.7109375" style="421" customWidth="1"/>
    <col min="9728" max="9728" width="17.5703125" style="421" customWidth="1"/>
    <col min="9729" max="9729" width="29" style="421" customWidth="1"/>
    <col min="9730" max="9733" width="10.7109375" style="421" customWidth="1"/>
    <col min="9734" max="9734" width="9.140625" style="421" customWidth="1"/>
    <col min="9735" max="9982" width="10.7109375" style="421"/>
    <col min="9983" max="9983" width="5.7109375" style="421" customWidth="1"/>
    <col min="9984" max="9984" width="17.5703125" style="421" customWidth="1"/>
    <col min="9985" max="9985" width="29" style="421" customWidth="1"/>
    <col min="9986" max="9989" width="10.7109375" style="421" customWidth="1"/>
    <col min="9990" max="9990" width="9.140625" style="421" customWidth="1"/>
    <col min="9991" max="10238" width="10.7109375" style="421"/>
    <col min="10239" max="10239" width="5.7109375" style="421" customWidth="1"/>
    <col min="10240" max="10240" width="17.5703125" style="421" customWidth="1"/>
    <col min="10241" max="10241" width="29" style="421" customWidth="1"/>
    <col min="10242" max="10245" width="10.7109375" style="421" customWidth="1"/>
    <col min="10246" max="10246" width="9.140625" style="421" customWidth="1"/>
    <col min="10247" max="10494" width="10.7109375" style="421"/>
    <col min="10495" max="10495" width="5.7109375" style="421" customWidth="1"/>
    <col min="10496" max="10496" width="17.5703125" style="421" customWidth="1"/>
    <col min="10497" max="10497" width="29" style="421" customWidth="1"/>
    <col min="10498" max="10501" width="10.7109375" style="421" customWidth="1"/>
    <col min="10502" max="10502" width="9.140625" style="421" customWidth="1"/>
    <col min="10503" max="10750" width="10.7109375" style="421"/>
    <col min="10751" max="10751" width="5.7109375" style="421" customWidth="1"/>
    <col min="10752" max="10752" width="17.5703125" style="421" customWidth="1"/>
    <col min="10753" max="10753" width="29" style="421" customWidth="1"/>
    <col min="10754" max="10757" width="10.7109375" style="421" customWidth="1"/>
    <col min="10758" max="10758" width="9.140625" style="421" customWidth="1"/>
    <col min="10759" max="11006" width="10.7109375" style="421"/>
    <col min="11007" max="11007" width="5.7109375" style="421" customWidth="1"/>
    <col min="11008" max="11008" width="17.5703125" style="421" customWidth="1"/>
    <col min="11009" max="11009" width="29" style="421" customWidth="1"/>
    <col min="11010" max="11013" width="10.7109375" style="421" customWidth="1"/>
    <col min="11014" max="11014" width="9.140625" style="421" customWidth="1"/>
    <col min="11015" max="11262" width="10.7109375" style="421"/>
    <col min="11263" max="11263" width="5.7109375" style="421" customWidth="1"/>
    <col min="11264" max="11264" width="17.5703125" style="421" customWidth="1"/>
    <col min="11265" max="11265" width="29" style="421" customWidth="1"/>
    <col min="11266" max="11269" width="10.7109375" style="421" customWidth="1"/>
    <col min="11270" max="11270" width="9.140625" style="421" customWidth="1"/>
    <col min="11271" max="11518" width="10.7109375" style="421"/>
    <col min="11519" max="11519" width="5.7109375" style="421" customWidth="1"/>
    <col min="11520" max="11520" width="17.5703125" style="421" customWidth="1"/>
    <col min="11521" max="11521" width="29" style="421" customWidth="1"/>
    <col min="11522" max="11525" width="10.7109375" style="421" customWidth="1"/>
    <col min="11526" max="11526" width="9.140625" style="421" customWidth="1"/>
    <col min="11527" max="11774" width="10.7109375" style="421"/>
    <col min="11775" max="11775" width="5.7109375" style="421" customWidth="1"/>
    <col min="11776" max="11776" width="17.5703125" style="421" customWidth="1"/>
    <col min="11777" max="11777" width="29" style="421" customWidth="1"/>
    <col min="11778" max="11781" width="10.7109375" style="421" customWidth="1"/>
    <col min="11782" max="11782" width="9.140625" style="421" customWidth="1"/>
    <col min="11783" max="12030" width="10.7109375" style="421"/>
    <col min="12031" max="12031" width="5.7109375" style="421" customWidth="1"/>
    <col min="12032" max="12032" width="17.5703125" style="421" customWidth="1"/>
    <col min="12033" max="12033" width="29" style="421" customWidth="1"/>
    <col min="12034" max="12037" width="10.7109375" style="421" customWidth="1"/>
    <col min="12038" max="12038" width="9.140625" style="421" customWidth="1"/>
    <col min="12039" max="12286" width="10.7109375" style="421"/>
    <col min="12287" max="12287" width="5.7109375" style="421" customWidth="1"/>
    <col min="12288" max="12288" width="17.5703125" style="421" customWidth="1"/>
    <col min="12289" max="12289" width="29" style="421" customWidth="1"/>
    <col min="12290" max="12293" width="10.7109375" style="421" customWidth="1"/>
    <col min="12294" max="12294" width="9.140625" style="421" customWidth="1"/>
    <col min="12295" max="12542" width="10.7109375" style="421"/>
    <col min="12543" max="12543" width="5.7109375" style="421" customWidth="1"/>
    <col min="12544" max="12544" width="17.5703125" style="421" customWidth="1"/>
    <col min="12545" max="12545" width="29" style="421" customWidth="1"/>
    <col min="12546" max="12549" width="10.7109375" style="421" customWidth="1"/>
    <col min="12550" max="12550" width="9.140625" style="421" customWidth="1"/>
    <col min="12551" max="12798" width="10.7109375" style="421"/>
    <col min="12799" max="12799" width="5.7109375" style="421" customWidth="1"/>
    <col min="12800" max="12800" width="17.5703125" style="421" customWidth="1"/>
    <col min="12801" max="12801" width="29" style="421" customWidth="1"/>
    <col min="12802" max="12805" width="10.7109375" style="421" customWidth="1"/>
    <col min="12806" max="12806" width="9.140625" style="421" customWidth="1"/>
    <col min="12807" max="13054" width="10.7109375" style="421"/>
    <col min="13055" max="13055" width="5.7109375" style="421" customWidth="1"/>
    <col min="13056" max="13056" width="17.5703125" style="421" customWidth="1"/>
    <col min="13057" max="13057" width="29" style="421" customWidth="1"/>
    <col min="13058" max="13061" width="10.7109375" style="421" customWidth="1"/>
    <col min="13062" max="13062" width="9.140625" style="421" customWidth="1"/>
    <col min="13063" max="13310" width="10.7109375" style="421"/>
    <col min="13311" max="13311" width="5.7109375" style="421" customWidth="1"/>
    <col min="13312" max="13312" width="17.5703125" style="421" customWidth="1"/>
    <col min="13313" max="13313" width="29" style="421" customWidth="1"/>
    <col min="13314" max="13317" width="10.7109375" style="421" customWidth="1"/>
    <col min="13318" max="13318" width="9.140625" style="421" customWidth="1"/>
    <col min="13319" max="13566" width="10.7109375" style="421"/>
    <col min="13567" max="13567" width="5.7109375" style="421" customWidth="1"/>
    <col min="13568" max="13568" width="17.5703125" style="421" customWidth="1"/>
    <col min="13569" max="13569" width="29" style="421" customWidth="1"/>
    <col min="13570" max="13573" width="10.7109375" style="421" customWidth="1"/>
    <col min="13574" max="13574" width="9.140625" style="421" customWidth="1"/>
    <col min="13575" max="13822" width="10.7109375" style="421"/>
    <col min="13823" max="13823" width="5.7109375" style="421" customWidth="1"/>
    <col min="13824" max="13824" width="17.5703125" style="421" customWidth="1"/>
    <col min="13825" max="13825" width="29" style="421" customWidth="1"/>
    <col min="13826" max="13829" width="10.7109375" style="421" customWidth="1"/>
    <col min="13830" max="13830" width="9.140625" style="421" customWidth="1"/>
    <col min="13831" max="14078" width="10.7109375" style="421"/>
    <col min="14079" max="14079" width="5.7109375" style="421" customWidth="1"/>
    <col min="14080" max="14080" width="17.5703125" style="421" customWidth="1"/>
    <col min="14081" max="14081" width="29" style="421" customWidth="1"/>
    <col min="14082" max="14085" width="10.7109375" style="421" customWidth="1"/>
    <col min="14086" max="14086" width="9.140625" style="421" customWidth="1"/>
    <col min="14087" max="14334" width="10.7109375" style="421"/>
    <col min="14335" max="14335" width="5.7109375" style="421" customWidth="1"/>
    <col min="14336" max="14336" width="17.5703125" style="421" customWidth="1"/>
    <col min="14337" max="14337" width="29" style="421" customWidth="1"/>
    <col min="14338" max="14341" width="10.7109375" style="421" customWidth="1"/>
    <col min="14342" max="14342" width="9.140625" style="421" customWidth="1"/>
    <col min="14343" max="14590" width="10.7109375" style="421"/>
    <col min="14591" max="14591" width="5.7109375" style="421" customWidth="1"/>
    <col min="14592" max="14592" width="17.5703125" style="421" customWidth="1"/>
    <col min="14593" max="14593" width="29" style="421" customWidth="1"/>
    <col min="14594" max="14597" width="10.7109375" style="421" customWidth="1"/>
    <col min="14598" max="14598" width="9.140625" style="421" customWidth="1"/>
    <col min="14599" max="14846" width="10.7109375" style="421"/>
    <col min="14847" max="14847" width="5.7109375" style="421" customWidth="1"/>
    <col min="14848" max="14848" width="17.5703125" style="421" customWidth="1"/>
    <col min="14849" max="14849" width="29" style="421" customWidth="1"/>
    <col min="14850" max="14853" width="10.7109375" style="421" customWidth="1"/>
    <col min="14854" max="14854" width="9.140625" style="421" customWidth="1"/>
    <col min="14855" max="15102" width="10.7109375" style="421"/>
    <col min="15103" max="15103" width="5.7109375" style="421" customWidth="1"/>
    <col min="15104" max="15104" width="17.5703125" style="421" customWidth="1"/>
    <col min="15105" max="15105" width="29" style="421" customWidth="1"/>
    <col min="15106" max="15109" width="10.7109375" style="421" customWidth="1"/>
    <col min="15110" max="15110" width="9.140625" style="421" customWidth="1"/>
    <col min="15111" max="15358" width="10.7109375" style="421"/>
    <col min="15359" max="15359" width="5.7109375" style="421" customWidth="1"/>
    <col min="15360" max="15360" width="17.5703125" style="421" customWidth="1"/>
    <col min="15361" max="15361" width="29" style="421" customWidth="1"/>
    <col min="15362" max="15365" width="10.7109375" style="421" customWidth="1"/>
    <col min="15366" max="15366" width="9.140625" style="421" customWidth="1"/>
    <col min="15367" max="15614" width="10.7109375" style="421"/>
    <col min="15615" max="15615" width="5.7109375" style="421" customWidth="1"/>
    <col min="15616" max="15616" width="17.5703125" style="421" customWidth="1"/>
    <col min="15617" max="15617" width="29" style="421" customWidth="1"/>
    <col min="15618" max="15621" width="10.7109375" style="421" customWidth="1"/>
    <col min="15622" max="15622" width="9.140625" style="421" customWidth="1"/>
    <col min="15623" max="15870" width="10.7109375" style="421"/>
    <col min="15871" max="15871" width="5.7109375" style="421" customWidth="1"/>
    <col min="15872" max="15872" width="17.5703125" style="421" customWidth="1"/>
    <col min="15873" max="15873" width="29" style="421" customWidth="1"/>
    <col min="15874" max="15877" width="10.7109375" style="421" customWidth="1"/>
    <col min="15878" max="15878" width="9.140625" style="421" customWidth="1"/>
    <col min="15879" max="16126" width="10.7109375" style="421"/>
    <col min="16127" max="16127" width="5.7109375" style="421" customWidth="1"/>
    <col min="16128" max="16128" width="17.5703125" style="421" customWidth="1"/>
    <col min="16129" max="16129" width="29" style="421" customWidth="1"/>
    <col min="16130" max="16133" width="10.7109375" style="421" customWidth="1"/>
    <col min="16134" max="16134" width="9.140625" style="421" customWidth="1"/>
    <col min="16135" max="16384" width="10.7109375" style="421"/>
  </cols>
  <sheetData>
    <row r="1" spans="1:5" s="419" customFormat="1" ht="20.100000000000001" customHeight="1">
      <c r="E1" s="420" t="s">
        <v>389</v>
      </c>
    </row>
    <row r="2" spans="1:5" ht="20.100000000000001" customHeight="1">
      <c r="A2" s="1305" t="s">
        <v>495</v>
      </c>
      <c r="B2" s="1306"/>
      <c r="C2" s="1316" t="s">
        <v>496</v>
      </c>
      <c r="D2" s="1316" t="s">
        <v>497</v>
      </c>
      <c r="E2" s="1316" t="s">
        <v>356</v>
      </c>
    </row>
    <row r="3" spans="1:5" ht="20.100000000000001" customHeight="1">
      <c r="A3" s="1307"/>
      <c r="B3" s="1308"/>
      <c r="C3" s="1317"/>
      <c r="D3" s="1317"/>
      <c r="E3" s="1317"/>
    </row>
    <row r="4" spans="1:5" ht="20.100000000000001" customHeight="1">
      <c r="A4" s="1322" t="s">
        <v>378</v>
      </c>
      <c r="B4" s="494" t="s">
        <v>499</v>
      </c>
      <c r="C4" s="426">
        <f>'BALANÇO INCIAL'!F52-'Balanço '!D52</f>
        <v>1298622.6994304033</v>
      </c>
      <c r="D4" s="426"/>
      <c r="E4" s="427">
        <f t="shared" ref="E4:E9" si="0">SUM(C4:D4)</f>
        <v>1298622.6994304033</v>
      </c>
    </row>
    <row r="5" spans="1:5" ht="20.100000000000001" customHeight="1">
      <c r="A5" s="1323"/>
      <c r="B5" s="494" t="s">
        <v>321</v>
      </c>
      <c r="C5" s="426">
        <f>Balancete!K36</f>
        <v>419122.95148738776</v>
      </c>
      <c r="D5" s="426"/>
      <c r="E5" s="427">
        <f t="shared" si="0"/>
        <v>419122.95148738776</v>
      </c>
    </row>
    <row r="6" spans="1:5" ht="20.100000000000001" customHeight="1">
      <c r="A6" s="1324"/>
      <c r="B6" s="495" t="s">
        <v>488</v>
      </c>
      <c r="C6" s="427">
        <f>SUBTOTAL(9,C4:C5)</f>
        <v>1717745.6509177911</v>
      </c>
      <c r="D6" s="427">
        <f>SUBTOTAL(9,D4:D5)</f>
        <v>0</v>
      </c>
      <c r="E6" s="427">
        <f t="shared" si="0"/>
        <v>1717745.6509177911</v>
      </c>
    </row>
    <row r="7" spans="1:5" ht="20.100000000000001" customHeight="1">
      <c r="A7" s="1322" t="s">
        <v>378</v>
      </c>
      <c r="B7" s="494" t="s">
        <v>498</v>
      </c>
      <c r="C7" s="426">
        <f>Balancete!K34</f>
        <v>25826.720679669197</v>
      </c>
      <c r="D7" s="426"/>
      <c r="E7" s="427">
        <f t="shared" si="0"/>
        <v>25826.720679669197</v>
      </c>
    </row>
    <row r="8" spans="1:5" ht="20.100000000000001" customHeight="1">
      <c r="A8" s="1324"/>
      <c r="B8" s="495" t="s">
        <v>488</v>
      </c>
      <c r="C8" s="427">
        <f>SUBTOTAL(9,C7:C7)</f>
        <v>25826.720679669197</v>
      </c>
      <c r="D8" s="427">
        <f>SUBTOTAL(9,D7:D7)</f>
        <v>0</v>
      </c>
      <c r="E8" s="427">
        <f t="shared" si="0"/>
        <v>25826.720679669197</v>
      </c>
    </row>
    <row r="9" spans="1:5" ht="20.100000000000001" customHeight="1">
      <c r="A9" s="1325" t="s">
        <v>356</v>
      </c>
      <c r="B9" s="1326"/>
      <c r="C9" s="427">
        <f>SUBTOTAL(9,C4:C8)</f>
        <v>1743572.3715974602</v>
      </c>
      <c r="D9" s="427">
        <f>SUBTOTAL(9,D4:D8)</f>
        <v>0</v>
      </c>
      <c r="E9" s="427">
        <f t="shared" si="0"/>
        <v>1743572.3715974602</v>
      </c>
    </row>
  </sheetData>
  <mergeCells count="7">
    <mergeCell ref="D2:D3"/>
    <mergeCell ref="E2:E3"/>
    <mergeCell ref="A4:A6"/>
    <mergeCell ref="A7:A8"/>
    <mergeCell ref="A9:B9"/>
    <mergeCell ref="A2:B3"/>
    <mergeCell ref="C2:C3"/>
  </mergeCells>
  <printOptions horizontalCentered="1" verticalCentered="1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>
    <oddHeader>&amp;L&amp;K03-049MANUAL DA PRESTAÇÃO DE CONTAS NAS SOCIEDADES COMERCIAIS&amp;R&amp;K03-049Ponto &amp;A do modelo geral de anexo do SNC</oddHeader>
    <oddFooter>&amp;L&amp;K03-049&amp;F&amp;R&amp;K03-049&amp;D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workbookViewId="0">
      <selection activeCell="I4" sqref="I4"/>
    </sheetView>
  </sheetViews>
  <sheetFormatPr defaultRowHeight="15"/>
  <cols>
    <col min="2" max="2" width="38" bestFit="1" customWidth="1"/>
  </cols>
  <sheetData>
    <row r="3" spans="2:4">
      <c r="B3" s="593" t="s">
        <v>847</v>
      </c>
      <c r="C3" s="593">
        <v>3844200</v>
      </c>
      <c r="D3" s="594">
        <f>C3/$C$6</f>
        <v>0.26975706286051115</v>
      </c>
    </row>
    <row r="4" spans="2:4">
      <c r="B4" s="593" t="s">
        <v>846</v>
      </c>
      <c r="C4" s="593">
        <v>8714400</v>
      </c>
      <c r="D4" s="594">
        <f t="shared" ref="D4:D5" si="0">C4/$C$6</f>
        <v>0.61151109426971495</v>
      </c>
    </row>
    <row r="5" spans="2:4">
      <c r="B5" s="593" t="s">
        <v>848</v>
      </c>
      <c r="C5" s="593">
        <v>1692000</v>
      </c>
      <c r="D5" s="594">
        <f t="shared" si="0"/>
        <v>0.11873184286977391</v>
      </c>
    </row>
    <row r="6" spans="2:4">
      <c r="B6" s="595" t="s">
        <v>334</v>
      </c>
      <c r="C6" s="593">
        <f>SUM(C3:C5)</f>
        <v>14250600</v>
      </c>
      <c r="D6" s="596">
        <f>SUM(D3:D5)</f>
        <v>1</v>
      </c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8"/>
  <sheetViews>
    <sheetView workbookViewId="0">
      <selection activeCell="M12" sqref="M12"/>
    </sheetView>
  </sheetViews>
  <sheetFormatPr defaultRowHeight="15"/>
  <cols>
    <col min="3" max="3" width="11.140625" bestFit="1" customWidth="1"/>
    <col min="4" max="4" width="11.140625" hidden="1" customWidth="1"/>
    <col min="5" max="5" width="12.7109375" bestFit="1" customWidth="1"/>
    <col min="6" max="6" width="10" bestFit="1" customWidth="1"/>
  </cols>
  <sheetData>
    <row r="3" spans="3:6">
      <c r="E3" s="593" t="s">
        <v>850</v>
      </c>
      <c r="F3" s="593" t="s">
        <v>782</v>
      </c>
    </row>
    <row r="4" spans="3:6">
      <c r="C4" s="597" t="s">
        <v>849</v>
      </c>
      <c r="D4" s="597">
        <v>300</v>
      </c>
      <c r="E4" s="600">
        <f>$E$7*F4</f>
        <v>30174704.827826086</v>
      </c>
      <c r="F4" s="598">
        <f>D4/$D$7</f>
        <v>0.6</v>
      </c>
    </row>
    <row r="5" spans="3:6">
      <c r="C5" s="597" t="s">
        <v>852</v>
      </c>
      <c r="D5" s="597">
        <v>100</v>
      </c>
      <c r="E5" s="600">
        <f t="shared" ref="E5:E6" si="0">$E$7*F5</f>
        <v>10058234.942608697</v>
      </c>
      <c r="F5" s="598">
        <f t="shared" ref="F5:F6" si="1">D5/$D$7</f>
        <v>0.2</v>
      </c>
    </row>
    <row r="6" spans="3:6">
      <c r="C6" s="597" t="s">
        <v>851</v>
      </c>
      <c r="D6" s="597">
        <v>100</v>
      </c>
      <c r="E6" s="600">
        <f t="shared" si="0"/>
        <v>10058234.942608697</v>
      </c>
      <c r="F6" s="598">
        <f t="shared" si="1"/>
        <v>0.2</v>
      </c>
    </row>
    <row r="7" spans="3:6">
      <c r="C7" s="597" t="s">
        <v>334</v>
      </c>
      <c r="D7" s="597">
        <f>SUM(D4:D6)</f>
        <v>500</v>
      </c>
      <c r="E7" s="600">
        <f>'DRN '!E6</f>
        <v>50291174.713043481</v>
      </c>
      <c r="F7" s="599">
        <f>SUM(F4:F6)</f>
        <v>1</v>
      </c>
    </row>
    <row r="8" spans="3:6">
      <c r="E8" s="601">
        <f>SUM(E4:E6)</f>
        <v>50291174.713043481</v>
      </c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D15"/>
  <sheetViews>
    <sheetView topLeftCell="A8" workbookViewId="0">
      <selection activeCell="C12" sqref="C12"/>
    </sheetView>
  </sheetViews>
  <sheetFormatPr defaultRowHeight="15"/>
  <cols>
    <col min="2" max="2" width="12.140625" bestFit="1" customWidth="1"/>
    <col min="3" max="3" width="8.28515625" bestFit="1" customWidth="1"/>
    <col min="4" max="4" width="12.85546875" bestFit="1" customWidth="1"/>
  </cols>
  <sheetData>
    <row r="10" spans="2:4">
      <c r="D10" s="602" t="s">
        <v>857</v>
      </c>
    </row>
    <row r="11" spans="2:4" ht="15.75">
      <c r="B11" s="603" t="s">
        <v>853</v>
      </c>
      <c r="C11" s="603" t="s">
        <v>858</v>
      </c>
      <c r="D11" s="603" t="s">
        <v>856</v>
      </c>
    </row>
    <row r="12" spans="2:4" ht="15.75">
      <c r="B12" s="604" t="s">
        <v>854</v>
      </c>
      <c r="C12" s="606">
        <f>300*26</f>
        <v>7800</v>
      </c>
      <c r="D12" s="606">
        <f>C12*12</f>
        <v>93600</v>
      </c>
    </row>
    <row r="13" spans="2:4" ht="15.75">
      <c r="B13" s="604" t="s">
        <v>851</v>
      </c>
      <c r="C13" s="606">
        <f>100*26</f>
        <v>2600</v>
      </c>
      <c r="D13" s="606">
        <f t="shared" ref="D13:D14" si="0">C13*12</f>
        <v>31200</v>
      </c>
    </row>
    <row r="14" spans="2:4" ht="15.75">
      <c r="B14" s="603" t="s">
        <v>855</v>
      </c>
      <c r="C14" s="606">
        <f>100*26</f>
        <v>2600</v>
      </c>
      <c r="D14" s="606">
        <f t="shared" si="0"/>
        <v>31200</v>
      </c>
    </row>
    <row r="15" spans="2:4" ht="15.75">
      <c r="B15" s="608" t="s">
        <v>334</v>
      </c>
      <c r="C15" s="605">
        <f>SUM(C12:C14)</f>
        <v>13000</v>
      </c>
      <c r="D15" s="607">
        <f>SUM(D12:D14)</f>
        <v>156000</v>
      </c>
    </row>
  </sheetData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workbookViewId="0">
      <selection activeCell="G11" sqref="G11"/>
    </sheetView>
  </sheetViews>
  <sheetFormatPr defaultRowHeight="15"/>
  <cols>
    <col min="2" max="2" width="20.42578125" customWidth="1"/>
    <col min="3" max="4" width="10.140625" bestFit="1" customWidth="1"/>
    <col min="5" max="5" width="13.5703125" bestFit="1" customWidth="1"/>
  </cols>
  <sheetData>
    <row r="1" spans="2:7">
      <c r="E1" s="611" t="s">
        <v>865</v>
      </c>
    </row>
    <row r="2" spans="2:7">
      <c r="B2" s="1327" t="s">
        <v>242</v>
      </c>
      <c r="C2" s="1328" t="s">
        <v>862</v>
      </c>
      <c r="D2" s="1328" t="s">
        <v>863</v>
      </c>
      <c r="E2" s="1328" t="s">
        <v>864</v>
      </c>
      <c r="F2" s="1329" t="s">
        <v>782</v>
      </c>
    </row>
    <row r="3" spans="2:7" ht="30.75" customHeight="1">
      <c r="B3" s="1327"/>
      <c r="C3" s="1328"/>
      <c r="D3" s="1328"/>
      <c r="E3" s="1328"/>
      <c r="F3" s="1330"/>
    </row>
    <row r="4" spans="2:7">
      <c r="B4" s="609" t="s">
        <v>860</v>
      </c>
      <c r="C4" s="610">
        <f>C9*55%</f>
        <v>14255822.086956523</v>
      </c>
      <c r="D4" s="610">
        <f>D9*55%</f>
        <v>12514365.886956524</v>
      </c>
      <c r="E4" s="610">
        <f>E9*55%</f>
        <v>1741456.2000000002</v>
      </c>
      <c r="F4" s="598">
        <f>C4/$C$7</f>
        <v>0.61111111111111116</v>
      </c>
    </row>
    <row r="5" spans="2:7">
      <c r="B5" s="609" t="s">
        <v>859</v>
      </c>
      <c r="C5" s="610">
        <f>C9*30%</f>
        <v>7775902.9565217393</v>
      </c>
      <c r="D5" s="610">
        <f>D9*30%</f>
        <v>6826017.75652174</v>
      </c>
      <c r="E5" s="610">
        <f>E9*30%</f>
        <v>949885.2</v>
      </c>
      <c r="F5" s="598">
        <f>C5/$C$7</f>
        <v>0.33333333333333331</v>
      </c>
    </row>
    <row r="6" spans="2:7">
      <c r="B6" s="609" t="s">
        <v>861</v>
      </c>
      <c r="C6" s="610">
        <f>C9*0.05</f>
        <v>1295983.8260869568</v>
      </c>
      <c r="D6" s="610">
        <f>D9*0.05</f>
        <v>1137669.6260869566</v>
      </c>
      <c r="E6" s="610">
        <f>E9*0.05</f>
        <v>158314.20000000001</v>
      </c>
      <c r="F6" s="598">
        <f>C6/$C$7</f>
        <v>5.5555555555555566E-2</v>
      </c>
    </row>
    <row r="7" spans="2:7">
      <c r="B7" s="612" t="s">
        <v>192</v>
      </c>
      <c r="C7" s="605">
        <f>SUM(C4:C6)</f>
        <v>23327708.869565219</v>
      </c>
      <c r="D7" s="605">
        <f>SUM(D4:D6)</f>
        <v>20478053.269565221</v>
      </c>
      <c r="E7" s="605">
        <f>SUM(E4:E6)</f>
        <v>2849655.6000000006</v>
      </c>
      <c r="F7" s="598">
        <f>C7/$C$7</f>
        <v>1</v>
      </c>
      <c r="G7" s="616">
        <f>SUM(F4:F6)</f>
        <v>1</v>
      </c>
    </row>
    <row r="8" spans="2:7">
      <c r="B8" s="613" t="s">
        <v>782</v>
      </c>
    </row>
    <row r="9" spans="2:7">
      <c r="C9" s="610">
        <f>'ANEXO 2'!B7</f>
        <v>25919676.521739133</v>
      </c>
      <c r="D9" s="610">
        <f>C9-E9</f>
        <v>22753392.521739133</v>
      </c>
      <c r="E9" s="610">
        <f>'ANEXO 2'!B10</f>
        <v>3166284</v>
      </c>
    </row>
  </sheetData>
  <mergeCells count="5">
    <mergeCell ref="B2:B3"/>
    <mergeCell ref="C2:C3"/>
    <mergeCell ref="D2:D3"/>
    <mergeCell ref="E2:E3"/>
    <mergeCell ref="F2:F3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25</vt:i4>
      </vt:variant>
      <vt:variant>
        <vt:lpstr>Intervalos com nome</vt:lpstr>
      </vt:variant>
      <vt:variant>
        <vt:i4>12</vt:i4>
      </vt:variant>
    </vt:vector>
  </HeadingPairs>
  <TitlesOfParts>
    <vt:vector size="37" baseType="lpstr">
      <vt:lpstr>BALANÇO INCIAL</vt:lpstr>
      <vt:lpstr>Amortização Emprestimo taxa 8,7</vt:lpstr>
      <vt:lpstr>Diario</vt:lpstr>
      <vt:lpstr>Razão</vt:lpstr>
      <vt:lpstr>Balancete</vt:lpstr>
      <vt:lpstr>DRE</vt:lpstr>
      <vt:lpstr>BALANÇO FINAL</vt:lpstr>
      <vt:lpstr>Fluxo de Caixa</vt:lpstr>
      <vt:lpstr>Balanço </vt:lpstr>
      <vt:lpstr>DRN </vt:lpstr>
      <vt:lpstr>Pesquisar Contas</vt:lpstr>
      <vt:lpstr>DFC</vt:lpstr>
      <vt:lpstr>DACP</vt:lpstr>
      <vt:lpstr>Modelo 1B</vt:lpstr>
      <vt:lpstr>Modelo 106</vt:lpstr>
      <vt:lpstr>ANEXO 1</vt:lpstr>
      <vt:lpstr>ANEXO 2</vt:lpstr>
      <vt:lpstr>ANEXO 3</vt:lpstr>
      <vt:lpstr>ANEXO 4</vt:lpstr>
      <vt:lpstr>ANEXO 5</vt:lpstr>
      <vt:lpstr>Grafico Gastos com Pesoal</vt:lpstr>
      <vt:lpstr>Folha2</vt:lpstr>
      <vt:lpstr>Produção Anual</vt:lpstr>
      <vt:lpstr>grafico materia prima consumida</vt:lpstr>
      <vt:lpstr>Folha4</vt:lpstr>
      <vt:lpstr>'ANEXO 1'!Área_de_Impressão</vt:lpstr>
      <vt:lpstr>'ANEXO 3'!Área_de_Impressão</vt:lpstr>
      <vt:lpstr>'ANEXO 4'!Área_de_Impressão</vt:lpstr>
      <vt:lpstr>'ANEXO 5'!Área_de_Impressão</vt:lpstr>
      <vt:lpstr>Balancete!Área_de_Impressão</vt:lpstr>
      <vt:lpstr>'Balanço '!Área_de_Impressão</vt:lpstr>
      <vt:lpstr>DFC!Área_de_Impressão</vt:lpstr>
      <vt:lpstr>Diario!Área_de_Impressão</vt:lpstr>
      <vt:lpstr>'DRN '!Área_de_Impressão</vt:lpstr>
      <vt:lpstr>'Fluxo de Caixa'!Área_de_Impressão</vt:lpstr>
      <vt:lpstr>'Pesquisar Contas'!Área_de_Impressão</vt:lpstr>
      <vt:lpstr>Razão!Área_de_Impressão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2013-02-23T20:25:50Z</dcterms:modified>
</cp:coreProperties>
</file>