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7235" windowHeight="7935" tabRatio="873"/>
  </bookViews>
  <sheets>
    <sheet name="perguntas" sheetId="7" r:id="rId1"/>
    <sheet name="9-venda bens 10-cons mercd" sheetId="6" r:id="rId2"/>
    <sheet name="7.1 inv e financ" sheetId="1" r:id="rId3"/>
    <sheet name="11- Fornec serv extern" sheetId="2" r:id="rId4"/>
    <sheet name="13- gastos de depreciação e amo" sheetId="4" r:id="rId5"/>
    <sheet name="15,2 Demonst Resultados Previs." sheetId="5" r:id="rId6"/>
    <sheet name="16,2 -Balanço" sheetId="3" r:id="rId7"/>
  </sheets>
  <externalReferences>
    <externalReference r:id="rId8"/>
  </externalReferences>
  <calcPr calcId="145621"/>
</workbook>
</file>

<file path=xl/calcChain.xml><?xml version="1.0" encoding="utf-8"?>
<calcChain xmlns="http://schemas.openxmlformats.org/spreadsheetml/2006/main">
  <c r="C10" i="3" l="1"/>
  <c r="D10" i="3"/>
  <c r="C17" i="3"/>
  <c r="D17" i="3"/>
  <c r="D25" i="3"/>
  <c r="C24" i="3"/>
  <c r="B17" i="3"/>
  <c r="B24" i="3"/>
  <c r="D36" i="3"/>
  <c r="C36" i="3"/>
  <c r="D31" i="3"/>
  <c r="C31" i="3"/>
  <c r="B31" i="3"/>
  <c r="D27" i="3"/>
  <c r="C27" i="3"/>
  <c r="B27" i="3"/>
  <c r="B36" i="3" s="1"/>
  <c r="B25" i="3"/>
  <c r="D24" i="3"/>
  <c r="D21" i="3"/>
  <c r="D22" i="3" s="1"/>
  <c r="C21" i="3"/>
  <c r="D19" i="3"/>
  <c r="B10" i="3"/>
  <c r="B7" i="3"/>
  <c r="B6" i="3"/>
  <c r="B5" i="3" s="1"/>
  <c r="D5" i="3"/>
  <c r="C5" i="3"/>
  <c r="C77" i="2"/>
  <c r="B21" i="5"/>
  <c r="B17" i="5"/>
  <c r="B6" i="5"/>
  <c r="B16" i="5" s="1"/>
  <c r="B18" i="5" s="1"/>
  <c r="B20" i="5" s="1"/>
  <c r="D5" i="5"/>
  <c r="C5" i="5"/>
  <c r="B5" i="5"/>
  <c r="D11" i="5"/>
  <c r="D16" i="5" s="1"/>
  <c r="D18" i="5" s="1"/>
  <c r="D20" i="5" s="1"/>
  <c r="C11" i="5"/>
  <c r="B11" i="5"/>
  <c r="D10" i="5"/>
  <c r="C10" i="5"/>
  <c r="B10" i="5"/>
  <c r="E72" i="2"/>
  <c r="D72" i="2"/>
  <c r="C76" i="2"/>
  <c r="C75" i="2"/>
  <c r="C74" i="2"/>
  <c r="C73" i="2"/>
  <c r="C72" i="2"/>
  <c r="E68" i="2"/>
  <c r="D68" i="2"/>
  <c r="C68" i="2"/>
  <c r="D46" i="6"/>
  <c r="C46" i="6"/>
  <c r="C45" i="6"/>
  <c r="D45" i="6" s="1"/>
  <c r="C44" i="6"/>
  <c r="D44" i="6" s="1"/>
  <c r="G43" i="6"/>
  <c r="D43" i="6"/>
  <c r="C43" i="6"/>
  <c r="D11" i="6" s="1"/>
  <c r="E42" i="6"/>
  <c r="G42" i="6" s="1"/>
  <c r="D42" i="6"/>
  <c r="C42" i="6"/>
  <c r="E41" i="6"/>
  <c r="D41" i="6"/>
  <c r="G41" i="6" s="1"/>
  <c r="C41" i="6"/>
  <c r="E40" i="6"/>
  <c r="D40" i="6"/>
  <c r="G40" i="6" s="1"/>
  <c r="C40" i="6"/>
  <c r="E39" i="6"/>
  <c r="G39" i="6" s="1"/>
  <c r="D39" i="6"/>
  <c r="C39" i="6"/>
  <c r="O38" i="6"/>
  <c r="Q38" i="6" s="1"/>
  <c r="N38" i="6"/>
  <c r="E38" i="6"/>
  <c r="C38" i="6"/>
  <c r="D38" i="6" s="1"/>
  <c r="D49" i="6" s="1"/>
  <c r="Q37" i="6"/>
  <c r="O37" i="6"/>
  <c r="N37" i="6"/>
  <c r="G37" i="6"/>
  <c r="E37" i="6"/>
  <c r="D37" i="6"/>
  <c r="Q36" i="6"/>
  <c r="N36" i="6"/>
  <c r="Q35" i="6"/>
  <c r="N35" i="6"/>
  <c r="O34" i="6"/>
  <c r="Q34" i="6" s="1"/>
  <c r="N34" i="6"/>
  <c r="O33" i="6"/>
  <c r="N33" i="6"/>
  <c r="Q33" i="6" s="1"/>
  <c r="O32" i="6"/>
  <c r="N32" i="6"/>
  <c r="Q32" i="6" s="1"/>
  <c r="Q31" i="6"/>
  <c r="O31" i="6"/>
  <c r="N31" i="6"/>
  <c r="O30" i="6"/>
  <c r="Q30" i="6" s="1"/>
  <c r="N30" i="6"/>
  <c r="O29" i="6"/>
  <c r="Q29" i="6" s="1"/>
  <c r="N29" i="6"/>
  <c r="N43" i="6" s="1"/>
  <c r="O14" i="6"/>
  <c r="Q14" i="6" s="1"/>
  <c r="R14" i="6" s="1"/>
  <c r="C14" i="6"/>
  <c r="M14" i="6" s="1"/>
  <c r="N14" i="6" s="1"/>
  <c r="O13" i="6"/>
  <c r="Q13" i="6" s="1"/>
  <c r="R13" i="6" s="1"/>
  <c r="C13" i="6"/>
  <c r="M13" i="6" s="1"/>
  <c r="N13" i="6" s="1"/>
  <c r="O12" i="6"/>
  <c r="Q12" i="6" s="1"/>
  <c r="R12" i="6" s="1"/>
  <c r="N12" i="6"/>
  <c r="M12" i="6"/>
  <c r="H12" i="6"/>
  <c r="F12" i="6"/>
  <c r="Q11" i="6"/>
  <c r="R11" i="6" s="1"/>
  <c r="P11" i="6"/>
  <c r="O11" i="6"/>
  <c r="M11" i="6"/>
  <c r="N11" i="6" s="1"/>
  <c r="H11" i="6"/>
  <c r="F11" i="6"/>
  <c r="M10" i="6"/>
  <c r="N10" i="6" s="1"/>
  <c r="E10" i="6"/>
  <c r="O10" i="6" s="1"/>
  <c r="D10" i="6"/>
  <c r="C10" i="6"/>
  <c r="M9" i="6"/>
  <c r="N9" i="6" s="1"/>
  <c r="E9" i="6"/>
  <c r="O9" i="6" s="1"/>
  <c r="D9" i="6"/>
  <c r="C9" i="6"/>
  <c r="M8" i="6"/>
  <c r="N8" i="6" s="1"/>
  <c r="E8" i="6"/>
  <c r="O8" i="6" s="1"/>
  <c r="D8" i="6"/>
  <c r="C8" i="6"/>
  <c r="M7" i="6"/>
  <c r="N7" i="6" s="1"/>
  <c r="E7" i="6"/>
  <c r="O7" i="6" s="1"/>
  <c r="D7" i="6"/>
  <c r="C7" i="6"/>
  <c r="M6" i="6"/>
  <c r="N6" i="6" s="1"/>
  <c r="E6" i="6"/>
  <c r="O6" i="6" s="1"/>
  <c r="C6" i="6"/>
  <c r="M5" i="6"/>
  <c r="E5" i="6"/>
  <c r="D5" i="6"/>
  <c r="C5" i="6"/>
  <c r="C64" i="2"/>
  <c r="C62" i="2"/>
  <c r="C61" i="2"/>
  <c r="F13" i="4"/>
  <c r="F10" i="4"/>
  <c r="F7" i="4"/>
  <c r="F6" i="4"/>
  <c r="D10" i="4"/>
  <c r="D7" i="4"/>
  <c r="D6" i="4"/>
  <c r="E49" i="2"/>
  <c r="D49" i="2"/>
  <c r="C49" i="2"/>
  <c r="D28" i="1"/>
  <c r="D35" i="1" s="1"/>
  <c r="E32" i="2"/>
  <c r="D32" i="2"/>
  <c r="C32" i="2"/>
  <c r="E31" i="2"/>
  <c r="D31" i="2"/>
  <c r="C31" i="2"/>
  <c r="E7" i="2"/>
  <c r="E5" i="2" s="1"/>
  <c r="D7" i="2"/>
  <c r="D5" i="2" s="1"/>
  <c r="E23" i="2"/>
  <c r="D23" i="2"/>
  <c r="C23" i="2"/>
  <c r="C20" i="2" s="1"/>
  <c r="E22" i="2"/>
  <c r="D22" i="2"/>
  <c r="C22" i="2"/>
  <c r="E21" i="2"/>
  <c r="D21" i="2"/>
  <c r="C21" i="2"/>
  <c r="M26" i="1"/>
  <c r="E6" i="2"/>
  <c r="D6" i="2"/>
  <c r="C6" i="2"/>
  <c r="E63" i="2"/>
  <c r="D63" i="2"/>
  <c r="D57" i="2" s="1"/>
  <c r="D75" i="2" s="1"/>
  <c r="C63" i="2"/>
  <c r="E59" i="2"/>
  <c r="D59" i="2"/>
  <c r="E57" i="2"/>
  <c r="E75" i="2" s="1"/>
  <c r="E51" i="2"/>
  <c r="D51" i="2"/>
  <c r="C51" i="2"/>
  <c r="E48" i="2"/>
  <c r="D48" i="2"/>
  <c r="C48" i="2"/>
  <c r="E47" i="2"/>
  <c r="D47" i="2"/>
  <c r="C47" i="2"/>
  <c r="C46" i="2" s="1"/>
  <c r="E46" i="2"/>
  <c r="D46" i="2"/>
  <c r="E44" i="2"/>
  <c r="D44" i="2"/>
  <c r="D42" i="2" s="1"/>
  <c r="D74" i="2" s="1"/>
  <c r="C44" i="2"/>
  <c r="E30" i="2"/>
  <c r="D30" i="2"/>
  <c r="E25" i="2"/>
  <c r="D25" i="2"/>
  <c r="C25" i="2"/>
  <c r="D20" i="2"/>
  <c r="E14" i="2"/>
  <c r="D14" i="2"/>
  <c r="C14" i="2"/>
  <c r="C5" i="2"/>
  <c r="D19" i="1"/>
  <c r="Q13" i="1"/>
  <c r="D18" i="1"/>
  <c r="D20" i="1" s="1"/>
  <c r="O37" i="1"/>
  <c r="M11" i="1"/>
  <c r="D8" i="1"/>
  <c r="L8" i="1"/>
  <c r="D37" i="3" l="1"/>
  <c r="D39" i="3" s="1"/>
  <c r="C22" i="3"/>
  <c r="C25" i="3" s="1"/>
  <c r="C37" i="3" s="1"/>
  <c r="C39" i="3" s="1"/>
  <c r="B37" i="3"/>
  <c r="B39" i="3" s="1"/>
  <c r="C16" i="5"/>
  <c r="C18" i="5" s="1"/>
  <c r="C20" i="5" s="1"/>
  <c r="B22" i="5"/>
  <c r="C21" i="5"/>
  <c r="D21" i="5"/>
  <c r="D22" i="5" s="1"/>
  <c r="Q6" i="6"/>
  <c r="R6" i="6" s="1"/>
  <c r="P6" i="6"/>
  <c r="Q7" i="6"/>
  <c r="R7" i="6" s="1"/>
  <c r="P7" i="6"/>
  <c r="Q8" i="6"/>
  <c r="R8" i="6" s="1"/>
  <c r="P8" i="6"/>
  <c r="Q9" i="6"/>
  <c r="R9" i="6" s="1"/>
  <c r="P9" i="6"/>
  <c r="P10" i="6"/>
  <c r="Q10" i="6"/>
  <c r="R10" i="6" s="1"/>
  <c r="M25" i="6"/>
  <c r="Q43" i="6"/>
  <c r="C19" i="6"/>
  <c r="F5" i="6"/>
  <c r="F7" i="6"/>
  <c r="D6" i="6"/>
  <c r="D12" i="6"/>
  <c r="G38" i="6"/>
  <c r="G49" i="6" s="1"/>
  <c r="O43" i="6"/>
  <c r="G44" i="6"/>
  <c r="N5" i="6"/>
  <c r="N25" i="6" s="1"/>
  <c r="F6" i="6"/>
  <c r="F8" i="6"/>
  <c r="F9" i="6"/>
  <c r="F10" i="6"/>
  <c r="P12" i="6"/>
  <c r="D13" i="6"/>
  <c r="P13" i="6"/>
  <c r="D14" i="6"/>
  <c r="P14" i="6"/>
  <c r="E49" i="6"/>
  <c r="G5" i="6"/>
  <c r="O5" i="6"/>
  <c r="G6" i="6"/>
  <c r="H6" i="6" s="1"/>
  <c r="G7" i="6"/>
  <c r="H7" i="6" s="1"/>
  <c r="G8" i="6"/>
  <c r="H8" i="6" s="1"/>
  <c r="G9" i="6"/>
  <c r="H9" i="6" s="1"/>
  <c r="G10" i="6"/>
  <c r="H10" i="6" s="1"/>
  <c r="E13" i="6"/>
  <c r="E14" i="6"/>
  <c r="C59" i="2"/>
  <c r="C57" i="2" s="1"/>
  <c r="E42" i="2"/>
  <c r="E74" i="2" s="1"/>
  <c r="C30" i="2"/>
  <c r="C3" i="2" s="1"/>
  <c r="E20" i="2"/>
  <c r="E3" i="2" s="1"/>
  <c r="E73" i="2" s="1"/>
  <c r="D3" i="2"/>
  <c r="D73" i="2" s="1"/>
  <c r="D69" i="2" s="1"/>
  <c r="D70" i="2" s="1"/>
  <c r="C42" i="2"/>
  <c r="C22" i="5" l="1"/>
  <c r="F13" i="6"/>
  <c r="F19" i="6" s="1"/>
  <c r="G13" i="6"/>
  <c r="H13" i="6" s="1"/>
  <c r="E19" i="6"/>
  <c r="O25" i="6"/>
  <c r="P5" i="6"/>
  <c r="P25" i="6" s="1"/>
  <c r="Q5" i="6"/>
  <c r="F14" i="6"/>
  <c r="G14" i="6"/>
  <c r="H14" i="6" s="1"/>
  <c r="H5" i="6"/>
  <c r="D19" i="6"/>
  <c r="E69" i="2"/>
  <c r="E70" i="2" s="1"/>
  <c r="D76" i="2"/>
  <c r="D77" i="2" s="1"/>
  <c r="D78" i="2" s="1"/>
  <c r="E76" i="2"/>
  <c r="E77" i="2" s="1"/>
  <c r="E78" i="2" s="1"/>
  <c r="C69" i="2"/>
  <c r="C70" i="2" s="1"/>
  <c r="C78" i="2"/>
  <c r="H19" i="6" l="1"/>
  <c r="Q25" i="6"/>
  <c r="R5" i="6"/>
  <c r="R25" i="6" s="1"/>
  <c r="G19" i="6"/>
</calcChain>
</file>

<file path=xl/sharedStrings.xml><?xml version="1.0" encoding="utf-8"?>
<sst xmlns="http://schemas.openxmlformats.org/spreadsheetml/2006/main" count="378" uniqueCount="303">
  <si>
    <t>Investimento</t>
  </si>
  <si>
    <t>1 - propriedades de investimento</t>
  </si>
  <si>
    <t>terrenos</t>
  </si>
  <si>
    <t>Edificios e outras const</t>
  </si>
  <si>
    <t>2- Activos fixos Tangíveis</t>
  </si>
  <si>
    <t>edificios</t>
  </si>
  <si>
    <t>equipamentos básicos</t>
  </si>
  <si>
    <t>equipamento transporte</t>
  </si>
  <si>
    <t>equip administrativo</t>
  </si>
  <si>
    <t>equip biológicos</t>
  </si>
  <si>
    <t>3- Activos fixos Intagíveis</t>
  </si>
  <si>
    <t>Goodwill</t>
  </si>
  <si>
    <t>Proj Des.</t>
  </si>
  <si>
    <t xml:space="preserve">Programas computador </t>
  </si>
  <si>
    <t>Prop Indust</t>
  </si>
  <si>
    <t>outros</t>
  </si>
  <si>
    <t>4 - Diversos</t>
  </si>
  <si>
    <t>5 - Fundo Maneio</t>
  </si>
  <si>
    <t>Total</t>
  </si>
  <si>
    <t>mobiliário</t>
  </si>
  <si>
    <t>suporte coroas</t>
  </si>
  <si>
    <t>tesouras</t>
  </si>
  <si>
    <t>tira picos</t>
  </si>
  <si>
    <t>aplicador cola</t>
  </si>
  <si>
    <t>porta preços</t>
  </si>
  <si>
    <t>total</t>
  </si>
  <si>
    <t>activos fixos tangíveis</t>
  </si>
  <si>
    <t>factura 2</t>
  </si>
  <si>
    <t>activos fixos intangíveis</t>
  </si>
  <si>
    <t>programas computador</t>
  </si>
  <si>
    <t>factura 3</t>
  </si>
  <si>
    <t>equipamento básico</t>
  </si>
  <si>
    <t>equipamento administrativo</t>
  </si>
  <si>
    <t>gaveta moedas</t>
  </si>
  <si>
    <t>Diversos</t>
  </si>
  <si>
    <t>(diversos)</t>
  </si>
  <si>
    <t>factura1-berta</t>
  </si>
  <si>
    <t>factura 4</t>
  </si>
  <si>
    <t>factura 6 florineve</t>
  </si>
  <si>
    <t>Fundo Maneio</t>
  </si>
  <si>
    <t>valor mensal * nº meses</t>
  </si>
  <si>
    <t>caução</t>
  </si>
  <si>
    <t>(170*2)</t>
  </si>
  <si>
    <t>renda</t>
  </si>
  <si>
    <t>(170*3)</t>
  </si>
  <si>
    <t>ordenado</t>
  </si>
  <si>
    <t>(400*2)</t>
  </si>
  <si>
    <t>luz</t>
  </si>
  <si>
    <t>(35*2)</t>
  </si>
  <si>
    <t>água</t>
  </si>
  <si>
    <t>(20*2)</t>
  </si>
  <si>
    <t>comunicações</t>
  </si>
  <si>
    <t>(39,9*2)</t>
  </si>
  <si>
    <t>seguro</t>
  </si>
  <si>
    <t>(25*2)</t>
  </si>
  <si>
    <t>gasolina</t>
  </si>
  <si>
    <t>(200*2)</t>
  </si>
  <si>
    <t>seg social</t>
  </si>
  <si>
    <t>(145,68*3)</t>
  </si>
  <si>
    <t>contabilista</t>
  </si>
  <si>
    <t>(67,65*2)</t>
  </si>
  <si>
    <t xml:space="preserve">Código Contas </t>
  </si>
  <si>
    <t>Descrição</t>
  </si>
  <si>
    <t>Valor em (€) 2013</t>
  </si>
  <si>
    <t>Valor em (€) 2014</t>
  </si>
  <si>
    <t>Fornecimentos e Serviços Externos</t>
  </si>
  <si>
    <t>62.1</t>
  </si>
  <si>
    <t>Subcontratos</t>
  </si>
  <si>
    <t>62.2</t>
  </si>
  <si>
    <t>Serviços Especializados</t>
  </si>
  <si>
    <t>62.2.1</t>
  </si>
  <si>
    <t>62.2.2</t>
  </si>
  <si>
    <t>Publicidade e Propaganda</t>
  </si>
  <si>
    <t>62.2.3</t>
  </si>
  <si>
    <t>Vigilância e Segurança</t>
  </si>
  <si>
    <t>62.2.4</t>
  </si>
  <si>
    <t>Honorários</t>
  </si>
  <si>
    <t>62.2.5</t>
  </si>
  <si>
    <t>Comissões</t>
  </si>
  <si>
    <t>62.2.6</t>
  </si>
  <si>
    <t xml:space="preserve">Conservação e Reparação: </t>
  </si>
  <si>
    <t>62.2.7</t>
  </si>
  <si>
    <t xml:space="preserve">Despesas bancárias: </t>
  </si>
  <si>
    <t>62.2.8</t>
  </si>
  <si>
    <t>Outros</t>
  </si>
  <si>
    <t>62.3</t>
  </si>
  <si>
    <t>Materiais</t>
  </si>
  <si>
    <t>62.3.1</t>
  </si>
  <si>
    <t>Ferramentas e Utensílios de desgaste rápido</t>
  </si>
  <si>
    <t>62.3.2</t>
  </si>
  <si>
    <t>Livros e documentação Técnica</t>
  </si>
  <si>
    <t>62.3.3</t>
  </si>
  <si>
    <t xml:space="preserve">Material de escritório: </t>
  </si>
  <si>
    <t>62.3.4</t>
  </si>
  <si>
    <t>Artigos para ofertas</t>
  </si>
  <si>
    <t>62.3.8</t>
  </si>
  <si>
    <t>62.4</t>
  </si>
  <si>
    <t>Energia e fluídos</t>
  </si>
  <si>
    <t>62.4.1</t>
  </si>
  <si>
    <t>62.4.2</t>
  </si>
  <si>
    <t>Combustíveis:</t>
  </si>
  <si>
    <t>62.4.3</t>
  </si>
  <si>
    <t>62.4.8</t>
  </si>
  <si>
    <t>62.5</t>
  </si>
  <si>
    <t>Deslocações, estadas e transportes</t>
  </si>
  <si>
    <t>62.5.1</t>
  </si>
  <si>
    <t>Deslocações e estadas</t>
  </si>
  <si>
    <t>62.5.2</t>
  </si>
  <si>
    <t>Transportes de pessoal</t>
  </si>
  <si>
    <t>62.5.3</t>
  </si>
  <si>
    <t>Transportes de mercadorias</t>
  </si>
  <si>
    <t>62.5.8</t>
  </si>
  <si>
    <t>62.6</t>
  </si>
  <si>
    <t>Serviços Diversos</t>
  </si>
  <si>
    <t>62.6.1</t>
  </si>
  <si>
    <t>Rendas e alugueres</t>
  </si>
  <si>
    <t>62.6.2</t>
  </si>
  <si>
    <t>62.6.3</t>
  </si>
  <si>
    <r>
      <t>Seguros</t>
    </r>
    <r>
      <rPr>
        <u/>
        <sz val="11"/>
        <color indexed="56"/>
        <rFont val="Times New Roman"/>
        <family val="1"/>
      </rPr>
      <t xml:space="preserve"> (Que tipo de seguro multirisco, vida….)</t>
    </r>
  </si>
  <si>
    <t>62.6.4</t>
  </si>
  <si>
    <t>Royalties</t>
  </si>
  <si>
    <t>62.6.5</t>
  </si>
  <si>
    <t>Contencioso e notariado</t>
  </si>
  <si>
    <t>62.6.6</t>
  </si>
  <si>
    <t>Despesas de representação</t>
  </si>
  <si>
    <t>62.6.7</t>
  </si>
  <si>
    <t>Limpeza, higiene e conforto</t>
  </si>
  <si>
    <t>62.6.8</t>
  </si>
  <si>
    <t>Outros Serviços</t>
  </si>
  <si>
    <t>Valor em (€) por ano</t>
  </si>
  <si>
    <t>Gastos com o pessoal</t>
  </si>
  <si>
    <t>63.1</t>
  </si>
  <si>
    <t>Remunerações órgãos sociais</t>
  </si>
  <si>
    <t>63.2</t>
  </si>
  <si>
    <t>Remunerações do pessoal</t>
  </si>
  <si>
    <t>63.2.1</t>
  </si>
  <si>
    <r>
      <t xml:space="preserve"> </t>
    </r>
    <r>
      <rPr>
        <u/>
        <sz val="12"/>
        <color indexed="8"/>
        <rFont val="Times New Roman"/>
        <family val="1"/>
      </rPr>
      <t>Vencimento bruto</t>
    </r>
    <r>
      <rPr>
        <sz val="12"/>
        <color indexed="8"/>
        <rFont val="Times New Roman"/>
        <family val="1"/>
      </rPr>
      <t xml:space="preserve"> 400€/mês (7 meses 2013+ 14 meses 2014 e 2015)</t>
    </r>
  </si>
  <si>
    <t>63.5</t>
  </si>
  <si>
    <t>Encargos sobre as remunerações</t>
  </si>
  <si>
    <t xml:space="preserve"> 400€/mês x 34,75% (entidade patronal+funcionário)</t>
  </si>
  <si>
    <t>63.6</t>
  </si>
  <si>
    <t xml:space="preserve">Seguros de acidentes no trabalho e doenças profissionais: </t>
  </si>
  <si>
    <t>63.6.1.1</t>
  </si>
  <si>
    <r>
      <t xml:space="preserve"> Seguro Acidentes Trabalho </t>
    </r>
    <r>
      <rPr>
        <sz val="12"/>
        <color indexed="10"/>
        <rFont val="Times New Roman"/>
        <family val="1"/>
      </rPr>
      <t>?</t>
    </r>
  </si>
  <si>
    <t>63.6.1.2</t>
  </si>
  <si>
    <t>63.8</t>
  </si>
  <si>
    <t>Outros gastos com o pessoal</t>
  </si>
  <si>
    <t>63.8.1</t>
  </si>
  <si>
    <t xml:space="preserve">Gastos com formação </t>
  </si>
  <si>
    <t>63.8.2</t>
  </si>
  <si>
    <t xml:space="preserve">Gastos com fardamento </t>
  </si>
  <si>
    <t>Gastos de depreciação e de amortização</t>
  </si>
  <si>
    <t>64.1</t>
  </si>
  <si>
    <t>Propriedades de investimento</t>
  </si>
  <si>
    <t>64.2</t>
  </si>
  <si>
    <t>Ativos fixos tangíveis</t>
  </si>
  <si>
    <r>
      <rPr>
        <u/>
        <sz val="12"/>
        <color indexed="8"/>
        <rFont val="Times New Roman"/>
        <family val="1"/>
      </rPr>
      <t>Equipamento Básico</t>
    </r>
    <r>
      <rPr>
        <sz val="12"/>
        <color indexed="8"/>
        <rFont val="Times New Roman"/>
        <family val="1"/>
      </rPr>
      <t>:</t>
    </r>
  </si>
  <si>
    <t>Mobiliário</t>
  </si>
  <si>
    <t>Gaveta</t>
  </si>
  <si>
    <t>64.3</t>
  </si>
  <si>
    <t>Ativos intangíveis</t>
  </si>
  <si>
    <t>Programas Computador</t>
  </si>
  <si>
    <t>TOTAL RENDIMENTOS</t>
  </si>
  <si>
    <t>TOTAL GASTOS</t>
  </si>
  <si>
    <t>RESULTADO ANTES IMPOSTOS</t>
  </si>
  <si>
    <t>RAI</t>
  </si>
  <si>
    <t>Imposto s/rendimento (25% IRC e 1,5% derrama)</t>
  </si>
  <si>
    <t>Cartões</t>
  </si>
  <si>
    <t>7.2- Financiamento do Investimento</t>
  </si>
  <si>
    <t>1 - Capitais Próprios</t>
  </si>
  <si>
    <t xml:space="preserve"> Capital (social/Inicial)</t>
  </si>
  <si>
    <t>Recebimento ant de prestações desmp</t>
  </si>
  <si>
    <t>2 - Capitais alheios</t>
  </si>
  <si>
    <t>emp sócios</t>
  </si>
  <si>
    <t>emp bancários</t>
  </si>
  <si>
    <t>créditos fornecedores</t>
  </si>
  <si>
    <t>outros capitais alheios</t>
  </si>
  <si>
    <t>falta-me orçamento</t>
  </si>
  <si>
    <t>ver se mantem os 145,68 para 3º ano</t>
  </si>
  <si>
    <t>13 - Gastos de Depreciação e amortização</t>
  </si>
  <si>
    <t>Factura/orçamento</t>
  </si>
  <si>
    <t>Valor</t>
  </si>
  <si>
    <t>Taxa</t>
  </si>
  <si>
    <t>Amortização</t>
  </si>
  <si>
    <t>Activos Fixos Tangíveis</t>
  </si>
  <si>
    <t>Activos Fixos intangíveis</t>
  </si>
  <si>
    <t>equip básico mobiliar.</t>
  </si>
  <si>
    <t xml:space="preserve">FP nº </t>
  </si>
  <si>
    <t>equip adminst</t>
  </si>
  <si>
    <t xml:space="preserve">FPnº </t>
  </si>
  <si>
    <t>programas comp</t>
  </si>
  <si>
    <t xml:space="preserve">Valor em (€) 2015        </t>
  </si>
  <si>
    <t>9 - Vendas de bens ou serviços do Projeto (valor a receber do clt s/ iva)</t>
  </si>
  <si>
    <t>10- Consumo de Mercadorias, matérias primas e subsid projecto (s/ iva)</t>
  </si>
  <si>
    <t xml:space="preserve">crescimento 5% </t>
  </si>
  <si>
    <t>5% ano</t>
  </si>
  <si>
    <t>Designação</t>
  </si>
  <si>
    <t>Unid Física</t>
  </si>
  <si>
    <t>2013 (Agosto/Dezemb)</t>
  </si>
  <si>
    <t>2013 (Agosto a Dezembro)</t>
  </si>
  <si>
    <t>Quant</t>
  </si>
  <si>
    <t>coroas</t>
  </si>
  <si>
    <t>ramos funeral</t>
  </si>
  <si>
    <t>Ramos oferta</t>
  </si>
  <si>
    <t>ramos oferta</t>
  </si>
  <si>
    <t>Ramos secos</t>
  </si>
  <si>
    <t>Ramos Secos</t>
  </si>
  <si>
    <t>Plantas</t>
  </si>
  <si>
    <t>plantas</t>
  </si>
  <si>
    <t xml:space="preserve">cestas </t>
  </si>
  <si>
    <t>cestas</t>
  </si>
  <si>
    <t>Arranjos Florais p/ Dec casamentos</t>
  </si>
  <si>
    <t>Cravos (molho)</t>
  </si>
  <si>
    <t>Margaridas (molho)</t>
  </si>
  <si>
    <t>calculei para o mês de Agosto a venda de apenas 50% do nº de unidades estivamdas para os meses seguintes tendo em conta que se trata do 1º mês</t>
  </si>
  <si>
    <t>custos das mercadorias por mês/ano (valor s/ iva)</t>
  </si>
  <si>
    <t>produto</t>
  </si>
  <si>
    <t>unid p/ mês</t>
  </si>
  <si>
    <t>valor/und</t>
  </si>
  <si>
    <t>total mês</t>
  </si>
  <si>
    <t>total unid/ano</t>
  </si>
  <si>
    <t>(somar)Fev/Maio/Nov</t>
  </si>
  <si>
    <t>total € ano</t>
  </si>
  <si>
    <t>vendas por mês/ano</t>
  </si>
  <si>
    <t>valor/und s/ iva</t>
  </si>
  <si>
    <t>total mês s/ iva</t>
  </si>
  <si>
    <t>Fev/Maio</t>
  </si>
  <si>
    <t>Flores p/ Ramos noiva</t>
  </si>
  <si>
    <t>coroas funeral</t>
  </si>
  <si>
    <t>flores p/ Dec casamentos</t>
  </si>
  <si>
    <t>1,5% derrama???? O que é e para que serve</t>
  </si>
  <si>
    <t>falta calcular a questão do imposto s/ rendimento. E se eu optar pelo regime simplificado</t>
  </si>
  <si>
    <t>valores com iva</t>
  </si>
  <si>
    <r>
      <rPr>
        <u/>
        <sz val="12"/>
        <color indexed="8"/>
        <rFont val="Times New Roman"/>
        <family val="1"/>
      </rPr>
      <t>Trabalhos Especializados</t>
    </r>
    <r>
      <rPr>
        <sz val="12"/>
        <color indexed="8"/>
        <rFont val="Times New Roman"/>
        <family val="1"/>
      </rPr>
      <t>: Avença TOC- 55 €/mês+IVA (5 meses 2013 + 12 meses 2014 e 2015)</t>
    </r>
  </si>
  <si>
    <r>
      <rPr>
        <u/>
        <sz val="12"/>
        <color indexed="8"/>
        <rFont val="Times New Roman"/>
        <family val="1"/>
      </rPr>
      <t>Comunicação</t>
    </r>
    <r>
      <rPr>
        <sz val="12"/>
        <color indexed="8"/>
        <rFont val="Times New Roman"/>
        <family val="1"/>
      </rPr>
      <t>: 55 €/mês + IVA  (5 meses 2013 +12 meses 2014 e 2015)</t>
    </r>
  </si>
  <si>
    <t>15- Demonstração dos Resultados Previsional</t>
  </si>
  <si>
    <t>Modelo do NCM</t>
  </si>
  <si>
    <t>(Unid:Euros)</t>
  </si>
  <si>
    <t>Descrição (Modelo do NCM)</t>
  </si>
  <si>
    <t>Vendas e Serviços Prestados</t>
  </si>
  <si>
    <t>Subsídios à exploração</t>
  </si>
  <si>
    <t>Variação nos Inventários da produção</t>
  </si>
  <si>
    <t>Trabalhos para a própria entidade</t>
  </si>
  <si>
    <t>Custo Mercadorias Vendidas e das Matérias Consumidas</t>
  </si>
  <si>
    <t>Gastos com Pessoal</t>
  </si>
  <si>
    <t>Imparidades (perdas/reversões)</t>
  </si>
  <si>
    <t>Provisões (aumentos/reduções)</t>
  </si>
  <si>
    <t>Outros rendimentos e ganhos</t>
  </si>
  <si>
    <t>Outros gastos e perdas</t>
  </si>
  <si>
    <t>Resultado antes de depreciações, gastos de financiamento e impostos</t>
  </si>
  <si>
    <t>Gastos/reversões de depreciação e de amortização</t>
  </si>
  <si>
    <t>Resultado Operacionais (antes de gastos de financiamento e impostos)</t>
  </si>
  <si>
    <t>Gasto líquido de financiamento</t>
  </si>
  <si>
    <t>Resultado antes dos impostos</t>
  </si>
  <si>
    <t>Impostos s/rendimentos do período</t>
  </si>
  <si>
    <t>Resultado líquido do período</t>
  </si>
  <si>
    <t>o imposto é sobre 20 % certo? Alterei e fiz a conta a 20%</t>
  </si>
  <si>
    <t>16-Balanço Previsional</t>
  </si>
  <si>
    <t>ATIVO (Modelo do NCM)</t>
  </si>
  <si>
    <t>ATIVO NÃO CORRENTE</t>
  </si>
  <si>
    <t>Investimentos financeiros</t>
  </si>
  <si>
    <t>Acionistas/sócios</t>
  </si>
  <si>
    <t>ATIVO CORRENTE</t>
  </si>
  <si>
    <t>Inventários</t>
  </si>
  <si>
    <t>Clientes</t>
  </si>
  <si>
    <t>Estado e outros entes públicos</t>
  </si>
  <si>
    <t>Diferimentos</t>
  </si>
  <si>
    <t>Outros ativos correntes</t>
  </si>
  <si>
    <t>Caixa e depósitos bancários</t>
  </si>
  <si>
    <t>TOTAL DO ATIVO</t>
  </si>
  <si>
    <t>CAPITAL PRÓPRIO (Modelo do NCM)</t>
  </si>
  <si>
    <t>Capital realizado</t>
  </si>
  <si>
    <t>Outros instrumentos de capital próprio</t>
  </si>
  <si>
    <t>Reservas</t>
  </si>
  <si>
    <t>Resultados Transitados</t>
  </si>
  <si>
    <t>Outras variações no capital próprio</t>
  </si>
  <si>
    <t>TOTAL DO CAPITAL PRÓPRIO</t>
  </si>
  <si>
    <t>PASSIVO (Modelo do NCM)</t>
  </si>
  <si>
    <t>PASSIVO NÃO CORRENTE</t>
  </si>
  <si>
    <t>Provisões</t>
  </si>
  <si>
    <t>Financiamentos obtidos</t>
  </si>
  <si>
    <t>Outras contas a pagar</t>
  </si>
  <si>
    <t>PASSIVO CORRENTE</t>
  </si>
  <si>
    <t>Fornecedores</t>
  </si>
  <si>
    <t>Outros passivos correntes</t>
  </si>
  <si>
    <t>TOTAL DO PASSIVO</t>
  </si>
  <si>
    <t>TOTAL DO CAPITAL PRÓPRIO E DO PASSIVO</t>
  </si>
  <si>
    <t>se optar por ser ENI-regime simplificado a taxa a aplicar é de 20% ??? + 1,5% derrama</t>
  </si>
  <si>
    <t>Perguntas</t>
  </si>
  <si>
    <t>Fiz novo excell para ver se percebia melhor como efectuou os calculos</t>
  </si>
  <si>
    <t>espero que ajude e aqui vão as minhas perguntas</t>
  </si>
  <si>
    <t>Factura 5 - berta</t>
  </si>
  <si>
    <r>
      <t>Electricidade  35</t>
    </r>
    <r>
      <rPr>
        <b/>
        <sz val="10"/>
        <color indexed="10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€/mês + IVA (5 meses 2013 +12 meses 2014 e 2015)</t>
    </r>
  </si>
  <si>
    <r>
      <t>Água 20</t>
    </r>
    <r>
      <rPr>
        <sz val="12"/>
        <color indexed="10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€/mês + IVA  (5 meses 2013 +12 meses 2014 e 2015)</t>
    </r>
  </si>
  <si>
    <t>Medicina e Higiene Trabalho</t>
  </si>
  <si>
    <r>
      <t>2,2-</t>
    </r>
    <r>
      <rPr>
        <sz val="11"/>
        <rFont val="Calibri"/>
        <family val="2"/>
        <scheme val="minor"/>
      </rPr>
      <t>Na parte Imposto s/rendimento (25% IRC e 1,5% derrama) - apenas apliquei o imposto de 20% + 1,5% (derrama-barreiro) porque penso em  optar pelo regime simplificado (não sei se seria o mais correcto mas pensei neste). É assim que se calcula?</t>
    </r>
  </si>
  <si>
    <r>
      <rPr>
        <sz val="11"/>
        <color rgb="FFFF0000"/>
        <rFont val="Calibri"/>
        <family val="2"/>
        <scheme val="minor"/>
      </rPr>
      <t>4-</t>
    </r>
    <r>
      <rPr>
        <sz val="11"/>
        <color theme="1"/>
        <rFont val="Calibri"/>
        <family val="2"/>
        <scheme val="minor"/>
      </rPr>
      <t xml:space="preserve"> No Balanço também tentei seguir a formula mas acho que algo não está bem calculado…são €€ a mais…. :P</t>
    </r>
  </si>
  <si>
    <t>Obrigada</t>
  </si>
  <si>
    <r>
      <rPr>
        <sz val="11"/>
        <color rgb="FFFF0000"/>
        <rFont val="Calibri"/>
        <family val="2"/>
        <scheme val="minor"/>
      </rPr>
      <t>1 -</t>
    </r>
    <r>
      <rPr>
        <sz val="11"/>
        <rFont val="Calibri"/>
        <family val="2"/>
        <scheme val="minor"/>
      </rPr>
      <t>No quadro 9 - Vendas, faço</t>
    </r>
    <r>
      <rPr>
        <sz val="11"/>
        <color theme="1"/>
        <rFont val="Calibri"/>
        <family val="2"/>
        <scheme val="minor"/>
      </rPr>
      <t xml:space="preserve"> referência ao facto de serem coroas. Devo colocar flores para coroas para que não fosse considerado uma prestação de serviços. Na minha pespectiva coroas trata-se não de um préstimo de serviço mas como um produto acabado. É um artigo. será que as finanças não o encaram como tal? Se assim for acham que se colocar Flores para coroas, muda em alguma coisa? Interessa depois é ao registar no dia a dia certo? </t>
    </r>
  </si>
  <si>
    <r>
      <rPr>
        <sz val="11"/>
        <color rgb="FFFF0000"/>
        <rFont val="Calibri"/>
        <family val="2"/>
        <scheme val="minor"/>
      </rPr>
      <t>2 -</t>
    </r>
    <r>
      <rPr>
        <sz val="11"/>
        <color theme="1"/>
        <rFont val="Calibri"/>
        <family val="2"/>
        <scheme val="minor"/>
      </rPr>
      <t xml:space="preserve"> No quadro Fornecimentos e serv externos copiei a  sua tabela e apliquei os valores com iva. Para os casos da luz e água apenas indiquei um valor indicativo. Sabem-me indicar se eles passam facturas pro-form ou não é necessário para estas situações? </t>
    </r>
    <r>
      <rPr>
        <sz val="11"/>
        <color theme="1"/>
        <rFont val="Calibri"/>
        <family val="2"/>
        <scheme val="minor"/>
      </rPr>
      <t xml:space="preserve"> </t>
    </r>
  </si>
  <si>
    <r>
      <t>2,1 -</t>
    </r>
    <r>
      <rPr>
        <sz val="11"/>
        <rFont val="Calibri"/>
        <family val="2"/>
        <scheme val="minor"/>
      </rPr>
      <t xml:space="preserve">  Não coloquei ordenado em gastos com pessoal em virtude de um comentário no tópico que indiva que ao ser ENI não terá ordenado...apenas o valor do rendimento final do ano, apenas coloquei o valor da seg social e seguro acidentes de trabalho que é apenas indicativo (ainda não tenho factura pró-form aguardo orçamento). </t>
    </r>
  </si>
  <si>
    <r>
      <rPr>
        <sz val="11"/>
        <color rgb="FFFF0000"/>
        <rFont val="Calibri"/>
        <family val="2"/>
        <scheme val="minor"/>
      </rPr>
      <t>3-</t>
    </r>
    <r>
      <rPr>
        <sz val="11"/>
        <color theme="1"/>
        <rFont val="Calibri"/>
        <family val="2"/>
        <scheme val="minor"/>
      </rPr>
      <t xml:space="preserve"> Na Demonst Resultados tentei seguir o raciocinio em termos de calculos, espero que esteja bem.  Mas….fiquei na mesma na dúvida quando à questão: Custo Mercadorias Vendidas e das Matérias Consumidas. Isto não é o custo dos artigos que eu vendi? desculpe mas já estou baralhada...</t>
    </r>
  </si>
  <si>
    <t xml:space="preserve">Desculpem mais uma vez estas perguntas todas mas acho que assim vai melhor esquematizado.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</si>
</sst>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;[Red]0"/>
    <numFmt numFmtId="165" formatCode="#,##0.00&quot;  &quot;;[Red]#,##0.00&quot;  &quot;"/>
    <numFmt numFmtId="166" formatCode="#,##0;[Red]#,##0"/>
    <numFmt numFmtId="167" formatCode="#,##0.0;[Red]#,##0.0"/>
    <numFmt numFmtId="168" formatCode="0.0"/>
    <numFmt numFmtId="169" formatCode="#,##0.00&quot; &quot;[$€-816];[Red]#,##0.00&quot; &quot;[$€-816]"/>
    <numFmt numFmtId="170" formatCode="0.00;[Red]0.00"/>
    <numFmt numFmtId="171" formatCode="#,##0.00&quot; &quot;[$€];[Red]#,##0.00&quot; &quot;[$€]"/>
    <numFmt numFmtId="172" formatCode="#,##0.00;[Red]#,##0.00"/>
  </numFmts>
  <fonts count="30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61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66092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10"/>
      <name val="Times New Roman"/>
      <family val="1"/>
    </font>
    <font>
      <b/>
      <sz val="10"/>
      <color indexed="10"/>
      <name val="Times New Roman"/>
      <family val="1"/>
    </font>
    <font>
      <sz val="11"/>
      <color indexed="8"/>
      <name val="Times New Roman"/>
      <family val="1"/>
    </font>
    <font>
      <u/>
      <sz val="11"/>
      <color indexed="56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b/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92D050"/>
      <name val="Arial"/>
      <family val="2"/>
    </font>
    <font>
      <b/>
      <sz val="11"/>
      <name val="Calibri"/>
      <family val="2"/>
      <scheme val="minor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name val="Times New Roman"/>
      <family val="1"/>
    </font>
    <font>
      <b/>
      <u/>
      <sz val="12"/>
      <name val="Arial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68">
    <xf numFmtId="0" fontId="0" fillId="0" borderId="0" xfId="0"/>
    <xf numFmtId="0" fontId="4" fillId="2" borderId="1" xfId="1" applyFont="1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5" fillId="3" borderId="3" xfId="0" applyFont="1" applyFill="1" applyBorder="1" applyAlignment="1"/>
    <xf numFmtId="0" fontId="6" fillId="0" borderId="3" xfId="0" applyFont="1" applyFill="1" applyBorder="1" applyAlignment="1">
      <alignment horizontal="left"/>
    </xf>
    <xf numFmtId="0" fontId="6" fillId="0" borderId="3" xfId="0" applyFont="1" applyBorder="1" applyAlignment="1"/>
    <xf numFmtId="0" fontId="5" fillId="0" borderId="3" xfId="0" applyFont="1" applyFill="1" applyBorder="1" applyAlignment="1">
      <alignment horizontal="left"/>
    </xf>
    <xf numFmtId="0" fontId="5" fillId="0" borderId="3" xfId="0" applyFont="1" applyBorder="1"/>
    <xf numFmtId="0" fontId="6" fillId="0" borderId="3" xfId="0" applyFont="1" applyBorder="1" applyAlignment="1">
      <alignment horizontal="left"/>
    </xf>
    <xf numFmtId="0" fontId="7" fillId="0" borderId="3" xfId="0" applyFont="1" applyBorder="1"/>
    <xf numFmtId="0" fontId="5" fillId="0" borderId="3" xfId="0" applyFont="1" applyBorder="1" applyAlignment="1">
      <alignment horizontal="right"/>
    </xf>
    <xf numFmtId="0" fontId="6" fillId="0" borderId="3" xfId="0" applyFont="1" applyFill="1" applyBorder="1" applyAlignment="1">
      <alignment horizontal="right"/>
    </xf>
    <xf numFmtId="0" fontId="3" fillId="0" borderId="0" xfId="0" applyFont="1"/>
    <xf numFmtId="0" fontId="0" fillId="0" borderId="0" xfId="0" applyBorder="1"/>
    <xf numFmtId="0" fontId="0" fillId="0" borderId="4" xfId="0" applyBorder="1"/>
    <xf numFmtId="0" fontId="2" fillId="0" borderId="5" xfId="0" applyFont="1" applyBorder="1"/>
    <xf numFmtId="0" fontId="0" fillId="0" borderId="5" xfId="0" applyBorder="1"/>
    <xf numFmtId="0" fontId="3" fillId="0" borderId="5" xfId="0" applyFont="1" applyBorder="1"/>
    <xf numFmtId="0" fontId="9" fillId="0" borderId="0" xfId="0" applyFont="1" applyBorder="1"/>
    <xf numFmtId="0" fontId="5" fillId="0" borderId="0" xfId="0" applyFont="1" applyFill="1" applyBorder="1"/>
    <xf numFmtId="0" fontId="7" fillId="0" borderId="0" xfId="0" applyFont="1" applyFill="1" applyBorder="1"/>
    <xf numFmtId="0" fontId="3" fillId="0" borderId="4" xfId="0" applyFont="1" applyBorder="1"/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left"/>
    </xf>
    <xf numFmtId="4" fontId="13" fillId="0" borderId="7" xfId="0" applyNumberFormat="1" applyFont="1" applyBorder="1" applyAlignment="1">
      <alignment horizontal="center"/>
    </xf>
    <xf numFmtId="4" fontId="13" fillId="0" borderId="8" xfId="0" applyNumberFormat="1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3" xfId="0" applyFont="1" applyBorder="1" applyAlignment="1">
      <alignment horizontal="left"/>
    </xf>
    <xf numFmtId="4" fontId="12" fillId="0" borderId="13" xfId="0" applyNumberFormat="1" applyFont="1" applyBorder="1" applyAlignment="1">
      <alignment horizontal="center"/>
    </xf>
    <xf numFmtId="0" fontId="13" fillId="0" borderId="13" xfId="0" applyFont="1" applyBorder="1" applyAlignment="1">
      <alignment horizontal="center" vertical="top"/>
    </xf>
    <xf numFmtId="4" fontId="13" fillId="0" borderId="13" xfId="0" applyNumberFormat="1" applyFont="1" applyBorder="1" applyAlignment="1">
      <alignment horizontal="center" vertical="top"/>
    </xf>
    <xf numFmtId="0" fontId="13" fillId="0" borderId="13" xfId="0" applyFont="1" applyBorder="1" applyAlignment="1">
      <alignment horizontal="center"/>
    </xf>
    <xf numFmtId="0" fontId="13" fillId="0" borderId="13" xfId="0" applyFont="1" applyBorder="1" applyAlignment="1">
      <alignment horizontal="left"/>
    </xf>
    <xf numFmtId="4" fontId="13" fillId="0" borderId="13" xfId="0" applyNumberFormat="1" applyFont="1" applyBorder="1" applyAlignment="1">
      <alignment horizontal="center"/>
    </xf>
    <xf numFmtId="0" fontId="14" fillId="0" borderId="13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4" fontId="13" fillId="0" borderId="0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4" fontId="13" fillId="0" borderId="0" xfId="0" applyNumberFormat="1" applyFont="1" applyAlignment="1">
      <alignment horizontal="center"/>
    </xf>
    <xf numFmtId="0" fontId="12" fillId="0" borderId="13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left"/>
    </xf>
    <xf numFmtId="4" fontId="12" fillId="0" borderId="13" xfId="0" applyNumberFormat="1" applyFont="1" applyFill="1" applyBorder="1" applyAlignment="1">
      <alignment horizontal="center"/>
    </xf>
    <xf numFmtId="0" fontId="12" fillId="0" borderId="13" xfId="0" applyFont="1" applyBorder="1" applyAlignment="1">
      <alignment horizontal="center" vertical="top"/>
    </xf>
    <xf numFmtId="4" fontId="12" fillId="0" borderId="13" xfId="0" applyNumberFormat="1" applyFont="1" applyBorder="1" applyAlignment="1">
      <alignment horizontal="center" vertical="top"/>
    </xf>
    <xf numFmtId="0" fontId="12" fillId="0" borderId="13" xfId="0" applyFont="1" applyBorder="1" applyAlignment="1">
      <alignment horizontal="left" vertical="top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13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right"/>
    </xf>
    <xf numFmtId="4" fontId="19" fillId="0" borderId="13" xfId="0" applyNumberFormat="1" applyFont="1" applyFill="1" applyBorder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" fontId="11" fillId="0" borderId="7" xfId="0" applyNumberFormat="1" applyFont="1" applyBorder="1" applyAlignment="1">
      <alignment horizontal="center" vertical="center"/>
    </xf>
    <xf numFmtId="4" fontId="11" fillId="0" borderId="8" xfId="0" applyNumberFormat="1" applyFont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center"/>
    </xf>
    <xf numFmtId="4" fontId="12" fillId="0" borderId="11" xfId="0" applyNumberFormat="1" applyFont="1" applyFill="1" applyBorder="1" applyAlignment="1">
      <alignment horizontal="center" vertical="center"/>
    </xf>
    <xf numFmtId="4" fontId="12" fillId="0" borderId="12" xfId="0" applyNumberFormat="1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left"/>
    </xf>
    <xf numFmtId="0" fontId="11" fillId="0" borderId="13" xfId="0" applyFont="1" applyBorder="1" applyAlignment="1">
      <alignment horizontal="center" vertical="center"/>
    </xf>
    <xf numFmtId="4" fontId="11" fillId="0" borderId="13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left" vertical="top"/>
    </xf>
    <xf numFmtId="0" fontId="13" fillId="6" borderId="13" xfId="0" applyFont="1" applyFill="1" applyBorder="1" applyAlignment="1">
      <alignment horizontal="left"/>
    </xf>
    <xf numFmtId="0" fontId="13" fillId="0" borderId="13" xfId="0" applyFont="1" applyBorder="1" applyAlignment="1"/>
    <xf numFmtId="0" fontId="0" fillId="0" borderId="0" xfId="0" applyAlignment="1">
      <alignment horizontal="left"/>
    </xf>
    <xf numFmtId="0" fontId="0" fillId="0" borderId="0" xfId="0" applyFont="1"/>
    <xf numFmtId="0" fontId="4" fillId="2" borderId="14" xfId="1" applyFont="1" applyBorder="1" applyAlignment="1">
      <alignment horizontal="center" vertical="center"/>
    </xf>
    <xf numFmtId="0" fontId="4" fillId="2" borderId="15" xfId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3" xfId="0" applyFont="1" applyBorder="1" applyAlignment="1"/>
    <xf numFmtId="0" fontId="21" fillId="0" borderId="3" xfId="0" applyFont="1" applyFill="1" applyBorder="1" applyAlignment="1">
      <alignment horizontal="center" vertical="center" wrapText="1"/>
    </xf>
    <xf numFmtId="0" fontId="4" fillId="2" borderId="13" xfId="1" applyFont="1" applyBorder="1" applyAlignment="1">
      <alignment horizontal="center" vertical="center"/>
    </xf>
    <xf numFmtId="0" fontId="5" fillId="0" borderId="3" xfId="0" applyFont="1" applyFill="1" applyBorder="1"/>
    <xf numFmtId="9" fontId="5" fillId="0" borderId="3" xfId="0" applyNumberFormat="1" applyFont="1" applyBorder="1"/>
    <xf numFmtId="0" fontId="22" fillId="0" borderId="3" xfId="0" applyFont="1" applyFill="1" applyBorder="1" applyAlignment="1">
      <alignment horizontal="center"/>
    </xf>
    <xf numFmtId="0" fontId="22" fillId="0" borderId="3" xfId="0" applyFont="1" applyBorder="1"/>
    <xf numFmtId="0" fontId="21" fillId="0" borderId="0" xfId="0" applyFont="1" applyAlignment="1">
      <alignment vertical="top" wrapText="1"/>
    </xf>
    <xf numFmtId="0" fontId="21" fillId="0" borderId="0" xfId="0" applyFont="1" applyAlignment="1">
      <alignment horizontal="center" vertical="top" wrapText="1"/>
    </xf>
    <xf numFmtId="0" fontId="5" fillId="0" borderId="0" xfId="0" applyFont="1"/>
    <xf numFmtId="9" fontId="21" fillId="0" borderId="15" xfId="0" applyNumberFormat="1" applyFont="1" applyFill="1" applyBorder="1" applyAlignment="1">
      <alignment horizontal="center" vertical="top" wrapText="1"/>
    </xf>
    <xf numFmtId="9" fontId="21" fillId="0" borderId="15" xfId="0" applyNumberFormat="1" applyFont="1" applyBorder="1" applyAlignment="1">
      <alignment horizontal="right" vertical="top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5" fontId="5" fillId="0" borderId="3" xfId="0" applyNumberFormat="1" applyFont="1" applyBorder="1" applyAlignment="1">
      <alignment horizontal="right"/>
    </xf>
    <xf numFmtId="166" fontId="5" fillId="0" borderId="3" xfId="0" applyNumberFormat="1" applyFont="1" applyBorder="1" applyAlignment="1">
      <alignment horizontal="center"/>
    </xf>
    <xf numFmtId="167" fontId="5" fillId="0" borderId="3" xfId="0" applyNumberFormat="1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165" fontId="5" fillId="0" borderId="3" xfId="0" applyNumberFormat="1" applyFont="1" applyBorder="1"/>
    <xf numFmtId="1" fontId="5" fillId="0" borderId="3" xfId="0" applyNumberFormat="1" applyFont="1" applyBorder="1" applyAlignment="1">
      <alignment horizontal="center"/>
    </xf>
    <xf numFmtId="168" fontId="5" fillId="0" borderId="3" xfId="0" applyNumberFormat="1" applyFont="1" applyBorder="1" applyAlignment="1">
      <alignment horizontal="center"/>
    </xf>
    <xf numFmtId="0" fontId="5" fillId="0" borderId="17" xfId="0" applyFont="1" applyBorder="1"/>
    <xf numFmtId="164" fontId="5" fillId="0" borderId="0" xfId="0" applyNumberFormat="1" applyFont="1" applyAlignment="1">
      <alignment horizontal="center"/>
    </xf>
    <xf numFmtId="169" fontId="5" fillId="0" borderId="0" xfId="0" applyNumberFormat="1" applyFont="1"/>
    <xf numFmtId="166" fontId="5" fillId="0" borderId="0" xfId="0" applyNumberFormat="1" applyFont="1" applyAlignment="1">
      <alignment horizontal="center"/>
    </xf>
    <xf numFmtId="169" fontId="5" fillId="0" borderId="0" xfId="0" applyNumberFormat="1" applyFont="1" applyAlignment="1">
      <alignment horizontal="right"/>
    </xf>
    <xf numFmtId="170" fontId="5" fillId="0" borderId="0" xfId="0" applyNumberFormat="1" applyFont="1" applyAlignment="1">
      <alignment horizontal="center"/>
    </xf>
    <xf numFmtId="1" fontId="5" fillId="0" borderId="0" xfId="0" applyNumberFormat="1" applyFont="1"/>
    <xf numFmtId="0" fontId="5" fillId="0" borderId="0" xfId="0" applyFont="1" applyAlignment="1">
      <alignment horizontal="center" wrapText="1"/>
    </xf>
    <xf numFmtId="0" fontId="21" fillId="0" borderId="3" xfId="0" applyFont="1" applyBorder="1" applyAlignment="1">
      <alignment horizontal="center"/>
    </xf>
    <xf numFmtId="164" fontId="5" fillId="0" borderId="3" xfId="0" applyNumberFormat="1" applyFont="1" applyBorder="1"/>
    <xf numFmtId="169" fontId="5" fillId="0" borderId="3" xfId="0" applyNumberFormat="1" applyFont="1" applyBorder="1"/>
    <xf numFmtId="1" fontId="5" fillId="0" borderId="3" xfId="0" applyNumberFormat="1" applyFont="1" applyBorder="1"/>
    <xf numFmtId="0" fontId="21" fillId="0" borderId="18" xfId="0" applyFont="1" applyFill="1" applyBorder="1" applyAlignment="1">
      <alignment horizontal="center"/>
    </xf>
    <xf numFmtId="0" fontId="5" fillId="0" borderId="19" xfId="0" applyFont="1" applyBorder="1"/>
    <xf numFmtId="0" fontId="5" fillId="0" borderId="19" xfId="0" applyFont="1" applyBorder="1" applyAlignment="1">
      <alignment horizontal="center"/>
    </xf>
    <xf numFmtId="0" fontId="5" fillId="0" borderId="20" xfId="0" applyFont="1" applyBorder="1"/>
    <xf numFmtId="0" fontId="7" fillId="7" borderId="18" xfId="0" applyFont="1" applyFill="1" applyBorder="1"/>
    <xf numFmtId="0" fontId="5" fillId="7" borderId="18" xfId="0" applyFont="1" applyFill="1" applyBorder="1"/>
    <xf numFmtId="171" fontId="5" fillId="0" borderId="0" xfId="0" applyNumberFormat="1" applyFont="1"/>
    <xf numFmtId="0" fontId="5" fillId="0" borderId="18" xfId="0" applyFont="1" applyBorder="1"/>
    <xf numFmtId="0" fontId="5" fillId="0" borderId="18" xfId="0" applyFont="1" applyBorder="1" applyAlignment="1">
      <alignment horizontal="center"/>
    </xf>
    <xf numFmtId="169" fontId="5" fillId="0" borderId="18" xfId="0" applyNumberFormat="1" applyFont="1" applyFill="1" applyBorder="1" applyAlignment="1">
      <alignment horizontal="right"/>
    </xf>
    <xf numFmtId="164" fontId="5" fillId="7" borderId="18" xfId="0" applyNumberFormat="1" applyFont="1" applyFill="1" applyBorder="1" applyAlignment="1">
      <alignment horizontal="center"/>
    </xf>
    <xf numFmtId="1" fontId="5" fillId="7" borderId="18" xfId="0" applyNumberFormat="1" applyFont="1" applyFill="1" applyBorder="1" applyAlignment="1">
      <alignment horizontal="center"/>
    </xf>
    <xf numFmtId="169" fontId="5" fillId="7" borderId="18" xfId="0" applyNumberFormat="1" applyFont="1" applyFill="1" applyBorder="1"/>
    <xf numFmtId="0" fontId="5" fillId="0" borderId="0" xfId="0" applyFont="1" applyAlignment="1"/>
    <xf numFmtId="0" fontId="5" fillId="7" borderId="18" xfId="0" applyFont="1" applyFill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23" fillId="7" borderId="18" xfId="0" applyFont="1" applyFill="1" applyBorder="1"/>
    <xf numFmtId="172" fontId="5" fillId="0" borderId="18" xfId="0" applyNumberFormat="1" applyFont="1" applyFill="1" applyBorder="1" applyAlignment="1">
      <alignment horizontal="right"/>
    </xf>
    <xf numFmtId="169" fontId="5" fillId="7" borderId="18" xfId="0" applyNumberFormat="1" applyFont="1" applyFill="1" applyBorder="1" applyAlignment="1">
      <alignment horizontal="right"/>
    </xf>
    <xf numFmtId="164" fontId="5" fillId="0" borderId="21" xfId="0" applyNumberFormat="1" applyFont="1" applyBorder="1"/>
    <xf numFmtId="0" fontId="21" fillId="0" borderId="18" xfId="0" applyFont="1" applyBorder="1" applyAlignment="1"/>
    <xf numFmtId="164" fontId="5" fillId="7" borderId="18" xfId="0" applyNumberFormat="1" applyFont="1" applyFill="1" applyBorder="1"/>
    <xf numFmtId="2" fontId="5" fillId="0" borderId="0" xfId="0" applyNumberFormat="1" applyFont="1" applyAlignment="1">
      <alignment vertical="center" wrapText="1"/>
    </xf>
    <xf numFmtId="1" fontId="5" fillId="7" borderId="18" xfId="0" applyNumberFormat="1" applyFont="1" applyFill="1" applyBorder="1"/>
    <xf numFmtId="0" fontId="5" fillId="0" borderId="22" xfId="0" applyFont="1" applyBorder="1" applyAlignment="1"/>
    <xf numFmtId="0" fontId="0" fillId="5" borderId="0" xfId="0" applyFill="1"/>
    <xf numFmtId="0" fontId="20" fillId="5" borderId="0" xfId="0" applyFont="1" applyFill="1" applyAlignment="1"/>
    <xf numFmtId="0" fontId="24" fillId="9" borderId="0" xfId="0" applyFont="1" applyFill="1"/>
    <xf numFmtId="0" fontId="17" fillId="0" borderId="13" xfId="0" applyFont="1" applyFill="1" applyBorder="1" applyAlignment="1">
      <alignment horizontal="left"/>
    </xf>
    <xf numFmtId="4" fontId="13" fillId="0" borderId="13" xfId="0" applyNumberFormat="1" applyFont="1" applyFill="1" applyBorder="1" applyAlignment="1">
      <alignment horizontal="center"/>
    </xf>
    <xf numFmtId="49" fontId="12" fillId="0" borderId="13" xfId="0" applyNumberFormat="1" applyFont="1" applyFill="1" applyBorder="1" applyAlignment="1">
      <alignment horizontal="center"/>
    </xf>
    <xf numFmtId="0" fontId="26" fillId="0" borderId="13" xfId="0" applyFont="1" applyBorder="1" applyAlignment="1">
      <alignment horizontal="right"/>
    </xf>
    <xf numFmtId="0" fontId="13" fillId="0" borderId="0" xfId="0" applyFont="1" applyAlignment="1"/>
    <xf numFmtId="0" fontId="12" fillId="0" borderId="13" xfId="0" applyFont="1" applyFill="1" applyBorder="1" applyAlignment="1"/>
    <xf numFmtId="0" fontId="25" fillId="0" borderId="13" xfId="0" applyFont="1" applyBorder="1" applyAlignment="1"/>
    <xf numFmtId="0" fontId="25" fillId="8" borderId="13" xfId="0" applyFont="1" applyFill="1" applyBorder="1" applyAlignment="1"/>
    <xf numFmtId="0" fontId="26" fillId="0" borderId="13" xfId="0" applyFont="1" applyBorder="1" applyAlignment="1"/>
    <xf numFmtId="4" fontId="13" fillId="6" borderId="13" xfId="0" applyNumberFormat="1" applyFont="1" applyFill="1" applyBorder="1" applyAlignment="1">
      <alignment horizontal="center"/>
    </xf>
    <xf numFmtId="4" fontId="27" fillId="0" borderId="13" xfId="0" applyNumberFormat="1" applyFont="1" applyFill="1" applyBorder="1" applyAlignment="1">
      <alignment horizontal="center"/>
    </xf>
    <xf numFmtId="0" fontId="28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/>
    <xf numFmtId="0" fontId="26" fillId="0" borderId="13" xfId="0" applyFont="1" applyFill="1" applyBorder="1" applyAlignment="1"/>
    <xf numFmtId="0" fontId="25" fillId="0" borderId="0" xfId="0" applyFont="1" applyAlignment="1"/>
    <xf numFmtId="0" fontId="7" fillId="0" borderId="0" xfId="0" applyFont="1" applyAlignment="1"/>
    <xf numFmtId="0" fontId="0" fillId="9" borderId="0" xfId="0" applyFill="1"/>
    <xf numFmtId="0" fontId="25" fillId="10" borderId="13" xfId="0" applyFont="1" applyFill="1" applyBorder="1" applyAlignment="1"/>
    <xf numFmtId="4" fontId="13" fillId="10" borderId="13" xfId="0" applyNumberFormat="1" applyFont="1" applyFill="1" applyBorder="1" applyAlignment="1">
      <alignment horizontal="center"/>
    </xf>
    <xf numFmtId="0" fontId="0" fillId="10" borderId="0" xfId="0" applyFill="1"/>
    <xf numFmtId="4" fontId="13" fillId="0" borderId="23" xfId="0" applyNumberFormat="1" applyFont="1" applyFill="1" applyBorder="1" applyAlignment="1">
      <alignment horizontal="center"/>
    </xf>
    <xf numFmtId="0" fontId="0" fillId="0" borderId="0" xfId="0" applyFill="1" applyAlignment="1"/>
    <xf numFmtId="4" fontId="13" fillId="0" borderId="24" xfId="0" applyNumberFormat="1" applyFont="1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2">
    <cellStyle name="Correcto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UTEPA~1/AppData/Local/Temp/Quadros%20Adaptado_proj_Rap123-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ção_DR_Previsional "/>
      <sheetName val="DR"/>
      <sheetName val="Balanço"/>
    </sheetNames>
    <sheetDataSet>
      <sheetData sheetId="0"/>
      <sheetData sheetId="1">
        <row r="20">
          <cell r="D20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workbookViewId="0">
      <selection activeCell="B36" sqref="B36"/>
    </sheetView>
  </sheetViews>
  <sheetFormatPr defaultRowHeight="15" x14ac:dyDescent="0.25"/>
  <sheetData>
    <row r="1" spans="1:15" x14ac:dyDescent="0.25">
      <c r="A1" s="159" t="s">
        <v>288</v>
      </c>
    </row>
    <row r="4" spans="1:15" x14ac:dyDescent="0.25">
      <c r="A4" t="s">
        <v>289</v>
      </c>
    </row>
    <row r="5" spans="1:15" x14ac:dyDescent="0.25">
      <c r="A5" t="s">
        <v>290</v>
      </c>
    </row>
    <row r="7" spans="1:15" x14ac:dyDescent="0.25">
      <c r="A7" s="166" t="s">
        <v>298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</row>
    <row r="8" spans="1:15" x14ac:dyDescent="0.25">
      <c r="A8" s="166"/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</row>
    <row r="9" spans="1:15" x14ac:dyDescent="0.25">
      <c r="A9" s="166"/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6"/>
    </row>
    <row r="10" spans="1:15" x14ac:dyDescent="0.25">
      <c r="A10" s="166"/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</row>
    <row r="12" spans="1:15" ht="15" customHeight="1" x14ac:dyDescent="0.25">
      <c r="A12" s="166" t="s">
        <v>299</v>
      </c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</row>
    <row r="13" spans="1:15" x14ac:dyDescent="0.25">
      <c r="A13" s="166"/>
      <c r="B13" s="166"/>
      <c r="C13" s="166"/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</row>
    <row r="14" spans="1:15" x14ac:dyDescent="0.25">
      <c r="A14" s="166"/>
      <c r="B14" s="166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</row>
    <row r="15" spans="1:15" x14ac:dyDescent="0.25">
      <c r="A15" s="166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</row>
    <row r="16" spans="1:15" ht="15" customHeight="1" x14ac:dyDescent="0.25">
      <c r="A16" s="167" t="s">
        <v>300</v>
      </c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</row>
    <row r="17" spans="1:15" x14ac:dyDescent="0.25">
      <c r="A17" s="167"/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</row>
    <row r="18" spans="1:15" x14ac:dyDescent="0.25">
      <c r="A18" s="167"/>
      <c r="B18" s="167"/>
      <c r="C18" s="167"/>
      <c r="D18" s="167"/>
      <c r="E18" s="167"/>
      <c r="F18" s="167"/>
      <c r="G18" s="167"/>
      <c r="H18" s="167"/>
      <c r="I18" s="167"/>
      <c r="J18" s="167"/>
      <c r="K18" s="167"/>
      <c r="L18" s="167"/>
      <c r="M18" s="167"/>
      <c r="N18" s="167"/>
      <c r="O18" s="167"/>
    </row>
    <row r="19" spans="1:15" x14ac:dyDescent="0.25">
      <c r="A19" s="167"/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7"/>
      <c r="O19" s="167"/>
    </row>
    <row r="20" spans="1:15" x14ac:dyDescent="0.25">
      <c r="A20" s="167" t="s">
        <v>295</v>
      </c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</row>
    <row r="21" spans="1:15" x14ac:dyDescent="0.25">
      <c r="A21" s="167"/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7"/>
      <c r="M21" s="167"/>
      <c r="N21" s="167"/>
      <c r="O21" s="167"/>
    </row>
    <row r="22" spans="1:15" x14ac:dyDescent="0.25">
      <c r="A22" s="167"/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</row>
    <row r="23" spans="1:15" x14ac:dyDescent="0.25">
      <c r="A23" s="167"/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7"/>
    </row>
    <row r="25" spans="1:15" x14ac:dyDescent="0.25">
      <c r="A25" s="166" t="s">
        <v>301</v>
      </c>
      <c r="B25" s="166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</row>
    <row r="26" spans="1:15" x14ac:dyDescent="0.25">
      <c r="A26" s="166"/>
      <c r="B26" s="166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166"/>
      <c r="O26" s="166"/>
    </row>
    <row r="27" spans="1:15" x14ac:dyDescent="0.25">
      <c r="A27" s="166"/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</row>
    <row r="28" spans="1:15" x14ac:dyDescent="0.25">
      <c r="A28" s="166"/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</row>
    <row r="30" spans="1:15" x14ac:dyDescent="0.25">
      <c r="A30" s="166" t="s">
        <v>296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</row>
    <row r="31" spans="1:15" x14ac:dyDescent="0.25">
      <c r="A31" s="166"/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</row>
    <row r="32" spans="1:15" x14ac:dyDescent="0.25">
      <c r="A32" s="166"/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</row>
    <row r="33" spans="1:15" x14ac:dyDescent="0.25">
      <c r="A33" s="166"/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</row>
    <row r="35" spans="1:15" x14ac:dyDescent="0.25">
      <c r="A35" t="s">
        <v>302</v>
      </c>
    </row>
    <row r="36" spans="1:15" x14ac:dyDescent="0.25">
      <c r="A36" t="s">
        <v>297</v>
      </c>
    </row>
  </sheetData>
  <mergeCells count="6">
    <mergeCell ref="A20:O23"/>
    <mergeCell ref="A25:O28"/>
    <mergeCell ref="A30:O33"/>
    <mergeCell ref="A7:O10"/>
    <mergeCell ref="A12:O15"/>
    <mergeCell ref="A16:O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topLeftCell="E10" workbookViewId="0">
      <selection activeCell="I29" sqref="I29"/>
    </sheetView>
  </sheetViews>
  <sheetFormatPr defaultRowHeight="15" x14ac:dyDescent="0.25"/>
  <cols>
    <col min="1" max="1" width="29.85546875" bestFit="1" customWidth="1"/>
    <col min="6" max="6" width="10.28515625" bestFit="1" customWidth="1"/>
    <col min="7" max="7" width="10.5703125" bestFit="1" customWidth="1"/>
    <col min="8" max="8" width="11" bestFit="1" customWidth="1"/>
    <col min="11" max="11" width="29.85546875" bestFit="1" customWidth="1"/>
  </cols>
  <sheetData>
    <row r="1" spans="1:18" x14ac:dyDescent="0.25">
      <c r="A1" s="1" t="s">
        <v>192</v>
      </c>
      <c r="B1" s="2"/>
      <c r="C1" s="2"/>
      <c r="D1" s="2"/>
      <c r="E1" s="2"/>
      <c r="F1" s="2"/>
      <c r="G1" s="1"/>
      <c r="H1" s="79"/>
      <c r="I1" s="80"/>
      <c r="J1" s="81"/>
      <c r="K1" s="1" t="s">
        <v>193</v>
      </c>
      <c r="L1" s="2"/>
      <c r="M1" s="2"/>
      <c r="N1" s="2"/>
      <c r="O1" s="2"/>
      <c r="P1" s="2"/>
      <c r="Q1" s="82" t="s">
        <v>194</v>
      </c>
      <c r="R1" s="82"/>
    </row>
    <row r="2" spans="1:18" x14ac:dyDescent="0.25">
      <c r="A2" s="69"/>
      <c r="B2" s="70"/>
      <c r="C2" s="70"/>
      <c r="D2" s="70"/>
      <c r="E2" s="70"/>
      <c r="F2" s="70"/>
      <c r="G2" s="69"/>
      <c r="H2" s="83" t="s">
        <v>195</v>
      </c>
      <c r="I2" s="80"/>
      <c r="J2" s="81"/>
      <c r="K2" s="69"/>
      <c r="L2" s="70"/>
      <c r="M2" s="70"/>
      <c r="N2" s="70"/>
      <c r="O2" s="70"/>
      <c r="P2" s="70"/>
      <c r="Q2" s="82"/>
      <c r="R2" s="82"/>
    </row>
    <row r="3" spans="1:18" x14ac:dyDescent="0.25">
      <c r="A3" s="84" t="s">
        <v>196</v>
      </c>
      <c r="B3" s="84" t="s">
        <v>197</v>
      </c>
      <c r="C3" s="85" t="s">
        <v>198</v>
      </c>
      <c r="D3" s="85"/>
      <c r="E3" s="85">
        <v>2014</v>
      </c>
      <c r="F3" s="85"/>
      <c r="G3" s="85">
        <v>2015</v>
      </c>
      <c r="H3" s="85"/>
      <c r="I3" s="86"/>
      <c r="J3" s="81"/>
      <c r="K3" s="84" t="s">
        <v>196</v>
      </c>
      <c r="L3" s="84" t="s">
        <v>197</v>
      </c>
      <c r="M3" s="85" t="s">
        <v>199</v>
      </c>
      <c r="N3" s="85"/>
      <c r="O3" s="85">
        <v>2014</v>
      </c>
      <c r="P3" s="85"/>
      <c r="Q3" s="85">
        <v>2015</v>
      </c>
      <c r="R3" s="85"/>
    </row>
    <row r="4" spans="1:18" x14ac:dyDescent="0.25">
      <c r="A4" s="84"/>
      <c r="B4" s="84"/>
      <c r="C4" s="87" t="s">
        <v>200</v>
      </c>
      <c r="D4" s="87" t="s">
        <v>181</v>
      </c>
      <c r="E4" s="87" t="s">
        <v>200</v>
      </c>
      <c r="F4" s="87" t="s">
        <v>181</v>
      </c>
      <c r="G4" s="87" t="s">
        <v>200</v>
      </c>
      <c r="H4" s="87" t="s">
        <v>181</v>
      </c>
      <c r="I4" s="88"/>
      <c r="J4" s="81"/>
      <c r="K4" s="84"/>
      <c r="L4" s="84"/>
      <c r="M4" s="87" t="s">
        <v>200</v>
      </c>
      <c r="N4" s="87" t="s">
        <v>181</v>
      </c>
      <c r="O4" s="87" t="s">
        <v>200</v>
      </c>
      <c r="P4" s="87" t="s">
        <v>181</v>
      </c>
      <c r="Q4" s="87" t="s">
        <v>200</v>
      </c>
      <c r="R4" s="87" t="s">
        <v>181</v>
      </c>
    </row>
    <row r="5" spans="1:18" x14ac:dyDescent="0.25">
      <c r="A5" s="7" t="s">
        <v>228</v>
      </c>
      <c r="B5" s="89">
        <v>1</v>
      </c>
      <c r="C5" s="90">
        <f t="shared" ref="C5:C10" si="0">(B37/2)+B37*4</f>
        <v>67.5</v>
      </c>
      <c r="D5" s="91">
        <f t="shared" ref="D5:D12" si="1">C5*C37</f>
        <v>3118.5</v>
      </c>
      <c r="E5" s="92">
        <f>E37*1.05</f>
        <v>189</v>
      </c>
      <c r="F5" s="91">
        <f t="shared" ref="F5:F12" si="2">E5*C37</f>
        <v>8731.8000000000011</v>
      </c>
      <c r="G5" s="93">
        <f t="shared" ref="G5:G10" si="3">E5*1.05</f>
        <v>198.45000000000002</v>
      </c>
      <c r="H5" s="91">
        <f t="shared" ref="H5:H12" si="4">G5*C37</f>
        <v>9168.3900000000012</v>
      </c>
      <c r="I5" s="81"/>
      <c r="J5" s="81"/>
      <c r="K5" s="7" t="s">
        <v>201</v>
      </c>
      <c r="L5" s="94">
        <v>1</v>
      </c>
      <c r="M5" s="90">
        <f t="shared" ref="M5:M14" si="5">C5</f>
        <v>67.5</v>
      </c>
      <c r="N5" s="95">
        <f t="shared" ref="N5:N14" si="6">M5*M29</f>
        <v>1038.1500000000001</v>
      </c>
      <c r="O5" s="96">
        <f t="shared" ref="O5:O12" si="7">E5</f>
        <v>189</v>
      </c>
      <c r="P5" s="95">
        <f t="shared" ref="P5:P14" si="8">(O5*M29)</f>
        <v>2906.82</v>
      </c>
      <c r="Q5" s="97">
        <f t="shared" ref="Q5:Q14" si="9">O5*1.05</f>
        <v>198.45000000000002</v>
      </c>
      <c r="R5" s="95">
        <f t="shared" ref="R5:R14" si="10">Q5*M29</f>
        <v>3052.1610000000005</v>
      </c>
    </row>
    <row r="6" spans="1:18" x14ac:dyDescent="0.25">
      <c r="A6" s="7" t="s">
        <v>202</v>
      </c>
      <c r="B6" s="89">
        <v>1</v>
      </c>
      <c r="C6" s="90">
        <f t="shared" si="0"/>
        <v>67.5</v>
      </c>
      <c r="D6" s="91">
        <f t="shared" si="1"/>
        <v>1317.8143125000001</v>
      </c>
      <c r="E6" s="92">
        <f>E38*1.05</f>
        <v>189</v>
      </c>
      <c r="F6" s="91">
        <f t="shared" si="2"/>
        <v>3689.8800750000005</v>
      </c>
      <c r="G6" s="93">
        <f t="shared" si="3"/>
        <v>198.45000000000002</v>
      </c>
      <c r="H6" s="91">
        <f t="shared" si="4"/>
        <v>3874.3740787500005</v>
      </c>
      <c r="I6" s="81"/>
      <c r="J6" s="81"/>
      <c r="K6" s="7" t="s">
        <v>202</v>
      </c>
      <c r="L6" s="94">
        <v>1</v>
      </c>
      <c r="M6" s="90">
        <f t="shared" si="5"/>
        <v>67.5</v>
      </c>
      <c r="N6" s="95">
        <f t="shared" si="6"/>
        <v>612.22500000000002</v>
      </c>
      <c r="O6" s="96">
        <f t="shared" si="7"/>
        <v>189</v>
      </c>
      <c r="P6" s="95">
        <f t="shared" si="8"/>
        <v>1714.23</v>
      </c>
      <c r="Q6" s="97">
        <f t="shared" si="9"/>
        <v>198.45000000000002</v>
      </c>
      <c r="R6" s="95">
        <f t="shared" si="10"/>
        <v>1799.9415000000001</v>
      </c>
    </row>
    <row r="7" spans="1:18" x14ac:dyDescent="0.25">
      <c r="A7" s="7" t="s">
        <v>203</v>
      </c>
      <c r="B7" s="89">
        <v>1</v>
      </c>
      <c r="C7" s="90">
        <f t="shared" si="0"/>
        <v>135</v>
      </c>
      <c r="D7" s="91">
        <f t="shared" si="1"/>
        <v>1598.2312499999998</v>
      </c>
      <c r="E7" s="92">
        <f>SUM(E39:F39)*1.05</f>
        <v>441</v>
      </c>
      <c r="F7" s="91">
        <f t="shared" si="2"/>
        <v>5220.8887500000001</v>
      </c>
      <c r="G7" s="93">
        <f t="shared" si="3"/>
        <v>463.05</v>
      </c>
      <c r="H7" s="91">
        <f t="shared" si="4"/>
        <v>5481.9331874999998</v>
      </c>
      <c r="I7" s="81"/>
      <c r="J7" s="81"/>
      <c r="K7" s="7" t="s">
        <v>204</v>
      </c>
      <c r="L7" s="94">
        <v>1</v>
      </c>
      <c r="M7" s="90">
        <f t="shared" si="5"/>
        <v>135</v>
      </c>
      <c r="N7" s="95">
        <f t="shared" si="6"/>
        <v>742.5</v>
      </c>
      <c r="O7" s="96">
        <f t="shared" si="7"/>
        <v>441</v>
      </c>
      <c r="P7" s="95">
        <f t="shared" si="8"/>
        <v>2425.5</v>
      </c>
      <c r="Q7" s="97">
        <f t="shared" si="9"/>
        <v>463.05</v>
      </c>
      <c r="R7" s="95">
        <f t="shared" si="10"/>
        <v>2546.7750000000001</v>
      </c>
    </row>
    <row r="8" spans="1:18" x14ac:dyDescent="0.25">
      <c r="A8" s="7" t="s">
        <v>205</v>
      </c>
      <c r="B8" s="89">
        <v>1</v>
      </c>
      <c r="C8" s="90">
        <f t="shared" si="0"/>
        <v>27</v>
      </c>
      <c r="D8" s="91">
        <f t="shared" si="1"/>
        <v>232.46999999999997</v>
      </c>
      <c r="E8" s="92">
        <f>E40*1.05</f>
        <v>75.600000000000009</v>
      </c>
      <c r="F8" s="91">
        <f t="shared" si="2"/>
        <v>650.91600000000005</v>
      </c>
      <c r="G8" s="93">
        <f t="shared" si="3"/>
        <v>79.38000000000001</v>
      </c>
      <c r="H8" s="91">
        <f t="shared" si="4"/>
        <v>683.46180000000004</v>
      </c>
      <c r="I8" s="81"/>
      <c r="J8" s="81"/>
      <c r="K8" s="7" t="s">
        <v>206</v>
      </c>
      <c r="L8" s="94">
        <v>1</v>
      </c>
      <c r="M8" s="90">
        <f t="shared" si="5"/>
        <v>27</v>
      </c>
      <c r="N8" s="95">
        <f t="shared" si="6"/>
        <v>108</v>
      </c>
      <c r="O8" s="96">
        <f t="shared" si="7"/>
        <v>75.600000000000009</v>
      </c>
      <c r="P8" s="95">
        <f t="shared" si="8"/>
        <v>302.40000000000003</v>
      </c>
      <c r="Q8" s="97">
        <f t="shared" si="9"/>
        <v>79.38000000000001</v>
      </c>
      <c r="R8" s="95">
        <f t="shared" si="10"/>
        <v>317.52000000000004</v>
      </c>
    </row>
    <row r="9" spans="1:18" x14ac:dyDescent="0.25">
      <c r="A9" s="7" t="s">
        <v>207</v>
      </c>
      <c r="B9" s="89">
        <v>1</v>
      </c>
      <c r="C9" s="90">
        <f t="shared" si="0"/>
        <v>45</v>
      </c>
      <c r="D9" s="91">
        <f t="shared" si="1"/>
        <v>387.45</v>
      </c>
      <c r="E9" s="92">
        <f>E41*1.05</f>
        <v>126</v>
      </c>
      <c r="F9" s="91">
        <f t="shared" si="2"/>
        <v>1084.8599999999999</v>
      </c>
      <c r="G9" s="93">
        <f t="shared" si="3"/>
        <v>132.30000000000001</v>
      </c>
      <c r="H9" s="91">
        <f t="shared" si="4"/>
        <v>1139.1030000000001</v>
      </c>
      <c r="I9" s="81"/>
      <c r="J9" s="81"/>
      <c r="K9" s="7" t="s">
        <v>208</v>
      </c>
      <c r="L9" s="94">
        <v>1</v>
      </c>
      <c r="M9" s="90">
        <f t="shared" si="5"/>
        <v>45</v>
      </c>
      <c r="N9" s="95">
        <f t="shared" si="6"/>
        <v>180</v>
      </c>
      <c r="O9" s="96">
        <f t="shared" si="7"/>
        <v>126</v>
      </c>
      <c r="P9" s="95">
        <f t="shared" si="8"/>
        <v>504</v>
      </c>
      <c r="Q9" s="97">
        <f t="shared" si="9"/>
        <v>132.30000000000001</v>
      </c>
      <c r="R9" s="95">
        <f t="shared" si="10"/>
        <v>529.20000000000005</v>
      </c>
    </row>
    <row r="10" spans="1:18" x14ac:dyDescent="0.25">
      <c r="A10" s="7" t="s">
        <v>209</v>
      </c>
      <c r="B10" s="89">
        <v>1</v>
      </c>
      <c r="C10" s="90">
        <f t="shared" si="0"/>
        <v>67.5</v>
      </c>
      <c r="D10" s="91">
        <f t="shared" si="1"/>
        <v>799.11562499999991</v>
      </c>
      <c r="E10" s="92">
        <f>SUM(E42:F42)*1.05</f>
        <v>220.5</v>
      </c>
      <c r="F10" s="91">
        <f t="shared" si="2"/>
        <v>2610.444375</v>
      </c>
      <c r="G10" s="93">
        <f t="shared" si="3"/>
        <v>231.52500000000001</v>
      </c>
      <c r="H10" s="91">
        <f t="shared" si="4"/>
        <v>2740.9665937499999</v>
      </c>
      <c r="I10" s="81"/>
      <c r="J10" s="81"/>
      <c r="K10" s="7" t="s">
        <v>210</v>
      </c>
      <c r="L10" s="94">
        <v>1</v>
      </c>
      <c r="M10" s="90">
        <f t="shared" si="5"/>
        <v>67.5</v>
      </c>
      <c r="N10" s="95">
        <f t="shared" si="6"/>
        <v>371.25</v>
      </c>
      <c r="O10" s="96">
        <f t="shared" si="7"/>
        <v>220.5</v>
      </c>
      <c r="P10" s="95">
        <f t="shared" si="8"/>
        <v>1212.75</v>
      </c>
      <c r="Q10" s="97">
        <f t="shared" si="9"/>
        <v>231.52500000000001</v>
      </c>
      <c r="R10" s="95">
        <f t="shared" si="10"/>
        <v>1273.3875</v>
      </c>
    </row>
    <row r="11" spans="1:18" x14ac:dyDescent="0.25">
      <c r="A11" s="7" t="s">
        <v>229</v>
      </c>
      <c r="B11" s="89">
        <v>1</v>
      </c>
      <c r="C11" s="90">
        <v>1</v>
      </c>
      <c r="D11" s="91">
        <f t="shared" si="1"/>
        <v>118.38750000000002</v>
      </c>
      <c r="E11" s="92">
        <v>4</v>
      </c>
      <c r="F11" s="91">
        <f t="shared" si="2"/>
        <v>473.55000000000007</v>
      </c>
      <c r="G11" s="93">
        <v>5</v>
      </c>
      <c r="H11" s="91">
        <f t="shared" si="4"/>
        <v>591.93750000000011</v>
      </c>
      <c r="I11" s="81"/>
      <c r="J11" s="81"/>
      <c r="K11" s="7" t="s">
        <v>229</v>
      </c>
      <c r="L11" s="94">
        <v>1</v>
      </c>
      <c r="M11" s="90">
        <f t="shared" si="5"/>
        <v>1</v>
      </c>
      <c r="N11" s="95">
        <f t="shared" si="6"/>
        <v>55</v>
      </c>
      <c r="O11" s="96">
        <f t="shared" si="7"/>
        <v>4</v>
      </c>
      <c r="P11" s="95">
        <f t="shared" si="8"/>
        <v>220</v>
      </c>
      <c r="Q11" s="97">
        <f t="shared" si="9"/>
        <v>4.2</v>
      </c>
      <c r="R11" s="95">
        <f t="shared" si="10"/>
        <v>231</v>
      </c>
    </row>
    <row r="12" spans="1:18" x14ac:dyDescent="0.25">
      <c r="A12" s="7" t="s">
        <v>227</v>
      </c>
      <c r="B12" s="89">
        <v>1</v>
      </c>
      <c r="C12" s="90">
        <v>1</v>
      </c>
      <c r="D12" s="91">
        <f t="shared" si="1"/>
        <v>64.575000000000003</v>
      </c>
      <c r="E12" s="92">
        <v>4</v>
      </c>
      <c r="F12" s="91">
        <f t="shared" si="2"/>
        <v>258.3</v>
      </c>
      <c r="G12" s="93">
        <v>5</v>
      </c>
      <c r="H12" s="91">
        <f t="shared" si="4"/>
        <v>322.875</v>
      </c>
      <c r="I12" s="81"/>
      <c r="J12" s="81"/>
      <c r="K12" s="7" t="s">
        <v>227</v>
      </c>
      <c r="L12" s="94">
        <v>1</v>
      </c>
      <c r="M12" s="90">
        <f t="shared" si="5"/>
        <v>1</v>
      </c>
      <c r="N12" s="95">
        <f t="shared" si="6"/>
        <v>30</v>
      </c>
      <c r="O12" s="96">
        <f t="shared" si="7"/>
        <v>4</v>
      </c>
      <c r="P12" s="95">
        <f t="shared" si="8"/>
        <v>120</v>
      </c>
      <c r="Q12" s="97">
        <f t="shared" si="9"/>
        <v>4.2</v>
      </c>
      <c r="R12" s="95">
        <f t="shared" si="10"/>
        <v>126</v>
      </c>
    </row>
    <row r="13" spans="1:18" x14ac:dyDescent="0.25">
      <c r="A13" s="98" t="s">
        <v>212</v>
      </c>
      <c r="B13" s="89">
        <v>1</v>
      </c>
      <c r="C13" s="90">
        <f>(B45/2)+B45*4</f>
        <v>36</v>
      </c>
      <c r="D13" s="7">
        <f>C13*C45</f>
        <v>154.97999999999999</v>
      </c>
      <c r="E13" s="89">
        <f>C13*1.05</f>
        <v>37.800000000000004</v>
      </c>
      <c r="F13" s="7">
        <f>E13*C45</f>
        <v>162.72900000000001</v>
      </c>
      <c r="G13" s="89">
        <f>E13*1.05</f>
        <v>39.690000000000005</v>
      </c>
      <c r="H13" s="7">
        <f>G13*C45</f>
        <v>170.86545000000001</v>
      </c>
      <c r="I13" s="81"/>
      <c r="J13" s="81"/>
      <c r="K13" s="98" t="s">
        <v>212</v>
      </c>
      <c r="L13" s="89">
        <v>1</v>
      </c>
      <c r="M13" s="90">
        <f t="shared" si="5"/>
        <v>36</v>
      </c>
      <c r="N13" s="95">
        <f t="shared" si="6"/>
        <v>72</v>
      </c>
      <c r="O13" s="96">
        <f>O37+P37</f>
        <v>100</v>
      </c>
      <c r="P13" s="95">
        <f t="shared" si="8"/>
        <v>200</v>
      </c>
      <c r="Q13" s="97">
        <f t="shared" si="9"/>
        <v>105</v>
      </c>
      <c r="R13" s="95">
        <f t="shared" si="10"/>
        <v>210</v>
      </c>
    </row>
    <row r="14" spans="1:18" x14ac:dyDescent="0.25">
      <c r="A14" s="98" t="s">
        <v>213</v>
      </c>
      <c r="B14" s="89">
        <v>1</v>
      </c>
      <c r="C14" s="90">
        <f>(B46/2)+B46*4</f>
        <v>36</v>
      </c>
      <c r="D14" s="7">
        <f>C14*C46</f>
        <v>139.482</v>
      </c>
      <c r="E14" s="89">
        <f>C14*1.05</f>
        <v>37.800000000000004</v>
      </c>
      <c r="F14" s="7">
        <f>E14*C46</f>
        <v>146.45610000000002</v>
      </c>
      <c r="G14" s="89">
        <f>E14*1.05</f>
        <v>39.690000000000005</v>
      </c>
      <c r="H14" s="7">
        <f>G14*C46</f>
        <v>153.77890500000001</v>
      </c>
      <c r="I14" s="81"/>
      <c r="J14" s="81"/>
      <c r="K14" s="98" t="s">
        <v>213</v>
      </c>
      <c r="L14" s="89">
        <v>1</v>
      </c>
      <c r="M14" s="90">
        <f t="shared" si="5"/>
        <v>36</v>
      </c>
      <c r="N14" s="95">
        <f t="shared" si="6"/>
        <v>64.8</v>
      </c>
      <c r="O14" s="96">
        <f>O38+P38</f>
        <v>100</v>
      </c>
      <c r="P14" s="95">
        <f t="shared" si="8"/>
        <v>180</v>
      </c>
      <c r="Q14" s="97">
        <f t="shared" si="9"/>
        <v>105</v>
      </c>
      <c r="R14" s="95">
        <f t="shared" si="10"/>
        <v>189</v>
      </c>
    </row>
    <row r="15" spans="1:18" x14ac:dyDescent="0.25">
      <c r="A15" s="7"/>
      <c r="B15" s="7"/>
      <c r="C15" s="7"/>
      <c r="D15" s="7"/>
      <c r="E15" s="7"/>
      <c r="F15" s="7"/>
      <c r="G15" s="7"/>
      <c r="H15" s="7"/>
      <c r="I15" s="81"/>
      <c r="J15" s="81"/>
      <c r="K15" s="7"/>
      <c r="L15" s="7"/>
      <c r="M15" s="7"/>
      <c r="N15" s="7"/>
      <c r="O15" s="7"/>
      <c r="P15" s="7"/>
      <c r="Q15" s="7"/>
      <c r="R15" s="7"/>
    </row>
    <row r="16" spans="1:18" x14ac:dyDescent="0.25">
      <c r="A16" s="7"/>
      <c r="B16" s="7"/>
      <c r="C16" s="7"/>
      <c r="D16" s="7"/>
      <c r="E16" s="7"/>
      <c r="F16" s="7"/>
      <c r="G16" s="7"/>
      <c r="H16" s="7"/>
      <c r="I16" s="81"/>
      <c r="J16" s="81"/>
      <c r="K16" s="7"/>
      <c r="L16" s="7"/>
      <c r="M16" s="7"/>
      <c r="N16" s="7"/>
      <c r="O16" s="7"/>
      <c r="P16" s="7"/>
      <c r="Q16" s="7"/>
      <c r="R16" s="7"/>
    </row>
    <row r="17" spans="1:18" x14ac:dyDescent="0.25">
      <c r="A17" s="7"/>
      <c r="B17" s="7"/>
      <c r="C17" s="7"/>
      <c r="D17" s="7"/>
      <c r="E17" s="7"/>
      <c r="F17" s="7"/>
      <c r="G17" s="7"/>
      <c r="H17" s="7"/>
      <c r="I17" s="81"/>
      <c r="J17" s="81"/>
      <c r="K17" s="7"/>
      <c r="L17" s="7"/>
      <c r="M17" s="7"/>
      <c r="N17" s="7"/>
      <c r="O17" s="7"/>
      <c r="P17" s="7"/>
      <c r="Q17" s="7"/>
      <c r="R17" s="7"/>
    </row>
    <row r="18" spans="1:18" x14ac:dyDescent="0.25">
      <c r="A18" s="7"/>
      <c r="B18" s="7"/>
      <c r="C18" s="7"/>
      <c r="D18" s="7"/>
      <c r="E18" s="7"/>
      <c r="F18" s="7"/>
      <c r="G18" s="7"/>
      <c r="H18" s="7"/>
      <c r="I18" s="81"/>
      <c r="J18" s="81"/>
      <c r="K18" s="7"/>
      <c r="L18" s="7"/>
      <c r="M18" s="7"/>
      <c r="N18" s="7"/>
      <c r="O18" s="7"/>
      <c r="P18" s="7"/>
      <c r="Q18" s="7"/>
      <c r="R18" s="7"/>
    </row>
    <row r="19" spans="1:18" x14ac:dyDescent="0.25">
      <c r="A19" s="81" t="s">
        <v>18</v>
      </c>
      <c r="B19" s="81"/>
      <c r="C19" s="99">
        <f t="shared" ref="C19:H19" si="11">SUM(C5:C14)</f>
        <v>483.5</v>
      </c>
      <c r="D19" s="100">
        <f t="shared" si="11"/>
        <v>7931.0056874999991</v>
      </c>
      <c r="E19" s="101">
        <f t="shared" si="11"/>
        <v>1324.6999999999998</v>
      </c>
      <c r="F19" s="102">
        <f t="shared" si="11"/>
        <v>23029.8243</v>
      </c>
      <c r="G19" s="103">
        <f t="shared" si="11"/>
        <v>1392.5350000000003</v>
      </c>
      <c r="H19" s="102">
        <f t="shared" si="11"/>
        <v>24327.685515000001</v>
      </c>
      <c r="I19" s="104"/>
      <c r="J19" s="81"/>
      <c r="K19" s="7"/>
      <c r="L19" s="7"/>
      <c r="M19" s="7"/>
      <c r="N19" s="7"/>
      <c r="O19" s="7"/>
      <c r="P19" s="7"/>
      <c r="Q19" s="7"/>
      <c r="R19" s="7"/>
    </row>
    <row r="20" spans="1:18" x14ac:dyDescent="0.25">
      <c r="A20" s="81"/>
      <c r="B20" s="81"/>
      <c r="C20" s="81"/>
      <c r="D20" s="81"/>
      <c r="E20" s="81"/>
      <c r="F20" s="81"/>
      <c r="G20" s="81"/>
      <c r="H20" s="81"/>
      <c r="I20" s="81"/>
      <c r="J20" s="81"/>
      <c r="K20" s="7"/>
      <c r="L20" s="7"/>
      <c r="M20" s="7"/>
      <c r="N20" s="7"/>
      <c r="O20" s="7"/>
      <c r="P20" s="7"/>
      <c r="Q20" s="7"/>
      <c r="R20" s="7"/>
    </row>
    <row r="21" spans="1:18" ht="11.25" customHeight="1" x14ac:dyDescent="0.25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7"/>
      <c r="L21" s="7"/>
      <c r="M21" s="7"/>
      <c r="N21" s="7"/>
      <c r="O21" s="7"/>
      <c r="P21" s="7"/>
      <c r="Q21" s="7"/>
      <c r="R21" s="7"/>
    </row>
    <row r="22" spans="1:18" x14ac:dyDescent="0.25">
      <c r="A22" s="105" t="s">
        <v>214</v>
      </c>
      <c r="B22" s="105"/>
      <c r="C22" s="105"/>
      <c r="D22" s="105"/>
      <c r="E22" s="81"/>
      <c r="F22" s="81"/>
      <c r="G22" s="81"/>
      <c r="H22" s="81"/>
      <c r="I22" s="81"/>
      <c r="J22" s="81"/>
      <c r="K22" s="7"/>
      <c r="L22" s="7"/>
      <c r="M22" s="7"/>
      <c r="N22" s="7"/>
      <c r="O22" s="7"/>
      <c r="P22" s="7"/>
      <c r="Q22" s="7"/>
      <c r="R22" s="7"/>
    </row>
    <row r="23" spans="1:18" ht="33" customHeight="1" x14ac:dyDescent="0.25">
      <c r="A23" s="105"/>
      <c r="B23" s="105"/>
      <c r="C23" s="105"/>
      <c r="D23" s="105"/>
      <c r="E23" s="81"/>
      <c r="F23" s="81"/>
      <c r="G23" s="81"/>
      <c r="H23" s="81"/>
      <c r="I23" s="81"/>
      <c r="J23" s="81"/>
      <c r="K23" s="7"/>
      <c r="L23" s="7"/>
      <c r="M23" s="7"/>
      <c r="N23" s="7"/>
      <c r="O23" s="7"/>
      <c r="P23" s="7"/>
      <c r="Q23" s="7"/>
      <c r="R23" s="7"/>
    </row>
    <row r="24" spans="1:18" x14ac:dyDescent="0.25">
      <c r="A24" s="81"/>
      <c r="B24" s="81"/>
      <c r="C24" s="81"/>
      <c r="D24" s="81"/>
      <c r="E24" s="81"/>
      <c r="F24" s="81"/>
      <c r="G24" s="81"/>
      <c r="H24" s="81"/>
      <c r="I24" s="81"/>
      <c r="J24" s="81"/>
      <c r="K24" s="7"/>
      <c r="L24" s="7"/>
      <c r="M24" s="7"/>
      <c r="N24" s="7"/>
      <c r="O24" s="7"/>
      <c r="P24" s="7"/>
      <c r="Q24" s="7"/>
      <c r="R24" s="7"/>
    </row>
    <row r="25" spans="1:18" x14ac:dyDescent="0.25">
      <c r="A25" s="81"/>
      <c r="B25" s="81"/>
      <c r="C25" s="81"/>
      <c r="D25" s="81"/>
      <c r="E25" s="81"/>
      <c r="F25" s="81"/>
      <c r="G25" s="81"/>
      <c r="H25" s="81"/>
      <c r="I25" s="81"/>
      <c r="J25" s="81"/>
      <c r="K25" s="106" t="s">
        <v>18</v>
      </c>
      <c r="L25" s="7"/>
      <c r="M25" s="107">
        <f>SUM(M5:M13)</f>
        <v>447.5</v>
      </c>
      <c r="N25" s="108">
        <f>SUM(N5:N12)</f>
        <v>3137.125</v>
      </c>
      <c r="O25" s="109">
        <f>SUM(O5:O14)</f>
        <v>1449.1</v>
      </c>
      <c r="P25" s="108">
        <f>SUM(P5:P12)</f>
        <v>9405.7000000000007</v>
      </c>
      <c r="Q25" s="109">
        <f>SUM(Q5:Q14)</f>
        <v>1521.5550000000003</v>
      </c>
      <c r="R25" s="108">
        <f>SUM(R5:R12)</f>
        <v>9875.9850000000024</v>
      </c>
    </row>
    <row r="26" spans="1:18" x14ac:dyDescent="0.25">
      <c r="A26" s="81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</row>
    <row r="27" spans="1:18" x14ac:dyDescent="0.25">
      <c r="A27" s="81"/>
      <c r="B27" s="81"/>
      <c r="C27" s="81"/>
      <c r="D27" s="81"/>
      <c r="E27" s="81"/>
      <c r="F27" s="81"/>
      <c r="G27" s="81"/>
      <c r="H27" s="81"/>
      <c r="I27" s="81"/>
      <c r="J27" s="81"/>
      <c r="K27" s="110" t="s">
        <v>215</v>
      </c>
      <c r="L27" s="110"/>
      <c r="M27" s="110"/>
      <c r="N27" s="110"/>
      <c r="O27" s="110"/>
      <c r="P27" s="110"/>
      <c r="Q27" s="110"/>
      <c r="R27" s="81"/>
    </row>
    <row r="28" spans="1:18" x14ac:dyDescent="0.25">
      <c r="A28" s="81"/>
      <c r="B28" s="81"/>
      <c r="C28" s="81"/>
      <c r="D28" s="81"/>
      <c r="E28" s="81"/>
      <c r="F28" s="81"/>
      <c r="G28" s="81"/>
      <c r="H28" s="81"/>
      <c r="I28" s="81"/>
      <c r="J28" s="81"/>
      <c r="K28" s="111" t="s">
        <v>216</v>
      </c>
      <c r="L28" s="111" t="s">
        <v>217</v>
      </c>
      <c r="M28" s="112" t="s">
        <v>218</v>
      </c>
      <c r="N28" s="113" t="s">
        <v>219</v>
      </c>
      <c r="O28" s="114" t="s">
        <v>220</v>
      </c>
      <c r="P28" s="115" t="s">
        <v>221</v>
      </c>
      <c r="Q28" s="114" t="s">
        <v>222</v>
      </c>
      <c r="R28" s="81"/>
    </row>
    <row r="29" spans="1:18" x14ac:dyDescent="0.25">
      <c r="A29" s="81"/>
      <c r="B29" s="81"/>
      <c r="C29" s="81"/>
      <c r="D29" s="81"/>
      <c r="E29" s="81"/>
      <c r="F29" s="81"/>
      <c r="G29" s="81"/>
      <c r="H29" s="81"/>
      <c r="I29" s="81"/>
      <c r="J29" s="116">
        <v>60</v>
      </c>
      <c r="K29" s="117" t="s">
        <v>201</v>
      </c>
      <c r="L29" s="118">
        <v>15</v>
      </c>
      <c r="M29" s="119">
        <v>15.38</v>
      </c>
      <c r="N29" s="119">
        <f t="shared" ref="N29:N36" si="12">L29*M29</f>
        <v>230.70000000000002</v>
      </c>
      <c r="O29" s="120">
        <f t="shared" ref="O29:O34" si="13">L29*12</f>
        <v>180</v>
      </c>
      <c r="P29" s="121"/>
      <c r="Q29" s="122">
        <f>O29*M29</f>
        <v>2768.4</v>
      </c>
      <c r="R29" s="81"/>
    </row>
    <row r="30" spans="1:18" x14ac:dyDescent="0.25">
      <c r="A30" s="81"/>
      <c r="B30" s="81"/>
      <c r="C30" s="81"/>
      <c r="D30" s="81"/>
      <c r="E30" s="81"/>
      <c r="F30" s="81"/>
      <c r="G30" s="81"/>
      <c r="H30" s="81"/>
      <c r="I30" s="81"/>
      <c r="J30" s="116">
        <v>25</v>
      </c>
      <c r="K30" s="117" t="s">
        <v>202</v>
      </c>
      <c r="L30" s="118">
        <v>15</v>
      </c>
      <c r="M30" s="119">
        <v>9.07</v>
      </c>
      <c r="N30" s="119">
        <f t="shared" si="12"/>
        <v>136.05000000000001</v>
      </c>
      <c r="O30" s="120">
        <f t="shared" si="13"/>
        <v>180</v>
      </c>
      <c r="P30" s="121"/>
      <c r="Q30" s="122">
        <f>O30*M30</f>
        <v>1632.6000000000001</v>
      </c>
      <c r="R30" s="81"/>
    </row>
    <row r="31" spans="1:18" x14ac:dyDescent="0.25">
      <c r="A31" s="81"/>
      <c r="B31" s="81"/>
      <c r="C31" s="81"/>
      <c r="D31" s="81"/>
      <c r="E31" s="81"/>
      <c r="F31" s="81"/>
      <c r="G31" s="81"/>
      <c r="H31" s="81"/>
      <c r="I31" s="81"/>
      <c r="J31" s="116">
        <v>15</v>
      </c>
      <c r="K31" s="117" t="s">
        <v>204</v>
      </c>
      <c r="L31" s="118">
        <v>30</v>
      </c>
      <c r="M31" s="119">
        <v>5.5</v>
      </c>
      <c r="N31" s="119">
        <f t="shared" si="12"/>
        <v>165</v>
      </c>
      <c r="O31" s="120">
        <f t="shared" si="13"/>
        <v>360</v>
      </c>
      <c r="P31" s="121">
        <v>30</v>
      </c>
      <c r="Q31" s="122">
        <f>(O31+P31)*M31</f>
        <v>2145</v>
      </c>
      <c r="R31" s="81"/>
    </row>
    <row r="32" spans="1:18" x14ac:dyDescent="0.25">
      <c r="A32" s="81"/>
      <c r="B32" s="81"/>
      <c r="C32" s="81"/>
      <c r="D32" s="81"/>
      <c r="E32" s="81"/>
      <c r="F32" s="81"/>
      <c r="G32" s="81"/>
      <c r="H32" s="81"/>
      <c r="I32" s="81"/>
      <c r="J32" s="116">
        <v>10</v>
      </c>
      <c r="K32" s="117" t="s">
        <v>206</v>
      </c>
      <c r="L32" s="118">
        <v>6</v>
      </c>
      <c r="M32" s="119">
        <v>4</v>
      </c>
      <c r="N32" s="119">
        <f t="shared" si="12"/>
        <v>24</v>
      </c>
      <c r="O32" s="120">
        <f t="shared" si="13"/>
        <v>72</v>
      </c>
      <c r="P32" s="121"/>
      <c r="Q32" s="122">
        <f>N32*12</f>
        <v>288</v>
      </c>
      <c r="R32" s="81"/>
    </row>
    <row r="33" spans="1:18" x14ac:dyDescent="0.25">
      <c r="A33" s="123"/>
      <c r="B33" s="123"/>
      <c r="C33" s="123"/>
      <c r="D33" s="123"/>
      <c r="E33" s="123"/>
      <c r="F33" s="123"/>
      <c r="G33" s="123"/>
      <c r="H33" s="81"/>
      <c r="I33" s="81"/>
      <c r="J33" s="116">
        <v>10</v>
      </c>
      <c r="K33" s="117" t="s">
        <v>208</v>
      </c>
      <c r="L33" s="118">
        <v>10</v>
      </c>
      <c r="M33" s="119">
        <v>4</v>
      </c>
      <c r="N33" s="119">
        <f t="shared" si="12"/>
        <v>40</v>
      </c>
      <c r="O33" s="120">
        <f t="shared" si="13"/>
        <v>120</v>
      </c>
      <c r="P33" s="121"/>
      <c r="Q33" s="122">
        <f>N33*12</f>
        <v>480</v>
      </c>
      <c r="R33" s="81"/>
    </row>
    <row r="34" spans="1:18" x14ac:dyDescent="0.25">
      <c r="A34" s="81"/>
      <c r="B34" s="81"/>
      <c r="C34" s="81"/>
      <c r="D34" s="81"/>
      <c r="E34" s="81"/>
      <c r="F34" s="81"/>
      <c r="G34" s="81"/>
      <c r="H34" s="81"/>
      <c r="I34" s="81"/>
      <c r="J34" s="116">
        <v>15</v>
      </c>
      <c r="K34" s="117" t="s">
        <v>210</v>
      </c>
      <c r="L34" s="118">
        <v>15</v>
      </c>
      <c r="M34" s="119">
        <v>5.5</v>
      </c>
      <c r="N34" s="119">
        <f t="shared" si="12"/>
        <v>82.5</v>
      </c>
      <c r="O34" s="120">
        <f t="shared" si="13"/>
        <v>180</v>
      </c>
      <c r="P34" s="121">
        <v>14</v>
      </c>
      <c r="Q34" s="122">
        <f>(P34+O34)*M34</f>
        <v>1067</v>
      </c>
      <c r="R34" s="81"/>
    </row>
    <row r="35" spans="1:18" x14ac:dyDescent="0.25">
      <c r="A35" s="110" t="s">
        <v>223</v>
      </c>
      <c r="B35" s="110"/>
      <c r="C35" s="110"/>
      <c r="D35" s="110"/>
      <c r="E35" s="110"/>
      <c r="F35" s="110"/>
      <c r="G35" s="110"/>
      <c r="H35" s="81"/>
      <c r="I35" s="81"/>
      <c r="J35" s="116">
        <v>150</v>
      </c>
      <c r="K35" s="117" t="s">
        <v>211</v>
      </c>
      <c r="L35" s="118"/>
      <c r="M35" s="119">
        <v>55</v>
      </c>
      <c r="N35" s="119">
        <f t="shared" si="12"/>
        <v>0</v>
      </c>
      <c r="O35" s="120">
        <v>3</v>
      </c>
      <c r="P35" s="124"/>
      <c r="Q35" s="122">
        <f>O35*M35</f>
        <v>165</v>
      </c>
      <c r="R35" s="81"/>
    </row>
    <row r="36" spans="1:18" x14ac:dyDescent="0.25">
      <c r="A36" s="111" t="s">
        <v>216</v>
      </c>
      <c r="B36" s="112" t="s">
        <v>217</v>
      </c>
      <c r="C36" s="112" t="s">
        <v>224</v>
      </c>
      <c r="D36" s="125" t="s">
        <v>225</v>
      </c>
      <c r="E36" s="126" t="s">
        <v>220</v>
      </c>
      <c r="F36" s="124" t="s">
        <v>226</v>
      </c>
      <c r="G36" s="126" t="s">
        <v>222</v>
      </c>
      <c r="H36" s="81"/>
      <c r="I36" s="81"/>
      <c r="J36" s="116">
        <v>80</v>
      </c>
      <c r="K36" s="117" t="s">
        <v>227</v>
      </c>
      <c r="L36" s="118"/>
      <c r="M36" s="119">
        <v>30</v>
      </c>
      <c r="N36" s="119">
        <f t="shared" si="12"/>
        <v>0</v>
      </c>
      <c r="O36" s="120">
        <v>3</v>
      </c>
      <c r="P36" s="124"/>
      <c r="Q36" s="122">
        <f>O36*M36</f>
        <v>90</v>
      </c>
      <c r="R36" s="81"/>
    </row>
    <row r="37" spans="1:18" x14ac:dyDescent="0.25">
      <c r="A37" s="117" t="s">
        <v>201</v>
      </c>
      <c r="B37" s="118">
        <v>15</v>
      </c>
      <c r="C37" s="127">
        <v>46.2</v>
      </c>
      <c r="D37" s="127">
        <f t="shared" ref="D37:D46" si="14">B37*C37</f>
        <v>693</v>
      </c>
      <c r="E37" s="120">
        <f t="shared" ref="E37:E42" si="15">B37*12</f>
        <v>180</v>
      </c>
      <c r="F37" s="121"/>
      <c r="G37" s="128">
        <f>E37*C37</f>
        <v>8316</v>
      </c>
      <c r="H37" s="81"/>
      <c r="I37" s="81"/>
      <c r="J37" s="81"/>
      <c r="K37" s="117" t="s">
        <v>212</v>
      </c>
      <c r="L37" s="118">
        <v>8</v>
      </c>
      <c r="M37" s="119">
        <v>2</v>
      </c>
      <c r="N37" s="119">
        <f>M37*L37</f>
        <v>16</v>
      </c>
      <c r="O37" s="120">
        <f>L37*12</f>
        <v>96</v>
      </c>
      <c r="P37" s="124">
        <v>4</v>
      </c>
      <c r="Q37" s="122">
        <f>(O37+P37)*M37</f>
        <v>200</v>
      </c>
      <c r="R37" s="81"/>
    </row>
    <row r="38" spans="1:18" x14ac:dyDescent="0.25">
      <c r="A38" s="117" t="s">
        <v>202</v>
      </c>
      <c r="B38" s="118">
        <v>15</v>
      </c>
      <c r="C38" s="127">
        <f t="shared" ref="C38:C46" si="16">(M30*1.23)*1.75</f>
        <v>19.523175000000002</v>
      </c>
      <c r="D38" s="127">
        <f t="shared" si="14"/>
        <v>292.84762500000005</v>
      </c>
      <c r="E38" s="120">
        <f t="shared" si="15"/>
        <v>180</v>
      </c>
      <c r="F38" s="121"/>
      <c r="G38" s="128">
        <f>E38*C38</f>
        <v>3514.1715000000004</v>
      </c>
      <c r="H38" s="81"/>
      <c r="I38" s="81"/>
      <c r="J38" s="81"/>
      <c r="K38" s="117" t="s">
        <v>213</v>
      </c>
      <c r="L38" s="118">
        <v>8</v>
      </c>
      <c r="M38" s="119">
        <v>1.8</v>
      </c>
      <c r="N38" s="119">
        <f>M38*L38</f>
        <v>14.4</v>
      </c>
      <c r="O38" s="120">
        <f>L38*12</f>
        <v>96</v>
      </c>
      <c r="P38" s="124">
        <v>4</v>
      </c>
      <c r="Q38" s="122">
        <f>(O38+P38)*M38</f>
        <v>180</v>
      </c>
      <c r="R38" s="81"/>
    </row>
    <row r="39" spans="1:18" x14ac:dyDescent="0.25">
      <c r="A39" s="117" t="s">
        <v>204</v>
      </c>
      <c r="B39" s="118">
        <v>30</v>
      </c>
      <c r="C39" s="127">
        <f t="shared" si="16"/>
        <v>11.838749999999999</v>
      </c>
      <c r="D39" s="127">
        <f t="shared" si="14"/>
        <v>355.16249999999997</v>
      </c>
      <c r="E39" s="120">
        <f t="shared" si="15"/>
        <v>360</v>
      </c>
      <c r="F39" s="121">
        <v>60</v>
      </c>
      <c r="G39" s="128">
        <f>(E39+F39)*C39</f>
        <v>4972.2749999999996</v>
      </c>
      <c r="H39" s="81"/>
      <c r="I39" s="81"/>
      <c r="J39" s="81"/>
      <c r="K39" s="117"/>
      <c r="L39" s="118"/>
      <c r="M39" s="119"/>
      <c r="N39" s="119"/>
      <c r="O39" s="120"/>
      <c r="P39" s="124"/>
      <c r="Q39" s="115"/>
      <c r="R39" s="81"/>
    </row>
    <row r="40" spans="1:18" x14ac:dyDescent="0.25">
      <c r="A40" s="117" t="s">
        <v>206</v>
      </c>
      <c r="B40" s="118">
        <v>6</v>
      </c>
      <c r="C40" s="127">
        <f t="shared" si="16"/>
        <v>8.61</v>
      </c>
      <c r="D40" s="127">
        <f t="shared" si="14"/>
        <v>51.66</v>
      </c>
      <c r="E40" s="120">
        <f t="shared" si="15"/>
        <v>72</v>
      </c>
      <c r="F40" s="121"/>
      <c r="G40" s="128">
        <f>D40*12</f>
        <v>619.91999999999996</v>
      </c>
      <c r="H40" s="81"/>
      <c r="I40" s="81"/>
      <c r="J40" s="81"/>
      <c r="K40" s="117"/>
      <c r="L40" s="118"/>
      <c r="M40" s="119"/>
      <c r="N40" s="119"/>
      <c r="O40" s="120"/>
      <c r="P40" s="124"/>
      <c r="Q40" s="115"/>
      <c r="R40" s="81"/>
    </row>
    <row r="41" spans="1:18" x14ac:dyDescent="0.25">
      <c r="A41" s="117" t="s">
        <v>208</v>
      </c>
      <c r="B41" s="118">
        <v>10</v>
      </c>
      <c r="C41" s="127">
        <f t="shared" si="16"/>
        <v>8.61</v>
      </c>
      <c r="D41" s="127">
        <f t="shared" si="14"/>
        <v>86.1</v>
      </c>
      <c r="E41" s="120">
        <f t="shared" si="15"/>
        <v>120</v>
      </c>
      <c r="F41" s="121"/>
      <c r="G41" s="128">
        <f>D41*12</f>
        <v>1033.1999999999998</v>
      </c>
      <c r="H41" s="81"/>
      <c r="I41" s="81"/>
      <c r="J41" s="81"/>
      <c r="K41" s="117"/>
      <c r="L41" s="118"/>
      <c r="M41" s="119"/>
      <c r="N41" s="129"/>
      <c r="O41" s="120"/>
      <c r="P41" s="124"/>
      <c r="Q41" s="115"/>
      <c r="R41" s="81"/>
    </row>
    <row r="42" spans="1:18" x14ac:dyDescent="0.25">
      <c r="A42" s="117" t="s">
        <v>210</v>
      </c>
      <c r="B42" s="118">
        <v>15</v>
      </c>
      <c r="C42" s="127">
        <f t="shared" si="16"/>
        <v>11.838749999999999</v>
      </c>
      <c r="D42" s="127">
        <f t="shared" si="14"/>
        <v>177.58124999999998</v>
      </c>
      <c r="E42" s="120">
        <f t="shared" si="15"/>
        <v>180</v>
      </c>
      <c r="F42" s="121">
        <v>30</v>
      </c>
      <c r="G42" s="128">
        <f>(F42+E42)*C42</f>
        <v>2486.1374999999998</v>
      </c>
      <c r="H42" s="81"/>
      <c r="I42" s="81"/>
      <c r="J42" s="81"/>
      <c r="K42" s="117"/>
      <c r="L42" s="118"/>
      <c r="M42" s="119"/>
      <c r="N42" s="129"/>
      <c r="O42" s="120"/>
      <c r="P42" s="124"/>
      <c r="Q42" s="115"/>
      <c r="R42" s="81"/>
    </row>
    <row r="43" spans="1:18" x14ac:dyDescent="0.25">
      <c r="A43" s="117" t="s">
        <v>229</v>
      </c>
      <c r="B43" s="118"/>
      <c r="C43" s="127">
        <f t="shared" si="16"/>
        <v>118.38750000000002</v>
      </c>
      <c r="D43" s="127">
        <f t="shared" si="14"/>
        <v>0</v>
      </c>
      <c r="E43" s="120">
        <v>4</v>
      </c>
      <c r="F43" s="124"/>
      <c r="G43" s="128">
        <f>E43*C43</f>
        <v>473.55000000000007</v>
      </c>
      <c r="H43" s="81"/>
      <c r="I43" s="81"/>
      <c r="J43" s="81"/>
      <c r="K43" s="130" t="s">
        <v>18</v>
      </c>
      <c r="L43" s="130"/>
      <c r="M43" s="130"/>
      <c r="N43" s="119">
        <f>SUM(N29:N38)</f>
        <v>708.65</v>
      </c>
      <c r="O43" s="120">
        <f>SUM(O29:O34)</f>
        <v>1092</v>
      </c>
      <c r="P43" s="121"/>
      <c r="Q43" s="115">
        <f>SUM(Q29:Q34)</f>
        <v>8381</v>
      </c>
      <c r="R43" s="81"/>
    </row>
    <row r="44" spans="1:18" x14ac:dyDescent="0.25">
      <c r="A44" s="117" t="s">
        <v>227</v>
      </c>
      <c r="B44" s="118"/>
      <c r="C44" s="127">
        <f t="shared" si="16"/>
        <v>64.575000000000003</v>
      </c>
      <c r="D44" s="127">
        <f t="shared" si="14"/>
        <v>0</v>
      </c>
      <c r="E44" s="120">
        <v>4</v>
      </c>
      <c r="F44" s="124"/>
      <c r="G44" s="128">
        <f>E44*C44</f>
        <v>258.3</v>
      </c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</row>
    <row r="45" spans="1:18" x14ac:dyDescent="0.25">
      <c r="A45" s="117" t="s">
        <v>212</v>
      </c>
      <c r="B45" s="118">
        <v>8</v>
      </c>
      <c r="C45" s="127">
        <f t="shared" si="16"/>
        <v>4.3049999999999997</v>
      </c>
      <c r="D45" s="127">
        <f t="shared" si="14"/>
        <v>34.44</v>
      </c>
      <c r="E45" s="131"/>
      <c r="F45" s="115"/>
      <c r="G45" s="128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</row>
    <row r="46" spans="1:18" x14ac:dyDescent="0.25">
      <c r="A46" s="117" t="s">
        <v>213</v>
      </c>
      <c r="B46" s="118">
        <v>8</v>
      </c>
      <c r="C46" s="127">
        <f t="shared" si="16"/>
        <v>3.8744999999999998</v>
      </c>
      <c r="D46" s="127">
        <f t="shared" si="14"/>
        <v>30.995999999999999</v>
      </c>
      <c r="E46" s="131"/>
      <c r="F46" s="115"/>
      <c r="G46" s="128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</row>
    <row r="47" spans="1:18" x14ac:dyDescent="0.25">
      <c r="A47" s="117"/>
      <c r="B47" s="118"/>
      <c r="C47" s="119"/>
      <c r="D47" s="119"/>
      <c r="E47" s="131"/>
      <c r="F47" s="115"/>
      <c r="G47" s="128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</row>
    <row r="48" spans="1:18" x14ac:dyDescent="0.25">
      <c r="A48" s="117"/>
      <c r="B48" s="118"/>
      <c r="C48" s="119"/>
      <c r="D48" s="119"/>
      <c r="E48" s="131"/>
      <c r="F48" s="115"/>
      <c r="G48" s="128"/>
      <c r="H48" s="81"/>
      <c r="I48" s="81"/>
      <c r="J48" s="81"/>
      <c r="K48" s="132"/>
      <c r="L48" s="132"/>
      <c r="M48" s="132"/>
      <c r="N48" s="132"/>
      <c r="O48" s="132"/>
      <c r="P48" s="132"/>
      <c r="Q48" s="132"/>
      <c r="R48" s="81"/>
    </row>
    <row r="49" spans="1:18" x14ac:dyDescent="0.25">
      <c r="A49" s="130" t="s">
        <v>18</v>
      </c>
      <c r="B49" s="130"/>
      <c r="C49" s="119"/>
      <c r="D49" s="119">
        <f>SUM(D37:D45)</f>
        <v>1690.791375</v>
      </c>
      <c r="E49" s="131">
        <f>SUM(E37:E42)</f>
        <v>1092</v>
      </c>
      <c r="F49" s="133"/>
      <c r="G49" s="128">
        <f>SUM(G37:G42)</f>
        <v>20941.703999999998</v>
      </c>
      <c r="H49" s="81"/>
      <c r="I49" s="81"/>
      <c r="J49" s="81"/>
      <c r="K49" s="132"/>
      <c r="L49" s="132"/>
      <c r="M49" s="132"/>
      <c r="N49" s="132"/>
      <c r="O49" s="132"/>
      <c r="P49" s="132"/>
      <c r="Q49" s="132"/>
      <c r="R49" s="81"/>
    </row>
    <row r="50" spans="1:18" x14ac:dyDescent="0.25">
      <c r="A50" s="134"/>
      <c r="B50" s="134"/>
      <c r="C50" s="134"/>
      <c r="D50" s="134"/>
      <c r="E50" s="134"/>
      <c r="F50" s="134"/>
      <c r="G50" s="134"/>
      <c r="H50" s="81"/>
      <c r="I50" s="81"/>
      <c r="J50" s="81"/>
      <c r="K50" s="132"/>
      <c r="L50" s="132"/>
      <c r="M50" s="132"/>
      <c r="N50" s="132"/>
      <c r="O50" s="132"/>
      <c r="P50" s="132"/>
      <c r="Q50" s="132"/>
      <c r="R50" s="81"/>
    </row>
    <row r="51" spans="1:18" x14ac:dyDescent="0.25">
      <c r="A51" s="81"/>
      <c r="B51" s="81"/>
      <c r="C51" s="81"/>
      <c r="D51" s="81"/>
      <c r="E51" s="81"/>
      <c r="F51" s="81"/>
      <c r="G51" s="81"/>
      <c r="H51" s="81"/>
      <c r="I51" s="81"/>
      <c r="J51" s="81"/>
      <c r="K51" s="132"/>
      <c r="L51" s="132"/>
      <c r="M51" s="132"/>
      <c r="N51" s="132"/>
      <c r="O51" s="132"/>
      <c r="P51" s="132"/>
      <c r="Q51" s="132"/>
      <c r="R51" s="81"/>
    </row>
    <row r="52" spans="1:18" x14ac:dyDescent="0.25">
      <c r="A52" s="81"/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</row>
    <row r="53" spans="1:18" x14ac:dyDescent="0.25">
      <c r="A53" s="81"/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</row>
    <row r="54" spans="1:18" x14ac:dyDescent="0.25">
      <c r="A54" s="81"/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</row>
    <row r="55" spans="1:18" x14ac:dyDescent="0.25">
      <c r="A55" s="81"/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</row>
  </sheetData>
  <mergeCells count="18">
    <mergeCell ref="A35:G35"/>
    <mergeCell ref="K48:Q51"/>
    <mergeCell ref="L3:L4"/>
    <mergeCell ref="M3:N3"/>
    <mergeCell ref="O3:P3"/>
    <mergeCell ref="Q3:R3"/>
    <mergeCell ref="A22:D23"/>
    <mergeCell ref="K27:Q27"/>
    <mergeCell ref="A1:F2"/>
    <mergeCell ref="G1:G2"/>
    <mergeCell ref="K1:P2"/>
    <mergeCell ref="Q1:R2"/>
    <mergeCell ref="A3:A4"/>
    <mergeCell ref="B3:B4"/>
    <mergeCell ref="C3:D3"/>
    <mergeCell ref="E3:F3"/>
    <mergeCell ref="G3:H3"/>
    <mergeCell ref="K3:K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opLeftCell="A16" workbookViewId="0">
      <selection activeCell="G35" sqref="G35"/>
    </sheetView>
  </sheetViews>
  <sheetFormatPr defaultRowHeight="15" x14ac:dyDescent="0.25"/>
  <cols>
    <col min="4" max="4" width="14.42578125" customWidth="1"/>
    <col min="10" max="10" width="26.85546875" bestFit="1" customWidth="1"/>
    <col min="11" max="11" width="21.85546875" bestFit="1" customWidth="1"/>
    <col min="16" max="16" width="12.28515625" bestFit="1" customWidth="1"/>
    <col min="18" max="18" width="20.28515625" bestFit="1" customWidth="1"/>
  </cols>
  <sheetData>
    <row r="1" spans="1:18" x14ac:dyDescent="0.25">
      <c r="A1" s="1" t="s">
        <v>0</v>
      </c>
      <c r="B1" s="2"/>
      <c r="C1" s="2"/>
      <c r="D1" s="3">
        <v>2013</v>
      </c>
      <c r="J1" s="22" t="s">
        <v>26</v>
      </c>
      <c r="K1" s="22"/>
      <c r="L1" s="22"/>
      <c r="M1" s="15" t="s">
        <v>25</v>
      </c>
      <c r="N1" s="18" t="s">
        <v>35</v>
      </c>
      <c r="O1">
        <v>9.9</v>
      </c>
      <c r="P1" s="14"/>
      <c r="Q1" s="23" t="s">
        <v>39</v>
      </c>
      <c r="R1" s="12"/>
    </row>
    <row r="2" spans="1:18" x14ac:dyDescent="0.25">
      <c r="A2" s="4" t="s">
        <v>1</v>
      </c>
      <c r="B2" s="4"/>
      <c r="C2" s="4"/>
      <c r="D2" s="5"/>
      <c r="J2" s="12" t="s">
        <v>31</v>
      </c>
      <c r="M2" s="16"/>
      <c r="N2" s="13"/>
      <c r="O2" s="16">
        <v>9.9</v>
      </c>
      <c r="P2" s="19"/>
      <c r="Q2" s="19"/>
      <c r="R2" s="19" t="s">
        <v>40</v>
      </c>
    </row>
    <row r="3" spans="1:18" x14ac:dyDescent="0.25">
      <c r="A3" s="6" t="s">
        <v>2</v>
      </c>
      <c r="B3" s="6"/>
      <c r="C3" s="6"/>
      <c r="D3" s="7"/>
      <c r="J3" t="s">
        <v>36</v>
      </c>
      <c r="K3" t="s">
        <v>20</v>
      </c>
      <c r="L3">
        <v>52</v>
      </c>
      <c r="M3" s="16"/>
      <c r="N3" s="13"/>
      <c r="O3" s="16">
        <v>11</v>
      </c>
      <c r="P3" s="19" t="s">
        <v>41</v>
      </c>
      <c r="Q3" s="19">
        <v>340</v>
      </c>
      <c r="R3" s="19" t="s">
        <v>42</v>
      </c>
    </row>
    <row r="4" spans="1:18" x14ac:dyDescent="0.25">
      <c r="A4" s="6" t="s">
        <v>3</v>
      </c>
      <c r="B4" s="6"/>
      <c r="C4" s="6"/>
      <c r="D4" s="7"/>
      <c r="K4" t="s">
        <v>21</v>
      </c>
      <c r="L4">
        <v>12.35</v>
      </c>
      <c r="M4" s="16"/>
      <c r="N4" s="13"/>
      <c r="O4" s="16">
        <v>7.5</v>
      </c>
      <c r="P4" s="20" t="s">
        <v>43</v>
      </c>
      <c r="Q4" s="20">
        <v>510</v>
      </c>
      <c r="R4" s="20" t="s">
        <v>44</v>
      </c>
    </row>
    <row r="5" spans="1:18" x14ac:dyDescent="0.25">
      <c r="A5" s="8" t="s">
        <v>4</v>
      </c>
      <c r="B5" s="8"/>
      <c r="C5" s="8"/>
      <c r="D5" s="8"/>
      <c r="K5" t="s">
        <v>22</v>
      </c>
      <c r="L5">
        <v>15.3</v>
      </c>
      <c r="M5" s="16"/>
      <c r="N5" s="13"/>
      <c r="O5" s="16">
        <v>2.6</v>
      </c>
      <c r="P5" s="19" t="s">
        <v>45</v>
      </c>
      <c r="Q5" s="19">
        <v>800</v>
      </c>
      <c r="R5" s="19" t="s">
        <v>46</v>
      </c>
    </row>
    <row r="6" spans="1:18" x14ac:dyDescent="0.25">
      <c r="A6" s="6" t="s">
        <v>2</v>
      </c>
      <c r="B6" s="6"/>
      <c r="C6" s="6"/>
      <c r="D6" s="7"/>
      <c r="K6" t="s">
        <v>23</v>
      </c>
      <c r="L6">
        <v>12.9</v>
      </c>
      <c r="M6" s="16"/>
      <c r="N6" s="13"/>
      <c r="O6" s="16">
        <v>20.14</v>
      </c>
      <c r="P6" s="19" t="s">
        <v>47</v>
      </c>
      <c r="Q6" s="19">
        <v>70</v>
      </c>
      <c r="R6" s="19" t="s">
        <v>48</v>
      </c>
    </row>
    <row r="7" spans="1:18" x14ac:dyDescent="0.25">
      <c r="A7" s="6" t="s">
        <v>5</v>
      </c>
      <c r="B7" s="6"/>
      <c r="C7" s="6"/>
      <c r="D7" s="7"/>
      <c r="K7" t="s">
        <v>24</v>
      </c>
      <c r="L7">
        <v>3.25</v>
      </c>
      <c r="M7" s="16"/>
      <c r="N7" s="13"/>
      <c r="O7" s="16">
        <v>20.84</v>
      </c>
      <c r="P7" s="19" t="s">
        <v>49</v>
      </c>
      <c r="Q7" s="19">
        <v>40</v>
      </c>
      <c r="R7" s="19" t="s">
        <v>50</v>
      </c>
    </row>
    <row r="8" spans="1:18" x14ac:dyDescent="0.25">
      <c r="A8" s="6" t="s">
        <v>6</v>
      </c>
      <c r="B8" s="6"/>
      <c r="C8" s="6"/>
      <c r="D8" s="9">
        <f>L10+L8</f>
        <v>274.66000000000003</v>
      </c>
      <c r="K8" s="12" t="s">
        <v>25</v>
      </c>
      <c r="L8" s="12">
        <f>SUM(L3:L7)</f>
        <v>95.8</v>
      </c>
      <c r="M8" s="16"/>
      <c r="N8" s="13"/>
      <c r="O8" s="16">
        <v>11.8</v>
      </c>
      <c r="P8" s="19" t="s">
        <v>51</v>
      </c>
      <c r="Q8" s="19">
        <v>79.8</v>
      </c>
      <c r="R8" s="19" t="s">
        <v>52</v>
      </c>
    </row>
    <row r="9" spans="1:18" x14ac:dyDescent="0.25">
      <c r="A9" s="6" t="s">
        <v>7</v>
      </c>
      <c r="B9" s="6"/>
      <c r="C9" s="6"/>
      <c r="D9" s="7"/>
      <c r="M9" s="16"/>
      <c r="N9" s="13"/>
      <c r="O9" s="16">
        <v>11.8</v>
      </c>
      <c r="P9" s="19" t="s">
        <v>53</v>
      </c>
      <c r="Q9" s="19">
        <v>25</v>
      </c>
      <c r="R9" s="19" t="s">
        <v>54</v>
      </c>
    </row>
    <row r="10" spans="1:18" x14ac:dyDescent="0.25">
      <c r="A10" s="6" t="s">
        <v>8</v>
      </c>
      <c r="B10" s="6"/>
      <c r="C10" s="6"/>
      <c r="D10" s="7">
        <v>60.83</v>
      </c>
      <c r="J10" t="s">
        <v>27</v>
      </c>
      <c r="K10" t="s">
        <v>19</v>
      </c>
      <c r="L10">
        <v>178.86</v>
      </c>
      <c r="M10" s="16"/>
      <c r="N10" s="13"/>
      <c r="O10" s="16">
        <v>11.8</v>
      </c>
      <c r="P10" s="19" t="s">
        <v>55</v>
      </c>
      <c r="Q10" s="19">
        <v>200</v>
      </c>
      <c r="R10" s="19" t="s">
        <v>56</v>
      </c>
    </row>
    <row r="11" spans="1:18" x14ac:dyDescent="0.25">
      <c r="A11" s="6" t="s">
        <v>9</v>
      </c>
      <c r="B11" s="6"/>
      <c r="C11" s="6"/>
      <c r="D11" s="7"/>
      <c r="K11" s="12"/>
      <c r="M11" s="17">
        <f>L10+L8</f>
        <v>274.66000000000003</v>
      </c>
      <c r="N11" s="13"/>
      <c r="O11" s="16">
        <v>11.8</v>
      </c>
      <c r="P11" s="20" t="s">
        <v>57</v>
      </c>
      <c r="Q11" s="20">
        <v>437.04</v>
      </c>
      <c r="R11" s="20" t="s">
        <v>58</v>
      </c>
    </row>
    <row r="12" spans="1:18" x14ac:dyDescent="0.25">
      <c r="A12" s="4" t="s">
        <v>10</v>
      </c>
      <c r="B12" s="4"/>
      <c r="C12" s="4"/>
      <c r="D12" s="8"/>
      <c r="J12" s="12" t="s">
        <v>32</v>
      </c>
      <c r="M12" s="16"/>
      <c r="N12" s="13"/>
      <c r="O12" s="16">
        <v>11.8</v>
      </c>
      <c r="P12" s="19" t="s">
        <v>59</v>
      </c>
      <c r="Q12" s="19">
        <v>135.30000000000001</v>
      </c>
      <c r="R12" s="19" t="s">
        <v>60</v>
      </c>
    </row>
    <row r="13" spans="1:18" x14ac:dyDescent="0.25">
      <c r="A13" s="6" t="s">
        <v>11</v>
      </c>
      <c r="B13" s="6"/>
      <c r="C13" s="6"/>
      <c r="D13" s="7"/>
      <c r="J13" t="s">
        <v>30</v>
      </c>
      <c r="K13" t="s">
        <v>33</v>
      </c>
      <c r="L13">
        <v>60.83</v>
      </c>
      <c r="M13" s="16"/>
      <c r="N13" s="13"/>
      <c r="O13">
        <v>14.8</v>
      </c>
      <c r="P13" s="21" t="s">
        <v>25</v>
      </c>
      <c r="Q13" s="12">
        <f>SUM(Q3:Q12)</f>
        <v>2637.1400000000003</v>
      </c>
    </row>
    <row r="14" spans="1:18" x14ac:dyDescent="0.25">
      <c r="A14" s="6" t="s">
        <v>12</v>
      </c>
      <c r="B14" s="6"/>
      <c r="C14" s="6"/>
      <c r="D14" s="7"/>
      <c r="M14" s="17">
        <v>60.83</v>
      </c>
      <c r="N14" s="13"/>
      <c r="O14">
        <v>9.75</v>
      </c>
      <c r="P14" s="14"/>
    </row>
    <row r="15" spans="1:18" x14ac:dyDescent="0.25">
      <c r="A15" s="6" t="s">
        <v>13</v>
      </c>
      <c r="B15" s="6"/>
      <c r="C15" s="6"/>
      <c r="D15" s="7">
        <v>60.83</v>
      </c>
      <c r="M15" s="16"/>
      <c r="N15" s="13"/>
      <c r="O15">
        <v>7.04</v>
      </c>
      <c r="P15" s="14"/>
    </row>
    <row r="16" spans="1:18" x14ac:dyDescent="0.25">
      <c r="A16" s="6" t="s">
        <v>14</v>
      </c>
      <c r="B16" s="6"/>
      <c r="C16" s="6"/>
      <c r="D16" s="7"/>
      <c r="J16" s="22" t="s">
        <v>28</v>
      </c>
      <c r="K16" s="22"/>
      <c r="L16" s="22"/>
      <c r="M16" s="16"/>
      <c r="N16" s="13"/>
      <c r="O16">
        <v>8.5500000000000007</v>
      </c>
      <c r="P16" s="14"/>
    </row>
    <row r="17" spans="1:16" x14ac:dyDescent="0.25">
      <c r="A17" s="6" t="s">
        <v>15</v>
      </c>
      <c r="B17" s="6"/>
      <c r="C17" s="6"/>
      <c r="D17" s="7"/>
      <c r="M17" s="16"/>
      <c r="N17" s="13"/>
      <c r="O17">
        <v>9.4499999999999993</v>
      </c>
      <c r="P17" s="14"/>
    </row>
    <row r="18" spans="1:16" x14ac:dyDescent="0.25">
      <c r="A18" s="4" t="s">
        <v>16</v>
      </c>
      <c r="B18" s="4"/>
      <c r="C18" s="4"/>
      <c r="D18" s="10">
        <f>M26</f>
        <v>1300.06</v>
      </c>
      <c r="J18" t="s">
        <v>37</v>
      </c>
      <c r="K18" t="s">
        <v>29</v>
      </c>
      <c r="L18">
        <v>60.83</v>
      </c>
      <c r="M18" s="16"/>
      <c r="N18" s="13"/>
      <c r="O18">
        <v>10.92</v>
      </c>
      <c r="P18" s="14"/>
    </row>
    <row r="19" spans="1:16" x14ac:dyDescent="0.25">
      <c r="A19" s="4" t="s">
        <v>17</v>
      </c>
      <c r="B19" s="4"/>
      <c r="C19" s="4"/>
      <c r="D19" s="10">
        <f>Q13</f>
        <v>2637.1400000000003</v>
      </c>
      <c r="M19" s="17">
        <v>60.83</v>
      </c>
      <c r="N19" s="13"/>
      <c r="O19">
        <v>4.12</v>
      </c>
      <c r="P19" s="14"/>
    </row>
    <row r="20" spans="1:16" x14ac:dyDescent="0.25">
      <c r="A20" s="11" t="s">
        <v>18</v>
      </c>
      <c r="B20" s="11"/>
      <c r="C20" s="11"/>
      <c r="D20" s="7">
        <f>SUM(D2:D19)</f>
        <v>4333.5200000000004</v>
      </c>
      <c r="M20" s="16"/>
      <c r="N20" s="13"/>
      <c r="O20">
        <v>10</v>
      </c>
      <c r="P20" s="14"/>
    </row>
    <row r="21" spans="1:16" x14ac:dyDescent="0.25">
      <c r="J21" s="22" t="s">
        <v>34</v>
      </c>
      <c r="K21" s="22"/>
      <c r="L21" s="22"/>
      <c r="M21" s="16"/>
      <c r="N21" s="13"/>
      <c r="O21">
        <v>3.3</v>
      </c>
      <c r="P21" s="14"/>
    </row>
    <row r="22" spans="1:16" x14ac:dyDescent="0.25">
      <c r="J22" t="s">
        <v>291</v>
      </c>
      <c r="K22" s="68">
        <v>441.95</v>
      </c>
      <c r="M22" s="16"/>
      <c r="N22" s="13"/>
      <c r="O22">
        <v>3.3</v>
      </c>
      <c r="P22" s="14"/>
    </row>
    <row r="23" spans="1:16" x14ac:dyDescent="0.25">
      <c r="A23" s="1" t="s">
        <v>168</v>
      </c>
      <c r="B23" s="2"/>
      <c r="C23" s="2"/>
      <c r="D23" s="2"/>
      <c r="J23" t="s">
        <v>38</v>
      </c>
      <c r="K23">
        <v>808.11</v>
      </c>
      <c r="M23" s="16"/>
      <c r="O23">
        <v>16.899999999999999</v>
      </c>
      <c r="P23" s="14"/>
    </row>
    <row r="24" spans="1:16" x14ac:dyDescent="0.25">
      <c r="A24" s="69"/>
      <c r="B24" s="70"/>
      <c r="C24" s="70"/>
      <c r="D24" s="70"/>
      <c r="J24" s="67" t="s">
        <v>167</v>
      </c>
      <c r="K24">
        <v>50</v>
      </c>
      <c r="O24">
        <v>21.25</v>
      </c>
      <c r="P24" s="14"/>
    </row>
    <row r="25" spans="1:16" x14ac:dyDescent="0.25">
      <c r="A25" s="71" t="s">
        <v>0</v>
      </c>
      <c r="B25" s="71"/>
      <c r="C25" s="71"/>
      <c r="D25" s="72">
        <v>2013</v>
      </c>
      <c r="M25" s="16"/>
      <c r="O25">
        <v>10.4</v>
      </c>
      <c r="P25" s="14"/>
    </row>
    <row r="26" spans="1:16" x14ac:dyDescent="0.25">
      <c r="A26" s="4" t="s">
        <v>169</v>
      </c>
      <c r="B26" s="4"/>
      <c r="C26" s="4"/>
      <c r="D26" s="7"/>
      <c r="M26" s="17">
        <f>K22+K23+K24</f>
        <v>1300.06</v>
      </c>
      <c r="O26">
        <v>12.35</v>
      </c>
      <c r="P26" s="14"/>
    </row>
    <row r="27" spans="1:16" x14ac:dyDescent="0.25">
      <c r="A27" s="6" t="s">
        <v>170</v>
      </c>
      <c r="B27" s="6"/>
      <c r="C27" s="6"/>
      <c r="D27" s="7"/>
      <c r="M27" s="16"/>
      <c r="O27">
        <v>23.5</v>
      </c>
      <c r="P27" s="14"/>
    </row>
    <row r="28" spans="1:16" x14ac:dyDescent="0.25">
      <c r="A28" s="71" t="s">
        <v>171</v>
      </c>
      <c r="B28" s="71"/>
      <c r="C28" s="71"/>
      <c r="D28" s="72">
        <f>D20</f>
        <v>4333.5200000000004</v>
      </c>
      <c r="M28" s="16"/>
      <c r="O28">
        <v>12.6</v>
      </c>
      <c r="P28" s="14"/>
    </row>
    <row r="29" spans="1:16" x14ac:dyDescent="0.25">
      <c r="A29" s="6" t="s">
        <v>15</v>
      </c>
      <c r="B29" s="6"/>
      <c r="C29" s="6"/>
      <c r="D29" s="7"/>
      <c r="M29" s="16"/>
      <c r="O29">
        <v>8.1</v>
      </c>
      <c r="P29" s="14"/>
    </row>
    <row r="30" spans="1:16" x14ac:dyDescent="0.25">
      <c r="A30" s="4" t="s">
        <v>172</v>
      </c>
      <c r="B30" s="4"/>
      <c r="C30" s="4"/>
      <c r="D30" s="7"/>
      <c r="M30" s="16"/>
      <c r="O30">
        <v>36</v>
      </c>
      <c r="P30" s="14"/>
    </row>
    <row r="31" spans="1:16" x14ac:dyDescent="0.25">
      <c r="A31" s="6" t="s">
        <v>173</v>
      </c>
      <c r="B31" s="6"/>
      <c r="C31" s="6"/>
      <c r="D31" s="7"/>
      <c r="M31" s="16"/>
      <c r="O31">
        <v>28.56</v>
      </c>
      <c r="P31" s="14"/>
    </row>
    <row r="32" spans="1:16" x14ac:dyDescent="0.25">
      <c r="A32" s="6" t="s">
        <v>174</v>
      </c>
      <c r="B32" s="6"/>
      <c r="C32" s="6"/>
      <c r="D32" s="7"/>
      <c r="M32" s="16"/>
      <c r="O32">
        <v>21.6</v>
      </c>
      <c r="P32" s="14"/>
    </row>
    <row r="33" spans="1:16" x14ac:dyDescent="0.25">
      <c r="A33" s="7" t="s">
        <v>175</v>
      </c>
      <c r="B33" s="7"/>
      <c r="C33" s="7"/>
      <c r="D33" s="7"/>
      <c r="M33" s="16"/>
      <c r="O33">
        <v>7.68</v>
      </c>
      <c r="P33" s="14"/>
    </row>
    <row r="34" spans="1:16" x14ac:dyDescent="0.25">
      <c r="A34" s="7" t="s">
        <v>176</v>
      </c>
      <c r="B34" s="7"/>
      <c r="C34" s="7"/>
      <c r="D34" s="7"/>
      <c r="M34" s="16"/>
      <c r="O34">
        <v>5.4</v>
      </c>
      <c r="P34" s="14"/>
    </row>
    <row r="35" spans="1:16" x14ac:dyDescent="0.25">
      <c r="A35" s="11" t="s">
        <v>18</v>
      </c>
      <c r="B35" s="11"/>
      <c r="C35" s="11"/>
      <c r="D35" s="7">
        <f>SUM(D26:D34)</f>
        <v>4333.5200000000004</v>
      </c>
      <c r="M35" s="16"/>
      <c r="O35">
        <v>11.42</v>
      </c>
      <c r="P35" s="14"/>
    </row>
    <row r="36" spans="1:16" x14ac:dyDescent="0.25">
      <c r="M36" s="16"/>
      <c r="O36">
        <v>4.08</v>
      </c>
      <c r="P36" s="14"/>
    </row>
    <row r="37" spans="1:16" x14ac:dyDescent="0.25">
      <c r="M37" s="16"/>
      <c r="N37" t="s">
        <v>25</v>
      </c>
      <c r="O37" s="12">
        <f>SUM(O1:O36)</f>
        <v>441.95000000000005</v>
      </c>
      <c r="P37" s="14"/>
    </row>
  </sheetData>
  <mergeCells count="32">
    <mergeCell ref="A30:C30"/>
    <mergeCell ref="A31:C31"/>
    <mergeCell ref="A32:C32"/>
    <mergeCell ref="A35:C35"/>
    <mergeCell ref="A23:D24"/>
    <mergeCell ref="A25:C25"/>
    <mergeCell ref="A26:C26"/>
    <mergeCell ref="A27:C27"/>
    <mergeCell ref="A28:C28"/>
    <mergeCell ref="A29:C29"/>
    <mergeCell ref="A20:C20"/>
    <mergeCell ref="J1:L1"/>
    <mergeCell ref="J16:L16"/>
    <mergeCell ref="J21:L21"/>
    <mergeCell ref="A14:C14"/>
    <mergeCell ref="A15:C15"/>
    <mergeCell ref="A16:C16"/>
    <mergeCell ref="A17:C17"/>
    <mergeCell ref="A18:C18"/>
    <mergeCell ref="A19:C19"/>
    <mergeCell ref="A8:C8"/>
    <mergeCell ref="A9:C9"/>
    <mergeCell ref="A10:C10"/>
    <mergeCell ref="A11:C11"/>
    <mergeCell ref="A12:C12"/>
    <mergeCell ref="A13:C13"/>
    <mergeCell ref="A1:C1"/>
    <mergeCell ref="A2:C2"/>
    <mergeCell ref="A3:C3"/>
    <mergeCell ref="A4:C4"/>
    <mergeCell ref="A6:C6"/>
    <mergeCell ref="A7:C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opLeftCell="A64" zoomScale="80" zoomScaleNormal="80" workbookViewId="0">
      <selection activeCell="E85" sqref="E85"/>
    </sheetView>
  </sheetViews>
  <sheetFormatPr defaultRowHeight="15" x14ac:dyDescent="0.25"/>
  <cols>
    <col min="1" max="1" width="16.5703125" bestFit="1" customWidth="1"/>
    <col min="2" max="2" width="88" bestFit="1" customWidth="1"/>
    <col min="3" max="4" width="20.85546875" bestFit="1" customWidth="1"/>
    <col min="5" max="5" width="27.5703125" bestFit="1" customWidth="1"/>
  </cols>
  <sheetData>
    <row r="1" spans="1:5" x14ac:dyDescent="0.25">
      <c r="A1" s="137" t="s">
        <v>232</v>
      </c>
      <c r="B1" s="12"/>
    </row>
    <row r="2" spans="1:5" x14ac:dyDescent="0.25">
      <c r="A2" s="53" t="s">
        <v>61</v>
      </c>
      <c r="B2" s="54" t="s">
        <v>62</v>
      </c>
      <c r="C2" s="55" t="s">
        <v>63</v>
      </c>
      <c r="D2" s="55" t="s">
        <v>64</v>
      </c>
      <c r="E2" s="56" t="s">
        <v>191</v>
      </c>
    </row>
    <row r="3" spans="1:5" ht="15.75" x14ac:dyDescent="0.25">
      <c r="A3" s="57">
        <v>62</v>
      </c>
      <c r="B3" s="58" t="s">
        <v>65</v>
      </c>
      <c r="C3" s="59">
        <f>C4+C5+C14+C20+C25+C30</f>
        <v>2224.25</v>
      </c>
      <c r="D3" s="59">
        <f>D4+D5+D14+D20+D25+D30</f>
        <v>5432.1</v>
      </c>
      <c r="E3" s="60">
        <f>E4+E5+E14+E20+E25+E30</f>
        <v>5432.1</v>
      </c>
    </row>
    <row r="4" spans="1:5" ht="15.75" x14ac:dyDescent="0.25">
      <c r="A4" s="24" t="s">
        <v>66</v>
      </c>
      <c r="B4" s="25" t="s">
        <v>67</v>
      </c>
      <c r="C4" s="26">
        <v>0</v>
      </c>
      <c r="D4" s="26">
        <v>0</v>
      </c>
      <c r="E4" s="27">
        <v>0</v>
      </c>
    </row>
    <row r="5" spans="1:5" ht="15.75" x14ac:dyDescent="0.25">
      <c r="A5" s="28" t="s">
        <v>68</v>
      </c>
      <c r="B5" s="29" t="s">
        <v>69</v>
      </c>
      <c r="C5" s="30">
        <f>C6+C7+C8+C9+C10+C11+C12+C13</f>
        <v>399.75</v>
      </c>
      <c r="D5" s="30">
        <f>D6+D7+D8+D9+D10+D11+D12+D13</f>
        <v>1053.3000000000002</v>
      </c>
      <c r="E5" s="30">
        <f>E6+E7+E8+E9+E10+E11+E12+E13</f>
        <v>1053.3000000000002</v>
      </c>
    </row>
    <row r="6" spans="1:5" ht="15.75" x14ac:dyDescent="0.25">
      <c r="A6" s="31" t="s">
        <v>70</v>
      </c>
      <c r="B6" s="34" t="s">
        <v>233</v>
      </c>
      <c r="C6" s="32">
        <f>67.65*5</f>
        <v>338.25</v>
      </c>
      <c r="D6" s="32">
        <f>67.65*12</f>
        <v>811.80000000000007</v>
      </c>
      <c r="E6" s="32">
        <f>67.65*12</f>
        <v>811.80000000000007</v>
      </c>
    </row>
    <row r="7" spans="1:5" ht="15.75" x14ac:dyDescent="0.25">
      <c r="A7" s="33" t="s">
        <v>71</v>
      </c>
      <c r="B7" s="34" t="s">
        <v>72</v>
      </c>
      <c r="C7" s="35">
        <v>61.5</v>
      </c>
      <c r="D7" s="35">
        <f>61.5+180</f>
        <v>241.5</v>
      </c>
      <c r="E7" s="35">
        <f>61.5+180</f>
        <v>241.5</v>
      </c>
    </row>
    <row r="8" spans="1:5" ht="15.75" x14ac:dyDescent="0.25">
      <c r="A8" s="33" t="s">
        <v>73</v>
      </c>
      <c r="B8" s="34" t="s">
        <v>74</v>
      </c>
      <c r="C8" s="35">
        <v>0</v>
      </c>
      <c r="D8" s="35">
        <v>0</v>
      </c>
      <c r="E8" s="35">
        <v>0</v>
      </c>
    </row>
    <row r="9" spans="1:5" ht="15.75" x14ac:dyDescent="0.25">
      <c r="A9" s="33" t="s">
        <v>75</v>
      </c>
      <c r="B9" s="34" t="s">
        <v>76</v>
      </c>
      <c r="C9" s="35">
        <v>0</v>
      </c>
      <c r="D9" s="35">
        <v>0</v>
      </c>
      <c r="E9" s="35">
        <v>0</v>
      </c>
    </row>
    <row r="10" spans="1:5" ht="15.75" x14ac:dyDescent="0.25">
      <c r="A10" s="33" t="s">
        <v>77</v>
      </c>
      <c r="B10" s="34" t="s">
        <v>78</v>
      </c>
      <c r="C10" s="35">
        <v>0</v>
      </c>
      <c r="D10" s="35">
        <v>0</v>
      </c>
      <c r="E10" s="35">
        <v>0</v>
      </c>
    </row>
    <row r="11" spans="1:5" ht="15.75" x14ac:dyDescent="0.25">
      <c r="A11" s="31" t="s">
        <v>79</v>
      </c>
      <c r="B11" s="34" t="s">
        <v>80</v>
      </c>
      <c r="C11" s="32">
        <v>0</v>
      </c>
      <c r="D11" s="32">
        <v>0</v>
      </c>
      <c r="E11" s="32">
        <v>0</v>
      </c>
    </row>
    <row r="12" spans="1:5" ht="15.75" x14ac:dyDescent="0.25">
      <c r="A12" s="31" t="s">
        <v>81</v>
      </c>
      <c r="B12" s="34" t="s">
        <v>82</v>
      </c>
      <c r="C12" s="32">
        <v>0</v>
      </c>
      <c r="D12" s="32">
        <v>0</v>
      </c>
      <c r="E12" s="32">
        <v>0</v>
      </c>
    </row>
    <row r="13" spans="1:5" ht="15.75" x14ac:dyDescent="0.25">
      <c r="A13" s="33" t="s">
        <v>83</v>
      </c>
      <c r="B13" s="34" t="s">
        <v>84</v>
      </c>
      <c r="C13" s="35">
        <v>0</v>
      </c>
      <c r="D13" s="35">
        <v>0</v>
      </c>
      <c r="E13" s="35">
        <v>0</v>
      </c>
    </row>
    <row r="14" spans="1:5" ht="15.75" x14ac:dyDescent="0.25">
      <c r="A14" s="28" t="s">
        <v>85</v>
      </c>
      <c r="B14" s="29" t="s">
        <v>86</v>
      </c>
      <c r="C14" s="30">
        <f>C15+C16+C17+C18+C19</f>
        <v>0</v>
      </c>
      <c r="D14" s="30">
        <f>D15+D16+D17+D18+D19</f>
        <v>0</v>
      </c>
      <c r="E14" s="30">
        <f>E15+E16+E17+E18+E19</f>
        <v>0</v>
      </c>
    </row>
    <row r="15" spans="1:5" ht="15.75" x14ac:dyDescent="0.25">
      <c r="A15" s="33" t="s">
        <v>87</v>
      </c>
      <c r="B15" s="34" t="s">
        <v>88</v>
      </c>
      <c r="C15" s="35">
        <v>0</v>
      </c>
      <c r="D15" s="35">
        <v>0</v>
      </c>
      <c r="E15" s="35">
        <v>0</v>
      </c>
    </row>
    <row r="16" spans="1:5" ht="15.75" x14ac:dyDescent="0.25">
      <c r="A16" s="33" t="s">
        <v>89</v>
      </c>
      <c r="B16" s="34" t="s">
        <v>90</v>
      </c>
      <c r="C16" s="35">
        <v>0</v>
      </c>
      <c r="D16" s="35">
        <v>0</v>
      </c>
      <c r="E16" s="35">
        <v>0</v>
      </c>
    </row>
    <row r="17" spans="1:5" ht="15.75" x14ac:dyDescent="0.25">
      <c r="A17" s="33" t="s">
        <v>91</v>
      </c>
      <c r="B17" s="34" t="s">
        <v>92</v>
      </c>
      <c r="C17" s="35">
        <v>0</v>
      </c>
      <c r="D17" s="35">
        <v>0</v>
      </c>
      <c r="E17" s="35">
        <v>0</v>
      </c>
    </row>
    <row r="18" spans="1:5" ht="15.75" x14ac:dyDescent="0.25">
      <c r="A18" s="33" t="s">
        <v>93</v>
      </c>
      <c r="B18" s="34" t="s">
        <v>94</v>
      </c>
      <c r="C18" s="35">
        <v>0</v>
      </c>
      <c r="D18" s="35">
        <v>0</v>
      </c>
      <c r="E18" s="35">
        <v>0</v>
      </c>
    </row>
    <row r="19" spans="1:5" ht="15.75" x14ac:dyDescent="0.25">
      <c r="A19" s="33" t="s">
        <v>95</v>
      </c>
      <c r="B19" s="34" t="s">
        <v>84</v>
      </c>
      <c r="C19" s="35">
        <v>0</v>
      </c>
      <c r="D19" s="35">
        <v>0</v>
      </c>
      <c r="E19" s="35">
        <v>0</v>
      </c>
    </row>
    <row r="20" spans="1:5" ht="15.75" x14ac:dyDescent="0.25">
      <c r="A20" s="28" t="s">
        <v>96</v>
      </c>
      <c r="B20" s="29" t="s">
        <v>97</v>
      </c>
      <c r="C20" s="30">
        <f>C21+C22+C23+C24</f>
        <v>775</v>
      </c>
      <c r="D20" s="30">
        <f>D21+D22+D23+D24</f>
        <v>1860</v>
      </c>
      <c r="E20" s="30">
        <f>E21+E22+E23+E24</f>
        <v>1860</v>
      </c>
    </row>
    <row r="21" spans="1:5" ht="15.75" x14ac:dyDescent="0.25">
      <c r="A21" s="33" t="s">
        <v>98</v>
      </c>
      <c r="B21" s="34" t="s">
        <v>292</v>
      </c>
      <c r="C21" s="35">
        <f>35*5</f>
        <v>175</v>
      </c>
      <c r="D21" s="35">
        <f>35*12</f>
        <v>420</v>
      </c>
      <c r="E21" s="35">
        <f>35*12</f>
        <v>420</v>
      </c>
    </row>
    <row r="22" spans="1:5" ht="15.75" x14ac:dyDescent="0.25">
      <c r="A22" s="31" t="s">
        <v>99</v>
      </c>
      <c r="B22" s="61" t="s">
        <v>100</v>
      </c>
      <c r="C22" s="32">
        <f>100*5</f>
        <v>500</v>
      </c>
      <c r="D22" s="32">
        <f>100*12</f>
        <v>1200</v>
      </c>
      <c r="E22" s="32">
        <f>100*12</f>
        <v>1200</v>
      </c>
    </row>
    <row r="23" spans="1:5" ht="15.75" x14ac:dyDescent="0.25">
      <c r="A23" s="33" t="s">
        <v>101</v>
      </c>
      <c r="B23" s="34" t="s">
        <v>293</v>
      </c>
      <c r="C23" s="35">
        <f>20*5</f>
        <v>100</v>
      </c>
      <c r="D23" s="35">
        <f>20*12</f>
        <v>240</v>
      </c>
      <c r="E23" s="35">
        <f>20*12</f>
        <v>240</v>
      </c>
    </row>
    <row r="24" spans="1:5" ht="15.75" x14ac:dyDescent="0.25">
      <c r="A24" s="33" t="s">
        <v>102</v>
      </c>
      <c r="B24" s="34" t="s">
        <v>84</v>
      </c>
      <c r="C24" s="35">
        <v>0</v>
      </c>
      <c r="D24" s="35">
        <v>0</v>
      </c>
      <c r="E24" s="35">
        <v>0</v>
      </c>
    </row>
    <row r="25" spans="1:5" ht="15.75" x14ac:dyDescent="0.25">
      <c r="A25" s="28" t="s">
        <v>103</v>
      </c>
      <c r="B25" s="29" t="s">
        <v>104</v>
      </c>
      <c r="C25" s="30">
        <f>C26+C27+C28+C29</f>
        <v>0</v>
      </c>
      <c r="D25" s="30">
        <f>D26+D27+D28+D29</f>
        <v>0</v>
      </c>
      <c r="E25" s="30">
        <f>E26+E27+E28+E29</f>
        <v>0</v>
      </c>
    </row>
    <row r="26" spans="1:5" ht="15.75" x14ac:dyDescent="0.25">
      <c r="A26" s="31" t="s">
        <v>105</v>
      </c>
      <c r="B26" s="34" t="s">
        <v>106</v>
      </c>
      <c r="C26" s="32">
        <v>0</v>
      </c>
      <c r="D26" s="32">
        <v>0</v>
      </c>
      <c r="E26" s="32">
        <v>0</v>
      </c>
    </row>
    <row r="27" spans="1:5" ht="15.75" x14ac:dyDescent="0.25">
      <c r="A27" s="33" t="s">
        <v>107</v>
      </c>
      <c r="B27" s="34" t="s">
        <v>108</v>
      </c>
      <c r="C27" s="35">
        <v>0</v>
      </c>
      <c r="D27" s="35">
        <v>0</v>
      </c>
      <c r="E27" s="35">
        <v>0</v>
      </c>
    </row>
    <row r="28" spans="1:5" ht="15.75" x14ac:dyDescent="0.25">
      <c r="A28" s="33" t="s">
        <v>109</v>
      </c>
      <c r="B28" s="34" t="s">
        <v>110</v>
      </c>
      <c r="C28" s="35">
        <v>0</v>
      </c>
      <c r="D28" s="35">
        <v>0</v>
      </c>
      <c r="E28" s="35">
        <v>0</v>
      </c>
    </row>
    <row r="29" spans="1:5" ht="15.75" x14ac:dyDescent="0.25">
      <c r="A29" s="33" t="s">
        <v>111</v>
      </c>
      <c r="B29" s="34" t="s">
        <v>84</v>
      </c>
      <c r="C29" s="35">
        <v>0</v>
      </c>
      <c r="D29" s="35">
        <v>0</v>
      </c>
      <c r="E29" s="35">
        <v>0</v>
      </c>
    </row>
    <row r="30" spans="1:5" ht="15.75" x14ac:dyDescent="0.25">
      <c r="A30" s="28" t="s">
        <v>112</v>
      </c>
      <c r="B30" s="29" t="s">
        <v>113</v>
      </c>
      <c r="C30" s="30">
        <f>C31+C32+C33+C34+C35+C36+C37+C38</f>
        <v>1049.5</v>
      </c>
      <c r="D30" s="30">
        <f>D31+D32+D33+D34+D35+D36+D37+D38</f>
        <v>2518.8000000000002</v>
      </c>
      <c r="E30" s="30">
        <f>E31+E32+E33+E34+E35+E36+E37+E38</f>
        <v>2518.8000000000002</v>
      </c>
    </row>
    <row r="31" spans="1:5" ht="15.75" x14ac:dyDescent="0.25">
      <c r="A31" s="33" t="s">
        <v>114</v>
      </c>
      <c r="B31" s="36" t="s">
        <v>115</v>
      </c>
      <c r="C31" s="35">
        <f>170*5</f>
        <v>850</v>
      </c>
      <c r="D31" s="35">
        <f>170*12</f>
        <v>2040</v>
      </c>
      <c r="E31" s="35">
        <f>170*12</f>
        <v>2040</v>
      </c>
    </row>
    <row r="32" spans="1:5" ht="15.75" x14ac:dyDescent="0.25">
      <c r="A32" s="33" t="s">
        <v>116</v>
      </c>
      <c r="B32" s="34" t="s">
        <v>234</v>
      </c>
      <c r="C32" s="35">
        <f>39.9*5</f>
        <v>199.5</v>
      </c>
      <c r="D32" s="35">
        <f>39.9*12</f>
        <v>478.79999999999995</v>
      </c>
      <c r="E32" s="35">
        <f>39.9*12</f>
        <v>478.79999999999995</v>
      </c>
    </row>
    <row r="33" spans="1:6" ht="15.75" x14ac:dyDescent="0.25">
      <c r="A33" s="33" t="s">
        <v>117</v>
      </c>
      <c r="B33" s="138" t="s">
        <v>118</v>
      </c>
      <c r="C33" s="139">
        <v>0</v>
      </c>
      <c r="D33" s="139">
        <v>0</v>
      </c>
      <c r="E33" s="139">
        <v>0</v>
      </c>
    </row>
    <row r="34" spans="1:6" ht="15.75" x14ac:dyDescent="0.25">
      <c r="A34" s="33" t="s">
        <v>119</v>
      </c>
      <c r="B34" s="34" t="s">
        <v>120</v>
      </c>
      <c r="C34" s="35">
        <v>0</v>
      </c>
      <c r="D34" s="35">
        <v>0</v>
      </c>
      <c r="E34" s="35">
        <v>0</v>
      </c>
    </row>
    <row r="35" spans="1:6" ht="15.75" x14ac:dyDescent="0.25">
      <c r="A35" s="33" t="s">
        <v>121</v>
      </c>
      <c r="B35" s="34" t="s">
        <v>122</v>
      </c>
      <c r="C35" s="35">
        <v>0</v>
      </c>
      <c r="D35" s="35">
        <v>0</v>
      </c>
      <c r="E35" s="35">
        <v>0</v>
      </c>
    </row>
    <row r="36" spans="1:6" ht="15.75" x14ac:dyDescent="0.25">
      <c r="A36" s="33" t="s">
        <v>123</v>
      </c>
      <c r="B36" s="34" t="s">
        <v>124</v>
      </c>
      <c r="C36" s="35">
        <v>0</v>
      </c>
      <c r="D36" s="35">
        <v>0</v>
      </c>
      <c r="E36" s="35">
        <v>0</v>
      </c>
    </row>
    <row r="37" spans="1:6" ht="15.75" x14ac:dyDescent="0.25">
      <c r="A37" s="31" t="s">
        <v>125</v>
      </c>
      <c r="B37" s="34" t="s">
        <v>126</v>
      </c>
      <c r="C37" s="32">
        <v>0</v>
      </c>
      <c r="D37" s="32">
        <v>0</v>
      </c>
      <c r="E37" s="32">
        <v>0</v>
      </c>
    </row>
    <row r="38" spans="1:6" ht="15.75" x14ac:dyDescent="0.25">
      <c r="A38" s="33" t="s">
        <v>127</v>
      </c>
      <c r="B38" s="34" t="s">
        <v>128</v>
      </c>
      <c r="C38" s="35">
        <v>0</v>
      </c>
      <c r="D38" s="35">
        <v>0</v>
      </c>
      <c r="E38" s="35">
        <v>0</v>
      </c>
    </row>
    <row r="39" spans="1:6" ht="15.75" x14ac:dyDescent="0.25">
      <c r="A39" s="37"/>
      <c r="B39" s="38"/>
      <c r="C39" s="39"/>
      <c r="D39" s="39"/>
      <c r="E39" s="39"/>
    </row>
    <row r="40" spans="1:6" ht="15.75" x14ac:dyDescent="0.25">
      <c r="A40" s="40"/>
      <c r="B40" s="40"/>
      <c r="C40" s="41"/>
      <c r="D40" s="41"/>
      <c r="E40" s="41"/>
    </row>
    <row r="41" spans="1:6" x14ac:dyDescent="0.25">
      <c r="A41" s="62" t="s">
        <v>61</v>
      </c>
      <c r="B41" s="62" t="s">
        <v>62</v>
      </c>
      <c r="C41" s="63" t="s">
        <v>129</v>
      </c>
      <c r="D41" s="63" t="s">
        <v>129</v>
      </c>
      <c r="E41" s="63" t="s">
        <v>129</v>
      </c>
    </row>
    <row r="42" spans="1:6" ht="15.75" x14ac:dyDescent="0.25">
      <c r="A42" s="42">
        <v>63</v>
      </c>
      <c r="B42" s="43" t="s">
        <v>130</v>
      </c>
      <c r="C42" s="44">
        <f>C43+C44+C46+C48+C51</f>
        <v>853.40000000000009</v>
      </c>
      <c r="D42" s="44">
        <f>D43+D44+D46+D48+D51</f>
        <v>2048.16</v>
      </c>
      <c r="E42" s="44">
        <f>E43+E44+E46+E48+E51</f>
        <v>2048.16</v>
      </c>
    </row>
    <row r="43" spans="1:6" ht="15.75" x14ac:dyDescent="0.25">
      <c r="A43" s="45" t="s">
        <v>131</v>
      </c>
      <c r="B43" s="29" t="s">
        <v>132</v>
      </c>
      <c r="C43" s="46">
        <v>0</v>
      </c>
      <c r="D43" s="46">
        <v>0</v>
      </c>
      <c r="E43" s="46">
        <v>0</v>
      </c>
    </row>
    <row r="44" spans="1:6" ht="15.75" x14ac:dyDescent="0.25">
      <c r="A44" s="28" t="s">
        <v>133</v>
      </c>
      <c r="B44" s="29" t="s">
        <v>134</v>
      </c>
      <c r="C44" s="30">
        <f>C45</f>
        <v>0</v>
      </c>
      <c r="D44" s="30">
        <f>D45</f>
        <v>0</v>
      </c>
      <c r="E44" s="30">
        <f>E45</f>
        <v>0</v>
      </c>
    </row>
    <row r="45" spans="1:6" ht="15.75" x14ac:dyDescent="0.25">
      <c r="A45" s="31" t="s">
        <v>135</v>
      </c>
      <c r="B45" s="34" t="s">
        <v>136</v>
      </c>
      <c r="C45" s="35">
        <v>0</v>
      </c>
      <c r="D45" s="35">
        <v>0</v>
      </c>
      <c r="E45" s="35">
        <v>0</v>
      </c>
    </row>
    <row r="46" spans="1:6" ht="15.75" x14ac:dyDescent="0.25">
      <c r="A46" s="28" t="s">
        <v>137</v>
      </c>
      <c r="B46" s="29" t="s">
        <v>138</v>
      </c>
      <c r="C46" s="30">
        <f>C47</f>
        <v>728.40000000000009</v>
      </c>
      <c r="D46" s="30">
        <f>D47</f>
        <v>1748.16</v>
      </c>
      <c r="E46" s="30">
        <f>E47</f>
        <v>1748.16</v>
      </c>
    </row>
    <row r="47" spans="1:6" ht="15.75" x14ac:dyDescent="0.25">
      <c r="A47" s="31"/>
      <c r="B47" s="34" t="s">
        <v>139</v>
      </c>
      <c r="C47" s="32">
        <f>145.68*5</f>
        <v>728.40000000000009</v>
      </c>
      <c r="D47" s="32">
        <f>145.68*12</f>
        <v>1748.16</v>
      </c>
      <c r="E47" s="32">
        <f>145.68*12</f>
        <v>1748.16</v>
      </c>
      <c r="F47" t="s">
        <v>178</v>
      </c>
    </row>
    <row r="48" spans="1:6" ht="15.75" x14ac:dyDescent="0.25">
      <c r="A48" s="28" t="s">
        <v>140</v>
      </c>
      <c r="B48" s="47" t="s">
        <v>141</v>
      </c>
      <c r="C48" s="30">
        <f>C49+C50</f>
        <v>125</v>
      </c>
      <c r="D48" s="30">
        <f>D49+D50</f>
        <v>300</v>
      </c>
      <c r="E48" s="30">
        <f>E49+E50</f>
        <v>300</v>
      </c>
    </row>
    <row r="49" spans="1:6" ht="15.75" x14ac:dyDescent="0.25">
      <c r="A49" s="31" t="s">
        <v>142</v>
      </c>
      <c r="B49" s="64" t="s">
        <v>143</v>
      </c>
      <c r="C49" s="32">
        <f>25*5</f>
        <v>125</v>
      </c>
      <c r="D49" s="32">
        <f>25*12</f>
        <v>300</v>
      </c>
      <c r="E49" s="32">
        <f>25*12</f>
        <v>300</v>
      </c>
      <c r="F49" t="s">
        <v>177</v>
      </c>
    </row>
    <row r="50" spans="1:6" ht="15.75" x14ac:dyDescent="0.25">
      <c r="A50" s="31" t="s">
        <v>144</v>
      </c>
      <c r="B50" s="64" t="s">
        <v>294</v>
      </c>
      <c r="C50" s="32">
        <v>0</v>
      </c>
      <c r="D50" s="32">
        <v>0</v>
      </c>
      <c r="E50" s="32">
        <v>0</v>
      </c>
    </row>
    <row r="51" spans="1:6" ht="15.75" x14ac:dyDescent="0.25">
      <c r="A51" s="28" t="s">
        <v>145</v>
      </c>
      <c r="B51" s="29" t="s">
        <v>146</v>
      </c>
      <c r="C51" s="30">
        <f>C52+C53</f>
        <v>0</v>
      </c>
      <c r="D51" s="30">
        <f>D52+D53</f>
        <v>0</v>
      </c>
      <c r="E51" s="30">
        <f>E52+E53</f>
        <v>0</v>
      </c>
    </row>
    <row r="52" spans="1:6" ht="15.75" x14ac:dyDescent="0.25">
      <c r="A52" s="33" t="s">
        <v>147</v>
      </c>
      <c r="B52" s="34" t="s">
        <v>148</v>
      </c>
      <c r="C52" s="35">
        <v>0</v>
      </c>
      <c r="D52" s="35">
        <v>0</v>
      </c>
      <c r="E52" s="35">
        <v>0</v>
      </c>
    </row>
    <row r="53" spans="1:6" ht="15.75" x14ac:dyDescent="0.25">
      <c r="A53" s="33" t="s">
        <v>149</v>
      </c>
      <c r="B53" s="34" t="s">
        <v>150</v>
      </c>
      <c r="C53" s="35">
        <v>0</v>
      </c>
      <c r="D53" s="35">
        <v>0</v>
      </c>
      <c r="E53" s="35">
        <v>0</v>
      </c>
    </row>
    <row r="54" spans="1:6" ht="15.75" x14ac:dyDescent="0.25">
      <c r="A54" s="48"/>
      <c r="B54" s="49"/>
      <c r="C54" s="39"/>
      <c r="D54" s="39"/>
      <c r="E54" s="39"/>
    </row>
    <row r="55" spans="1:6" ht="15.75" x14ac:dyDescent="0.25">
      <c r="A55" s="40"/>
      <c r="B55" s="40"/>
      <c r="C55" s="41"/>
      <c r="D55" s="41"/>
      <c r="E55" s="41"/>
    </row>
    <row r="56" spans="1:6" x14ac:dyDescent="0.25">
      <c r="A56" s="62" t="s">
        <v>61</v>
      </c>
      <c r="B56" s="62" t="s">
        <v>62</v>
      </c>
      <c r="C56" s="63" t="s">
        <v>129</v>
      </c>
      <c r="D56" s="63" t="s">
        <v>129</v>
      </c>
      <c r="E56" s="63" t="s">
        <v>129</v>
      </c>
    </row>
    <row r="57" spans="1:6" ht="15.75" x14ac:dyDescent="0.25">
      <c r="A57" s="42">
        <v>64</v>
      </c>
      <c r="B57" s="43" t="s">
        <v>151</v>
      </c>
      <c r="C57" s="44">
        <f>C58+C59+C63</f>
        <v>396.32</v>
      </c>
      <c r="D57" s="44">
        <f>D58+D59+D63</f>
        <v>0</v>
      </c>
      <c r="E57" s="44">
        <f>E58+E59+E63</f>
        <v>0</v>
      </c>
    </row>
    <row r="58" spans="1:6" ht="15.75" x14ac:dyDescent="0.25">
      <c r="A58" s="33" t="s">
        <v>152</v>
      </c>
      <c r="B58" s="34" t="s">
        <v>153</v>
      </c>
      <c r="C58" s="30">
        <v>0</v>
      </c>
      <c r="D58" s="30">
        <v>0</v>
      </c>
      <c r="E58" s="30">
        <v>0</v>
      </c>
    </row>
    <row r="59" spans="1:6" ht="15.75" x14ac:dyDescent="0.25">
      <c r="A59" s="28" t="s">
        <v>154</v>
      </c>
      <c r="B59" s="29" t="s">
        <v>155</v>
      </c>
      <c r="C59" s="30">
        <f>C61+C62</f>
        <v>335.49</v>
      </c>
      <c r="D59" s="30">
        <f>D61+D62</f>
        <v>0</v>
      </c>
      <c r="E59" s="30">
        <f>E61+E62</f>
        <v>0</v>
      </c>
    </row>
    <row r="60" spans="1:6" ht="15.75" x14ac:dyDescent="0.25">
      <c r="A60" s="33"/>
      <c r="B60" s="34" t="s">
        <v>156</v>
      </c>
      <c r="C60" s="35"/>
      <c r="D60" s="35"/>
      <c r="E60" s="35"/>
    </row>
    <row r="61" spans="1:6" ht="15.75" x14ac:dyDescent="0.25">
      <c r="A61" s="33"/>
      <c r="B61" s="61" t="s">
        <v>157</v>
      </c>
      <c r="C61" s="35">
        <f>'13- gastos de depreciação e amo'!F6</f>
        <v>274.66000000000003</v>
      </c>
      <c r="D61" s="35">
        <v>0</v>
      </c>
      <c r="E61" s="35">
        <v>0</v>
      </c>
    </row>
    <row r="62" spans="1:6" ht="15.75" x14ac:dyDescent="0.25">
      <c r="A62" s="33"/>
      <c r="B62" s="65" t="s">
        <v>158</v>
      </c>
      <c r="C62" s="35">
        <f>'13- gastos de depreciação e amo'!F7</f>
        <v>60.83</v>
      </c>
      <c r="D62" s="35">
        <v>0</v>
      </c>
      <c r="E62" s="35">
        <v>0</v>
      </c>
    </row>
    <row r="63" spans="1:6" ht="15.75" x14ac:dyDescent="0.25">
      <c r="A63" s="28" t="s">
        <v>159</v>
      </c>
      <c r="B63" s="29" t="s">
        <v>160</v>
      </c>
      <c r="C63" s="30">
        <f>C64</f>
        <v>60.83</v>
      </c>
      <c r="D63" s="30">
        <f>D64</f>
        <v>0</v>
      </c>
      <c r="E63" s="30">
        <f>E64</f>
        <v>0</v>
      </c>
    </row>
    <row r="64" spans="1:6" ht="15.75" x14ac:dyDescent="0.25">
      <c r="A64" s="66"/>
      <c r="B64" s="66" t="s">
        <v>161</v>
      </c>
      <c r="C64" s="35">
        <f>'13- gastos de depreciação e amo'!F10</f>
        <v>60.83</v>
      </c>
      <c r="D64" s="35">
        <v>0</v>
      </c>
      <c r="E64" s="35">
        <v>0</v>
      </c>
    </row>
    <row r="65" spans="1:5" ht="15.75" x14ac:dyDescent="0.25">
      <c r="A65" s="33"/>
      <c r="B65" s="34"/>
      <c r="C65" s="35"/>
      <c r="D65" s="35"/>
      <c r="E65" s="35"/>
    </row>
    <row r="66" spans="1:5" ht="15.75" x14ac:dyDescent="0.25">
      <c r="A66" s="33"/>
      <c r="B66" s="34"/>
      <c r="C66" s="35"/>
      <c r="D66" s="35"/>
      <c r="E66" s="35"/>
    </row>
    <row r="67" spans="1:5" ht="15.75" x14ac:dyDescent="0.25">
      <c r="A67" s="33"/>
      <c r="B67" s="33"/>
      <c r="C67" s="35"/>
      <c r="D67" s="35"/>
      <c r="E67" s="35"/>
    </row>
    <row r="68" spans="1:5" ht="15.75" x14ac:dyDescent="0.25">
      <c r="A68" s="50"/>
      <c r="B68" s="51" t="s">
        <v>162</v>
      </c>
      <c r="C68" s="44">
        <f>'9-venda bens 10-cons mercd'!D19</f>
        <v>7931.0056874999991</v>
      </c>
      <c r="D68" s="52">
        <f>'9-venda bens 10-cons mercd'!F19</f>
        <v>23029.8243</v>
      </c>
      <c r="E68" s="52">
        <f>'9-venda bens 10-cons mercd'!H19</f>
        <v>24327.685515000001</v>
      </c>
    </row>
    <row r="69" spans="1:5" ht="15.75" x14ac:dyDescent="0.25">
      <c r="A69" s="50"/>
      <c r="B69" s="51" t="s">
        <v>163</v>
      </c>
      <c r="C69" s="44">
        <f>C73+C74+C75</f>
        <v>3473.9700000000003</v>
      </c>
      <c r="D69" s="52">
        <f>D73+D74+D75</f>
        <v>7480.26</v>
      </c>
      <c r="E69" s="52">
        <f>E73+E74+E75</f>
        <v>7480.26</v>
      </c>
    </row>
    <row r="70" spans="1:5" ht="15.75" x14ac:dyDescent="0.25">
      <c r="A70" s="50"/>
      <c r="B70" s="51" t="s">
        <v>164</v>
      </c>
      <c r="C70" s="44">
        <f>C68-C69</f>
        <v>4457.0356874999989</v>
      </c>
      <c r="D70" s="52">
        <f>D68-D69</f>
        <v>15549.5643</v>
      </c>
      <c r="E70" s="52">
        <f>E68-E69</f>
        <v>16847.425515000003</v>
      </c>
    </row>
    <row r="71" spans="1:5" ht="15.75" x14ac:dyDescent="0.25">
      <c r="A71" s="40"/>
      <c r="B71" s="40"/>
      <c r="C71" s="41"/>
      <c r="D71" s="41"/>
      <c r="E71" s="41"/>
    </row>
    <row r="72" spans="1:5" ht="15.75" x14ac:dyDescent="0.25">
      <c r="A72" s="40">
        <v>71</v>
      </c>
      <c r="B72" s="40"/>
      <c r="C72" s="41">
        <f>'9-venda bens 10-cons mercd'!D19</f>
        <v>7931.0056874999991</v>
      </c>
      <c r="D72" s="41">
        <f>'9-venda bens 10-cons mercd'!F19</f>
        <v>23029.8243</v>
      </c>
      <c r="E72" s="41">
        <f>'9-venda bens 10-cons mercd'!H19</f>
        <v>24327.685515000001</v>
      </c>
    </row>
    <row r="73" spans="1:5" ht="15.75" x14ac:dyDescent="0.25">
      <c r="A73" s="40">
        <v>62</v>
      </c>
      <c r="B73" s="40"/>
      <c r="C73" s="41">
        <f>C3</f>
        <v>2224.25</v>
      </c>
      <c r="D73" s="41">
        <f>D3</f>
        <v>5432.1</v>
      </c>
      <c r="E73" s="41">
        <f>E3</f>
        <v>5432.1</v>
      </c>
    </row>
    <row r="74" spans="1:5" ht="15.75" x14ac:dyDescent="0.25">
      <c r="A74" s="40">
        <v>63</v>
      </c>
      <c r="B74" s="40"/>
      <c r="C74" s="41">
        <f>C42</f>
        <v>853.40000000000009</v>
      </c>
      <c r="D74" s="41">
        <f>D42</f>
        <v>2048.16</v>
      </c>
      <c r="E74" s="41">
        <f>E42</f>
        <v>2048.16</v>
      </c>
    </row>
    <row r="75" spans="1:5" ht="15.75" x14ac:dyDescent="0.25">
      <c r="A75" s="40">
        <v>64</v>
      </c>
      <c r="B75" s="40"/>
      <c r="C75" s="41">
        <f>C57</f>
        <v>396.32</v>
      </c>
      <c r="D75" s="41">
        <f>D57</f>
        <v>0</v>
      </c>
      <c r="E75" s="41">
        <f>E57</f>
        <v>0</v>
      </c>
    </row>
    <row r="76" spans="1:5" ht="15.75" x14ac:dyDescent="0.25">
      <c r="A76" s="40" t="s">
        <v>165</v>
      </c>
      <c r="B76" s="40"/>
      <c r="C76" s="41">
        <f>C72-C73-C74-C75</f>
        <v>4457.0356874999998</v>
      </c>
      <c r="D76" s="41">
        <f>D72-D73-D74-D75</f>
        <v>15549.564300000002</v>
      </c>
      <c r="E76" s="41">
        <f>E72-E73-E74-E75</f>
        <v>16847.425514999999</v>
      </c>
    </row>
    <row r="77" spans="1:5" ht="15.75" x14ac:dyDescent="0.25">
      <c r="A77" s="40"/>
      <c r="B77" s="136" t="s">
        <v>166</v>
      </c>
      <c r="C77" s="41">
        <f>(C76*0.2)+(C76*0.015)</f>
        <v>958.2626728125</v>
      </c>
      <c r="D77" s="41">
        <f>(D76*0.25)+(D76*0.015)</f>
        <v>4120.6345395000008</v>
      </c>
      <c r="E77" s="41">
        <f>(E76*0.25)+(E76*0.015)</f>
        <v>4464.5677614749993</v>
      </c>
    </row>
    <row r="78" spans="1:5" ht="15.75" x14ac:dyDescent="0.25">
      <c r="A78" s="40">
        <v>81</v>
      </c>
      <c r="B78" s="40"/>
      <c r="C78" s="41">
        <f>C76-C77</f>
        <v>3498.7730146874997</v>
      </c>
      <c r="D78" s="41">
        <f>D76-D77</f>
        <v>11428.929760500001</v>
      </c>
      <c r="E78" s="41">
        <f>E76-E77</f>
        <v>12382.857753525001</v>
      </c>
    </row>
    <row r="82" spans="2:2" x14ac:dyDescent="0.25">
      <c r="B82" s="135" t="s">
        <v>230</v>
      </c>
    </row>
    <row r="83" spans="2:2" x14ac:dyDescent="0.25">
      <c r="B83" s="135" t="s">
        <v>231</v>
      </c>
    </row>
    <row r="84" spans="2:2" x14ac:dyDescent="0.25">
      <c r="B84" s="135" t="s">
        <v>256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J29" sqref="J29"/>
    </sheetView>
  </sheetViews>
  <sheetFormatPr defaultRowHeight="15" x14ac:dyDescent="0.25"/>
  <cols>
    <col min="2" max="2" width="9.28515625" customWidth="1"/>
    <col min="3" max="3" width="14.28515625" bestFit="1" customWidth="1"/>
  </cols>
  <sheetData>
    <row r="1" spans="1:6" x14ac:dyDescent="0.25">
      <c r="A1" s="73" t="s">
        <v>179</v>
      </c>
      <c r="B1" s="73"/>
      <c r="C1" s="73"/>
      <c r="D1" s="73"/>
      <c r="E1" s="73"/>
      <c r="F1" s="73"/>
    </row>
    <row r="2" spans="1:6" x14ac:dyDescent="0.25">
      <c r="A2" s="73"/>
      <c r="B2" s="73"/>
      <c r="C2" s="73"/>
      <c r="D2" s="73"/>
      <c r="E2" s="73"/>
      <c r="F2" s="73"/>
    </row>
    <row r="3" spans="1:6" x14ac:dyDescent="0.25">
      <c r="A3" s="74" t="s">
        <v>153</v>
      </c>
      <c r="B3" s="74"/>
      <c r="C3" s="74" t="s">
        <v>180</v>
      </c>
      <c r="D3" s="74" t="s">
        <v>181</v>
      </c>
      <c r="E3" s="74" t="s">
        <v>182</v>
      </c>
      <c r="F3" s="74" t="s">
        <v>183</v>
      </c>
    </row>
    <row r="4" spans="1:6" x14ac:dyDescent="0.25">
      <c r="A4" s="75"/>
      <c r="B4" s="75"/>
      <c r="C4" s="7"/>
      <c r="D4" s="7"/>
      <c r="E4" s="7"/>
      <c r="F4" s="7"/>
    </row>
    <row r="5" spans="1:6" x14ac:dyDescent="0.25">
      <c r="A5" s="6" t="s">
        <v>184</v>
      </c>
      <c r="B5" s="6"/>
      <c r="C5" s="75"/>
      <c r="D5" s="75"/>
      <c r="E5" s="75"/>
      <c r="F5" s="75"/>
    </row>
    <row r="6" spans="1:6" x14ac:dyDescent="0.25">
      <c r="A6" s="75" t="s">
        <v>186</v>
      </c>
      <c r="B6" s="75"/>
      <c r="C6" s="7" t="s">
        <v>187</v>
      </c>
      <c r="D6" s="7">
        <f>'7.1 inv e financ'!D8</f>
        <v>274.66000000000003</v>
      </c>
      <c r="E6" s="76">
        <v>1</v>
      </c>
      <c r="F6" s="7">
        <f>D6*E6</f>
        <v>274.66000000000003</v>
      </c>
    </row>
    <row r="7" spans="1:6" x14ac:dyDescent="0.25">
      <c r="A7" s="75" t="s">
        <v>188</v>
      </c>
      <c r="B7" s="75"/>
      <c r="C7" s="7" t="s">
        <v>189</v>
      </c>
      <c r="D7" s="7">
        <f>'7.1 inv e financ'!D10</f>
        <v>60.83</v>
      </c>
      <c r="E7" s="76">
        <v>1</v>
      </c>
      <c r="F7" s="7">
        <f>D7*E7</f>
        <v>60.83</v>
      </c>
    </row>
    <row r="8" spans="1:6" x14ac:dyDescent="0.25">
      <c r="A8" s="75"/>
      <c r="B8" s="75"/>
      <c r="C8" s="7"/>
      <c r="D8" s="7"/>
      <c r="E8" s="7"/>
      <c r="F8" s="7"/>
    </row>
    <row r="9" spans="1:6" x14ac:dyDescent="0.25">
      <c r="A9" s="6" t="s">
        <v>185</v>
      </c>
      <c r="B9" s="6"/>
      <c r="C9" s="75"/>
      <c r="D9" s="75"/>
      <c r="E9" s="75"/>
      <c r="F9" s="75"/>
    </row>
    <row r="10" spans="1:6" x14ac:dyDescent="0.25">
      <c r="A10" s="75" t="s">
        <v>190</v>
      </c>
      <c r="B10" s="75"/>
      <c r="C10" s="7" t="s">
        <v>187</v>
      </c>
      <c r="D10" s="7">
        <f>'7.1 inv e financ'!D15</f>
        <v>60.83</v>
      </c>
      <c r="E10" s="76">
        <v>1</v>
      </c>
      <c r="F10" s="7">
        <f>D10*E10</f>
        <v>60.83</v>
      </c>
    </row>
    <row r="11" spans="1:6" x14ac:dyDescent="0.25">
      <c r="A11" s="75"/>
      <c r="B11" s="75"/>
      <c r="C11" s="7"/>
      <c r="D11" s="7"/>
      <c r="E11" s="7"/>
      <c r="F11" s="7"/>
    </row>
    <row r="12" spans="1:6" x14ac:dyDescent="0.25">
      <c r="A12" s="75"/>
      <c r="B12" s="75"/>
      <c r="C12" s="7"/>
      <c r="D12" s="7"/>
      <c r="E12" s="7"/>
      <c r="F12" s="7"/>
    </row>
    <row r="13" spans="1:6" x14ac:dyDescent="0.25">
      <c r="A13" s="77" t="s">
        <v>18</v>
      </c>
      <c r="B13" s="77"/>
      <c r="C13" s="7"/>
      <c r="D13" s="7"/>
      <c r="E13" s="7"/>
      <c r="F13" s="78">
        <f>F6+F7+F10</f>
        <v>396.32</v>
      </c>
    </row>
  </sheetData>
  <mergeCells count="13">
    <mergeCell ref="A12:B12"/>
    <mergeCell ref="A13:B13"/>
    <mergeCell ref="A6:B6"/>
    <mergeCell ref="A7:B7"/>
    <mergeCell ref="A10:B10"/>
    <mergeCell ref="A11:B11"/>
    <mergeCell ref="A1:F2"/>
    <mergeCell ref="A4:B4"/>
    <mergeCell ref="A5:B5"/>
    <mergeCell ref="C5:F5"/>
    <mergeCell ref="A8:B8"/>
    <mergeCell ref="A9:B9"/>
    <mergeCell ref="C9:F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F23" sqref="F23"/>
    </sheetView>
  </sheetViews>
  <sheetFormatPr defaultRowHeight="15" x14ac:dyDescent="0.25"/>
  <cols>
    <col min="1" max="1" width="56.5703125" bestFit="1" customWidth="1"/>
    <col min="2" max="2" width="10.42578125" bestFit="1" customWidth="1"/>
    <col min="3" max="4" width="19.7109375" bestFit="1" customWidth="1"/>
  </cols>
  <sheetData>
    <row r="1" spans="1:4" ht="15.75" x14ac:dyDescent="0.25">
      <c r="A1" s="142" t="s">
        <v>235</v>
      </c>
      <c r="B1" s="41"/>
      <c r="C1" s="41"/>
      <c r="D1" s="41"/>
    </row>
    <row r="2" spans="1:4" ht="15.75" x14ac:dyDescent="0.25">
      <c r="A2" s="142" t="s">
        <v>236</v>
      </c>
      <c r="B2" s="41"/>
      <c r="C2" s="41"/>
      <c r="D2" s="41"/>
    </row>
    <row r="3" spans="1:4" ht="15.75" x14ac:dyDescent="0.25">
      <c r="A3" s="142"/>
      <c r="B3" s="41"/>
      <c r="C3" s="41"/>
      <c r="D3" s="41" t="s">
        <v>237</v>
      </c>
    </row>
    <row r="4" spans="1:4" ht="15.75" x14ac:dyDescent="0.25">
      <c r="A4" s="143" t="s">
        <v>238</v>
      </c>
      <c r="B4" s="140">
        <v>2013</v>
      </c>
      <c r="C4" s="140">
        <v>2014</v>
      </c>
      <c r="D4" s="140">
        <v>2015</v>
      </c>
    </row>
    <row r="5" spans="1:4" ht="15.75" x14ac:dyDescent="0.25">
      <c r="A5" s="144" t="s">
        <v>239</v>
      </c>
      <c r="B5" s="35">
        <f>'9-venda bens 10-cons mercd'!D19</f>
        <v>7931.0056874999991</v>
      </c>
      <c r="C5" s="35">
        <f>'9-venda bens 10-cons mercd'!F19</f>
        <v>23029.8243</v>
      </c>
      <c r="D5" s="35">
        <f>'9-venda bens 10-cons mercd'!H19</f>
        <v>24327.685515000001</v>
      </c>
    </row>
    <row r="6" spans="1:4" ht="15.75" x14ac:dyDescent="0.25">
      <c r="A6" s="144" t="s">
        <v>240</v>
      </c>
      <c r="B6" s="35">
        <f>'7.1 inv e financ'!D28</f>
        <v>4333.5200000000004</v>
      </c>
      <c r="C6" s="35">
        <v>0</v>
      </c>
      <c r="D6" s="35">
        <v>0</v>
      </c>
    </row>
    <row r="7" spans="1:4" ht="15.75" x14ac:dyDescent="0.25">
      <c r="A7" s="144" t="s">
        <v>241</v>
      </c>
      <c r="B7" s="35">
        <v>0</v>
      </c>
      <c r="C7" s="35">
        <v>0</v>
      </c>
      <c r="D7" s="35">
        <v>0</v>
      </c>
    </row>
    <row r="8" spans="1:4" ht="15.75" x14ac:dyDescent="0.25">
      <c r="A8" s="144" t="s">
        <v>242</v>
      </c>
      <c r="B8" s="35">
        <v>0</v>
      </c>
      <c r="C8" s="35">
        <v>0</v>
      </c>
      <c r="D8" s="35">
        <v>0</v>
      </c>
    </row>
    <row r="9" spans="1:4" ht="15.75" x14ac:dyDescent="0.25">
      <c r="A9" s="145" t="s">
        <v>243</v>
      </c>
      <c r="B9" s="35">
        <v>3137.13</v>
      </c>
      <c r="C9" s="35">
        <v>9405.7000000000007</v>
      </c>
      <c r="D9" s="35">
        <v>9875.99</v>
      </c>
    </row>
    <row r="10" spans="1:4" ht="15.75" x14ac:dyDescent="0.25">
      <c r="A10" s="144" t="s">
        <v>65</v>
      </c>
      <c r="B10" s="35">
        <f>'11- Fornec serv extern'!C3</f>
        <v>2224.25</v>
      </c>
      <c r="C10" s="35">
        <f>'11- Fornec serv extern'!D3</f>
        <v>5432.1</v>
      </c>
      <c r="D10" s="35">
        <f>'11- Fornec serv extern'!E3</f>
        <v>5432.1</v>
      </c>
    </row>
    <row r="11" spans="1:4" ht="15.75" x14ac:dyDescent="0.25">
      <c r="A11" s="144" t="s">
        <v>244</v>
      </c>
      <c r="B11" s="35">
        <f>'11- Fornec serv extern'!C42</f>
        <v>853.40000000000009</v>
      </c>
      <c r="C11" s="35">
        <f>'11- Fornec serv extern'!D42</f>
        <v>2048.16</v>
      </c>
      <c r="D11" s="35">
        <f>'11- Fornec serv extern'!E42</f>
        <v>2048.16</v>
      </c>
    </row>
    <row r="12" spans="1:4" ht="15.75" x14ac:dyDescent="0.25">
      <c r="A12" s="144" t="s">
        <v>245</v>
      </c>
      <c r="B12" s="35">
        <v>0</v>
      </c>
      <c r="C12" s="35">
        <v>0</v>
      </c>
      <c r="D12" s="35">
        <v>0</v>
      </c>
    </row>
    <row r="13" spans="1:4" ht="15.75" x14ac:dyDescent="0.25">
      <c r="A13" s="144" t="s">
        <v>246</v>
      </c>
      <c r="B13" s="35">
        <v>0</v>
      </c>
      <c r="C13" s="35">
        <v>0</v>
      </c>
      <c r="D13" s="35">
        <v>0</v>
      </c>
    </row>
    <row r="14" spans="1:4" ht="15.75" x14ac:dyDescent="0.25">
      <c r="A14" s="144" t="s">
        <v>247</v>
      </c>
      <c r="B14" s="35">
        <v>0</v>
      </c>
      <c r="C14" s="35">
        <v>0</v>
      </c>
      <c r="D14" s="35">
        <v>0</v>
      </c>
    </row>
    <row r="15" spans="1:4" ht="15.75" x14ac:dyDescent="0.25">
      <c r="A15" s="144" t="s">
        <v>248</v>
      </c>
      <c r="B15" s="35">
        <v>0</v>
      </c>
      <c r="C15" s="35">
        <v>0</v>
      </c>
      <c r="D15" s="35">
        <v>0</v>
      </c>
    </row>
    <row r="16" spans="1:4" ht="15.75" x14ac:dyDescent="0.25">
      <c r="A16" s="146" t="s">
        <v>249</v>
      </c>
      <c r="B16" s="35">
        <f>B5+B6+B7+B8-B9-B10-B11-B12-B13-+B14-B15</f>
        <v>6049.7456875000007</v>
      </c>
      <c r="C16" s="35">
        <f>C5+C6+C7+C8-C9-C10-C11-C12-C13+C14-C15</f>
        <v>6143.8642999999993</v>
      </c>
      <c r="D16" s="35">
        <f>D5+D6+D7+D8-D9-D10-D11-D12-D13+D14-D15</f>
        <v>6971.435515000001</v>
      </c>
    </row>
    <row r="17" spans="1:4" ht="15.75" x14ac:dyDescent="0.25">
      <c r="A17" s="144" t="s">
        <v>250</v>
      </c>
      <c r="B17" s="35">
        <f>'13- gastos de depreciação e amo'!F13</f>
        <v>396.32</v>
      </c>
      <c r="C17" s="35">
        <v>0</v>
      </c>
      <c r="D17" s="35">
        <v>0</v>
      </c>
    </row>
    <row r="18" spans="1:4" ht="24" customHeight="1" x14ac:dyDescent="0.25">
      <c r="A18" s="146" t="s">
        <v>251</v>
      </c>
      <c r="B18" s="35">
        <f>B16-B17</f>
        <v>5653.425687500001</v>
      </c>
      <c r="C18" s="35">
        <f>C16-C17</f>
        <v>6143.8642999999993</v>
      </c>
      <c r="D18" s="35">
        <f>D16-D17</f>
        <v>6971.435515000001</v>
      </c>
    </row>
    <row r="19" spans="1:4" ht="15.75" x14ac:dyDescent="0.25">
      <c r="A19" s="144" t="s">
        <v>252</v>
      </c>
      <c r="B19" s="35">
        <v>0</v>
      </c>
      <c r="C19" s="35">
        <v>0</v>
      </c>
      <c r="D19" s="35">
        <v>0</v>
      </c>
    </row>
    <row r="20" spans="1:4" ht="15.75" x14ac:dyDescent="0.25">
      <c r="A20" s="141" t="s">
        <v>253</v>
      </c>
      <c r="B20" s="35">
        <f>B18-B19</f>
        <v>5653.425687500001</v>
      </c>
      <c r="C20" s="35">
        <f>C18-C19</f>
        <v>6143.8642999999993</v>
      </c>
      <c r="D20" s="35">
        <f>D18-D19</f>
        <v>6971.435515000001</v>
      </c>
    </row>
    <row r="21" spans="1:4" ht="15.75" x14ac:dyDescent="0.25">
      <c r="A21" s="160" t="s">
        <v>254</v>
      </c>
      <c r="B21" s="161">
        <f>(B20*0.2)+(B20*0.015)</f>
        <v>1215.4865228125004</v>
      </c>
      <c r="C21" s="161">
        <f>(C20*0.25)+(C20*0.015)</f>
        <v>1628.1240394999998</v>
      </c>
      <c r="D21" s="161">
        <f>(D20*0.25)+(D18*0.015)</f>
        <v>1847.4304114750003</v>
      </c>
    </row>
    <row r="22" spans="1:4" ht="15.75" x14ac:dyDescent="0.25">
      <c r="A22" s="141" t="s">
        <v>255</v>
      </c>
      <c r="B22" s="35">
        <f>B20-B21</f>
        <v>4437.939164687501</v>
      </c>
      <c r="C22" s="35">
        <f>C20-C21</f>
        <v>4515.7402604999997</v>
      </c>
      <c r="D22" s="35">
        <f>D20-D21</f>
        <v>5124.0051035250008</v>
      </c>
    </row>
    <row r="26" spans="1:4" x14ac:dyDescent="0.25">
      <c r="A26" s="162" t="s">
        <v>287</v>
      </c>
      <c r="B26" s="162"/>
      <c r="C26" s="16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="90" zoomScaleNormal="90" workbookViewId="0">
      <selection activeCell="A48" sqref="A48"/>
    </sheetView>
  </sheetViews>
  <sheetFormatPr defaultRowHeight="15" x14ac:dyDescent="0.25"/>
  <cols>
    <col min="1" max="1" width="56" style="155" customWidth="1"/>
    <col min="2" max="2" width="28" style="155" bestFit="1" customWidth="1"/>
    <col min="3" max="3" width="15.140625" style="155" customWidth="1"/>
    <col min="4" max="4" width="17.140625" style="155" customWidth="1"/>
    <col min="5" max="16384" width="9.140625" style="155"/>
  </cols>
  <sheetData>
    <row r="1" spans="1:7" ht="15.75" x14ac:dyDescent="0.25">
      <c r="A1" s="142" t="s">
        <v>257</v>
      </c>
      <c r="B1" s="41"/>
      <c r="C1" s="41"/>
      <c r="D1" s="41"/>
    </row>
    <row r="2" spans="1:7" ht="15.75" x14ac:dyDescent="0.25">
      <c r="A2" s="142" t="s">
        <v>236</v>
      </c>
      <c r="B2" s="41"/>
      <c r="C2" s="41"/>
      <c r="D2" s="41"/>
    </row>
    <row r="3" spans="1:7" ht="15.75" x14ac:dyDescent="0.25">
      <c r="A3" s="142"/>
      <c r="B3" s="41"/>
      <c r="C3" s="41"/>
      <c r="D3" s="41" t="s">
        <v>237</v>
      </c>
    </row>
    <row r="4" spans="1:7" ht="15.75" x14ac:dyDescent="0.25">
      <c r="A4" s="156" t="s">
        <v>258</v>
      </c>
      <c r="B4" s="140">
        <v>2013</v>
      </c>
      <c r="C4" s="140">
        <v>2014</v>
      </c>
      <c r="D4" s="140">
        <v>2015</v>
      </c>
    </row>
    <row r="5" spans="1:7" ht="15.75" x14ac:dyDescent="0.25">
      <c r="A5" s="146" t="s">
        <v>259</v>
      </c>
      <c r="B5" s="30">
        <f>B6+B7+B8+B9</f>
        <v>0</v>
      </c>
      <c r="C5" s="30">
        <f>C6+C7+C8+C9</f>
        <v>0</v>
      </c>
      <c r="D5" s="30">
        <f>D6+D7+D8+D9</f>
        <v>0</v>
      </c>
    </row>
    <row r="6" spans="1:7" ht="15.75" x14ac:dyDescent="0.25">
      <c r="A6" s="144" t="s">
        <v>155</v>
      </c>
      <c r="B6" s="139">
        <f>(178.86+64.23)-(178.86+64.23)</f>
        <v>0</v>
      </c>
      <c r="C6" s="139">
        <v>0</v>
      </c>
      <c r="D6" s="139">
        <v>0</v>
      </c>
    </row>
    <row r="7" spans="1:7" ht="15.75" x14ac:dyDescent="0.25">
      <c r="A7" s="144" t="s">
        <v>160</v>
      </c>
      <c r="B7" s="139">
        <f>(60.83)-(60.83)</f>
        <v>0</v>
      </c>
      <c r="C7" s="139">
        <v>0</v>
      </c>
      <c r="D7" s="139">
        <v>0</v>
      </c>
    </row>
    <row r="8" spans="1:7" ht="15.75" x14ac:dyDescent="0.25">
      <c r="A8" s="144" t="s">
        <v>260</v>
      </c>
      <c r="B8" s="139">
        <v>0</v>
      </c>
      <c r="C8" s="139">
        <v>0</v>
      </c>
      <c r="D8" s="139">
        <v>0</v>
      </c>
    </row>
    <row r="9" spans="1:7" ht="15.75" x14ac:dyDescent="0.25">
      <c r="A9" s="144" t="s">
        <v>261</v>
      </c>
      <c r="B9" s="139">
        <v>0</v>
      </c>
      <c r="C9" s="139">
        <v>0</v>
      </c>
      <c r="D9" s="139">
        <v>0</v>
      </c>
    </row>
    <row r="10" spans="1:7" ht="15.75" x14ac:dyDescent="0.25">
      <c r="A10" s="146" t="s">
        <v>262</v>
      </c>
      <c r="B10" s="44">
        <f>B11+B12+B13+B14+B15+B16</f>
        <v>4583.62</v>
      </c>
      <c r="C10" s="44">
        <f>SUM(C11:C16)</f>
        <v>9099.36</v>
      </c>
      <c r="D10" s="44">
        <f t="shared" ref="C10:D10" si="0">D11+D12+D13+D14+D15+D16</f>
        <v>5269.69</v>
      </c>
    </row>
    <row r="11" spans="1:7" ht="15.75" x14ac:dyDescent="0.25">
      <c r="A11" s="145" t="s">
        <v>263</v>
      </c>
      <c r="B11" s="139">
        <v>0</v>
      </c>
      <c r="C11" s="139">
        <v>0</v>
      </c>
      <c r="D11" s="139">
        <v>0</v>
      </c>
    </row>
    <row r="12" spans="1:7" ht="15.75" x14ac:dyDescent="0.25">
      <c r="A12" s="144" t="s">
        <v>264</v>
      </c>
      <c r="B12" s="139">
        <v>0</v>
      </c>
      <c r="C12" s="139">
        <v>0</v>
      </c>
      <c r="D12" s="139">
        <v>0</v>
      </c>
    </row>
    <row r="13" spans="1:7" ht="15.75" x14ac:dyDescent="0.25">
      <c r="A13" s="144" t="s">
        <v>265</v>
      </c>
      <c r="B13" s="139">
        <v>0</v>
      </c>
      <c r="C13" s="139">
        <v>0</v>
      </c>
      <c r="D13" s="139">
        <v>0</v>
      </c>
    </row>
    <row r="14" spans="1:7" ht="15.75" x14ac:dyDescent="0.25">
      <c r="A14" s="144" t="s">
        <v>266</v>
      </c>
      <c r="B14" s="147">
        <v>0</v>
      </c>
      <c r="C14" s="147">
        <v>0</v>
      </c>
      <c r="D14" s="147">
        <v>0</v>
      </c>
    </row>
    <row r="15" spans="1:7" ht="15.75" x14ac:dyDescent="0.25">
      <c r="A15" s="144" t="s">
        <v>267</v>
      </c>
      <c r="B15" s="147">
        <v>0</v>
      </c>
      <c r="C15" s="147">
        <v>0</v>
      </c>
      <c r="D15" s="147">
        <v>0</v>
      </c>
    </row>
    <row r="16" spans="1:7" ht="15.75" x14ac:dyDescent="0.25">
      <c r="A16" s="144" t="s">
        <v>268</v>
      </c>
      <c r="B16" s="147">
        <v>4583.62</v>
      </c>
      <c r="C16" s="147">
        <v>9099.36</v>
      </c>
      <c r="D16" s="147">
        <v>5269.69</v>
      </c>
      <c r="E16" s="163"/>
      <c r="F16" s="164"/>
      <c r="G16" s="165"/>
    </row>
    <row r="17" spans="1:4" ht="15.75" x14ac:dyDescent="0.25">
      <c r="A17" s="141" t="s">
        <v>269</v>
      </c>
      <c r="B17" s="30">
        <f>B25+B36</f>
        <v>4583.6191646875013</v>
      </c>
      <c r="C17" s="30">
        <f t="shared" ref="C17:D17" si="1">C25+C36</f>
        <v>9099.3594251875002</v>
      </c>
      <c r="D17" s="30">
        <f t="shared" si="1"/>
        <v>5269.6851035250011</v>
      </c>
    </row>
    <row r="18" spans="1:4" ht="15.75" x14ac:dyDescent="0.25">
      <c r="A18" s="156" t="s">
        <v>270</v>
      </c>
      <c r="B18" s="139"/>
      <c r="C18" s="139"/>
      <c r="D18" s="139"/>
    </row>
    <row r="19" spans="1:4" ht="15.75" x14ac:dyDescent="0.25">
      <c r="A19" s="144" t="s">
        <v>271</v>
      </c>
      <c r="B19" s="148">
        <v>0</v>
      </c>
      <c r="C19" s="148">
        <v>0</v>
      </c>
      <c r="D19" s="148">
        <f>B19</f>
        <v>0</v>
      </c>
    </row>
    <row r="20" spans="1:4" ht="15.75" x14ac:dyDescent="0.25">
      <c r="A20" s="144" t="s">
        <v>272</v>
      </c>
      <c r="B20" s="139">
        <v>0</v>
      </c>
      <c r="C20" s="139">
        <v>0</v>
      </c>
      <c r="D20" s="139">
        <v>0</v>
      </c>
    </row>
    <row r="21" spans="1:4" ht="15.75" x14ac:dyDescent="0.25">
      <c r="A21" s="144" t="s">
        <v>273</v>
      </c>
      <c r="B21" s="139">
        <v>0</v>
      </c>
      <c r="C21" s="139">
        <f>B24*0.05</f>
        <v>221.89695823437506</v>
      </c>
      <c r="D21" s="139">
        <f>(B24*0.05)+(C24*0.05)</f>
        <v>447.68397125937508</v>
      </c>
    </row>
    <row r="22" spans="1:4" ht="15.75" x14ac:dyDescent="0.25">
      <c r="A22" s="144" t="s">
        <v>274</v>
      </c>
      <c r="B22" s="139">
        <v>0</v>
      </c>
      <c r="C22" s="139">
        <f>B24-C21</f>
        <v>4216.0422064531258</v>
      </c>
      <c r="D22" s="139">
        <f>C24-D21</f>
        <v>4068.0562892406247</v>
      </c>
    </row>
    <row r="23" spans="1:4" ht="15.75" x14ac:dyDescent="0.25">
      <c r="A23" s="144" t="s">
        <v>275</v>
      </c>
      <c r="B23" s="139">
        <v>0</v>
      </c>
      <c r="C23" s="139">
        <v>0</v>
      </c>
      <c r="D23" s="139">
        <v>0</v>
      </c>
    </row>
    <row r="24" spans="1:4" ht="15.75" x14ac:dyDescent="0.25">
      <c r="A24" s="144" t="s">
        <v>255</v>
      </c>
      <c r="B24" s="139">
        <f>'15,2 Demonst Resultados Previs.'!B22</f>
        <v>4437.939164687501</v>
      </c>
      <c r="C24" s="139">
        <f>'15,2 Demonst Resultados Previs.'!C22</f>
        <v>4515.7402604999997</v>
      </c>
      <c r="D24" s="139">
        <f>[1]DR!D20</f>
        <v>0</v>
      </c>
    </row>
    <row r="25" spans="1:4" ht="15.75" x14ac:dyDescent="0.25">
      <c r="A25" s="141" t="s">
        <v>276</v>
      </c>
      <c r="B25" s="30">
        <f>SUM(B19:B24)</f>
        <v>4437.939164687501</v>
      </c>
      <c r="C25" s="30">
        <f>SUM(C19:C24)</f>
        <v>8953.6794251874999</v>
      </c>
      <c r="D25" s="30">
        <f>'15,2 Demonst Resultados Previs.'!D22</f>
        <v>5124.0051035250008</v>
      </c>
    </row>
    <row r="26" spans="1:4" ht="15.75" x14ac:dyDescent="0.25">
      <c r="A26" s="156" t="s">
        <v>277</v>
      </c>
      <c r="B26" s="139"/>
      <c r="C26" s="139"/>
      <c r="D26" s="139"/>
    </row>
    <row r="27" spans="1:4" ht="15.75" x14ac:dyDescent="0.25">
      <c r="A27" s="146" t="s">
        <v>278</v>
      </c>
      <c r="B27" s="30">
        <f>B28+B29+B30</f>
        <v>0</v>
      </c>
      <c r="C27" s="30">
        <f>C28+C29+C30</f>
        <v>0</v>
      </c>
      <c r="D27" s="30">
        <f>D28+D29+D30</f>
        <v>0</v>
      </c>
    </row>
    <row r="28" spans="1:4" ht="15.75" x14ac:dyDescent="0.25">
      <c r="A28" s="144" t="s">
        <v>279</v>
      </c>
      <c r="B28" s="35">
        <v>0</v>
      </c>
      <c r="C28" s="35">
        <v>0</v>
      </c>
      <c r="D28" s="35">
        <v>0</v>
      </c>
    </row>
    <row r="29" spans="1:4" ht="15.75" x14ac:dyDescent="0.25">
      <c r="A29" s="144" t="s">
        <v>280</v>
      </c>
      <c r="B29" s="35">
        <v>0</v>
      </c>
      <c r="C29" s="35">
        <v>0</v>
      </c>
      <c r="D29" s="35">
        <v>0</v>
      </c>
    </row>
    <row r="30" spans="1:4" ht="15.75" x14ac:dyDescent="0.25">
      <c r="A30" s="144" t="s">
        <v>281</v>
      </c>
      <c r="B30" s="35">
        <v>0</v>
      </c>
      <c r="C30" s="35">
        <v>0</v>
      </c>
      <c r="D30" s="35">
        <v>0</v>
      </c>
    </row>
    <row r="31" spans="1:4" ht="15.75" x14ac:dyDescent="0.25">
      <c r="A31" s="146" t="s">
        <v>282</v>
      </c>
      <c r="B31" s="30">
        <f>B32+B33+B34+B35</f>
        <v>145.68</v>
      </c>
      <c r="C31" s="30">
        <f>C32+C33+C34+C35</f>
        <v>145.68</v>
      </c>
      <c r="D31" s="30">
        <f>D32+D33+D34+D35</f>
        <v>145.68</v>
      </c>
    </row>
    <row r="32" spans="1:4" ht="15.75" x14ac:dyDescent="0.25">
      <c r="A32" s="144" t="s">
        <v>283</v>
      </c>
      <c r="B32" s="35">
        <v>0</v>
      </c>
      <c r="C32" s="35">
        <v>0</v>
      </c>
      <c r="D32" s="35">
        <v>0</v>
      </c>
    </row>
    <row r="33" spans="1:4" ht="15.75" x14ac:dyDescent="0.25">
      <c r="A33" s="144" t="s">
        <v>265</v>
      </c>
      <c r="B33" s="148">
        <v>145.68</v>
      </c>
      <c r="C33" s="148">
        <v>145.68</v>
      </c>
      <c r="D33" s="148">
        <v>145.68</v>
      </c>
    </row>
    <row r="34" spans="1:4" ht="15.75" x14ac:dyDescent="0.25">
      <c r="A34" s="144" t="s">
        <v>266</v>
      </c>
      <c r="B34" s="139">
        <v>0</v>
      </c>
      <c r="C34" s="139">
        <v>0</v>
      </c>
      <c r="D34" s="139">
        <v>0</v>
      </c>
    </row>
    <row r="35" spans="1:4" ht="15.75" x14ac:dyDescent="0.25">
      <c r="A35" s="144" t="s">
        <v>284</v>
      </c>
      <c r="B35" s="35">
        <v>0</v>
      </c>
      <c r="C35" s="35">
        <v>0</v>
      </c>
      <c r="D35" s="35">
        <v>0</v>
      </c>
    </row>
    <row r="36" spans="1:4" ht="15.75" x14ac:dyDescent="0.25">
      <c r="A36" s="141" t="s">
        <v>285</v>
      </c>
      <c r="B36" s="30">
        <f>B27+B31</f>
        <v>145.68</v>
      </c>
      <c r="C36" s="30">
        <f>C27+C31</f>
        <v>145.68</v>
      </c>
      <c r="D36" s="30">
        <f>D27+D31</f>
        <v>145.68</v>
      </c>
    </row>
    <row r="37" spans="1:4" ht="15.75" x14ac:dyDescent="0.25">
      <c r="A37" s="141" t="s">
        <v>286</v>
      </c>
      <c r="B37" s="30">
        <f>B25+B36</f>
        <v>4583.6191646875013</v>
      </c>
      <c r="C37" s="30">
        <f>C25+C36</f>
        <v>9099.3594251875002</v>
      </c>
      <c r="D37" s="30">
        <f>D25+D36</f>
        <v>5269.6851035250011</v>
      </c>
    </row>
    <row r="38" spans="1:4" ht="15.75" x14ac:dyDescent="0.25">
      <c r="A38" s="142"/>
      <c r="B38" s="41"/>
      <c r="C38" s="41"/>
      <c r="D38" s="41"/>
    </row>
    <row r="39" spans="1:4" ht="15.75" x14ac:dyDescent="0.25">
      <c r="A39" s="142"/>
      <c r="B39" s="41">
        <f>B17-B37</f>
        <v>0</v>
      </c>
      <c r="C39" s="41">
        <f>C17-C37</f>
        <v>0</v>
      </c>
      <c r="D39" s="41">
        <f>D17-D37</f>
        <v>0</v>
      </c>
    </row>
    <row r="40" spans="1:4" ht="15.75" x14ac:dyDescent="0.25">
      <c r="A40" s="149"/>
      <c r="B40" s="150"/>
      <c r="C40" s="150"/>
      <c r="D40" s="150"/>
    </row>
    <row r="41" spans="1:4" x14ac:dyDescent="0.25">
      <c r="A41" s="151"/>
      <c r="B41" s="152"/>
      <c r="C41" s="152"/>
      <c r="D41" s="153"/>
    </row>
    <row r="42" spans="1:4" ht="15.75" x14ac:dyDescent="0.25">
      <c r="A42" s="157"/>
      <c r="B42" s="41"/>
      <c r="C42" s="41"/>
      <c r="D42" s="41"/>
    </row>
    <row r="43" spans="1:4" ht="15.75" x14ac:dyDescent="0.25">
      <c r="A43" s="157"/>
      <c r="B43" s="41"/>
      <c r="C43" s="41"/>
      <c r="D43" s="41"/>
    </row>
    <row r="44" spans="1:4" ht="15.75" x14ac:dyDescent="0.25">
      <c r="A44" s="157"/>
      <c r="B44" s="41"/>
      <c r="C44" s="41"/>
      <c r="D44" s="41"/>
    </row>
    <row r="45" spans="1:4" ht="15.75" x14ac:dyDescent="0.25">
      <c r="A45" s="157"/>
      <c r="B45" s="41"/>
      <c r="C45" s="41"/>
      <c r="D45" s="41"/>
    </row>
    <row r="46" spans="1:4" ht="15.75" x14ac:dyDescent="0.25">
      <c r="A46" s="157"/>
      <c r="B46" s="41"/>
      <c r="C46" s="41"/>
      <c r="D46" s="41"/>
    </row>
    <row r="47" spans="1:4" ht="15.75" x14ac:dyDescent="0.25">
      <c r="A47" s="157"/>
      <c r="B47" s="41"/>
      <c r="C47" s="41"/>
      <c r="D47" s="41"/>
    </row>
    <row r="48" spans="1:4" ht="15.75" x14ac:dyDescent="0.25">
      <c r="A48" s="142"/>
      <c r="B48" s="41"/>
      <c r="C48" s="41"/>
      <c r="D48" s="41"/>
    </row>
    <row r="49" spans="1:4" x14ac:dyDescent="0.25">
      <c r="A49" s="154"/>
      <c r="B49" s="154"/>
      <c r="C49" s="154"/>
      <c r="D49" s="154"/>
    </row>
    <row r="50" spans="1:4" x14ac:dyDescent="0.25">
      <c r="A50" s="158"/>
      <c r="B50" s="158"/>
      <c r="C50" s="158"/>
      <c r="D50" s="158"/>
    </row>
    <row r="51" spans="1:4" ht="15.75" x14ac:dyDescent="0.25">
      <c r="A51" s="142"/>
      <c r="B51" s="41"/>
      <c r="C51" s="41"/>
      <c r="D51" s="41"/>
    </row>
    <row r="52" spans="1:4" ht="15.75" x14ac:dyDescent="0.25">
      <c r="A52" s="157"/>
      <c r="B52" s="41"/>
      <c r="C52" s="41"/>
      <c r="D52" s="41"/>
    </row>
    <row r="53" spans="1:4" ht="15.75" x14ac:dyDescent="0.25">
      <c r="A53" s="157"/>
      <c r="B53" s="41"/>
      <c r="C53" s="41"/>
      <c r="D53" s="41"/>
    </row>
    <row r="54" spans="1:4" ht="15.75" x14ac:dyDescent="0.25">
      <c r="A54" s="157"/>
      <c r="B54" s="41"/>
      <c r="C54" s="41"/>
      <c r="D54" s="41"/>
    </row>
  </sheetData>
  <mergeCells count="2">
    <mergeCell ref="A40:D40"/>
    <mergeCell ref="A49:D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perguntas</vt:lpstr>
      <vt:lpstr>9-venda bens 10-cons mercd</vt:lpstr>
      <vt:lpstr>7.1 inv e financ</vt:lpstr>
      <vt:lpstr>11- Fornec serv extern</vt:lpstr>
      <vt:lpstr>13- gastos de depreciação e amo</vt:lpstr>
      <vt:lpstr>15,2 Demonst Resultados Previs.</vt:lpstr>
      <vt:lpstr>16,2 -Balanço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Rute Paulo</dc:creator>
  <cp:lastModifiedBy>Rute Paulo</cp:lastModifiedBy>
  <dcterms:created xsi:type="dcterms:W3CDTF">2013-05-27T11:54:05Z</dcterms:created>
  <dcterms:modified xsi:type="dcterms:W3CDTF">2013-05-27T15:58:41Z</dcterms:modified>
</cp:coreProperties>
</file>