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7235" windowHeight="7875" tabRatio="873"/>
  </bookViews>
  <sheets>
    <sheet name="perguntas 28-05" sheetId="9" r:id="rId1"/>
    <sheet name="Regras regimes" sheetId="8" r:id="rId2"/>
    <sheet name="9-venda bens 10-cons mercd" sheetId="6" r:id="rId3"/>
    <sheet name="7.1 inv e financ" sheetId="1" r:id="rId4"/>
    <sheet name="11- Fornec serv extern" sheetId="2" r:id="rId5"/>
    <sheet name="13- gastos de depreciação e amo" sheetId="4" r:id="rId6"/>
    <sheet name="15,2 Demonst Resultados Previs." sheetId="5" r:id="rId7"/>
    <sheet name="16,2 -Balanço" sheetId="3" r:id="rId8"/>
  </sheets>
  <calcPr calcId="145621"/>
</workbook>
</file>

<file path=xl/calcChain.xml><?xml version="1.0" encoding="utf-8"?>
<calcChain xmlns="http://schemas.openxmlformats.org/spreadsheetml/2006/main">
  <c r="B16" i="3" l="1"/>
  <c r="E33" i="2"/>
  <c r="D33" i="2"/>
  <c r="C33" i="2"/>
  <c r="E34" i="2"/>
  <c r="D34" i="2"/>
  <c r="C34" i="2"/>
  <c r="C25" i="2"/>
  <c r="E25" i="2"/>
  <c r="D25" i="2"/>
  <c r="E23" i="2"/>
  <c r="D23" i="2"/>
  <c r="C23" i="2"/>
  <c r="E9" i="2"/>
  <c r="D9" i="2"/>
  <c r="D8" i="1" l="1"/>
  <c r="D6" i="4" s="1"/>
  <c r="F6" i="4" s="1"/>
  <c r="C63" i="2" s="1"/>
  <c r="M4" i="1"/>
  <c r="K15" i="1"/>
  <c r="O43" i="1"/>
  <c r="E76" i="2"/>
  <c r="D76" i="2"/>
  <c r="C76" i="2"/>
  <c r="K17" i="8"/>
  <c r="K16" i="8"/>
  <c r="K15" i="8"/>
  <c r="E8" i="2"/>
  <c r="D8" i="2"/>
  <c r="D7" i="2" s="1"/>
  <c r="C8" i="2"/>
  <c r="E16" i="8"/>
  <c r="F16" i="8"/>
  <c r="I16" i="8" s="1"/>
  <c r="G16" i="8"/>
  <c r="E17" i="8"/>
  <c r="F17" i="8"/>
  <c r="G17" i="8"/>
  <c r="E7" i="8"/>
  <c r="F7" i="8"/>
  <c r="G7" i="8"/>
  <c r="I7" i="8" s="1"/>
  <c r="J7" i="8" s="1"/>
  <c r="E8" i="8"/>
  <c r="F8" i="8"/>
  <c r="I8" i="8" s="1"/>
  <c r="J8" i="8" s="1"/>
  <c r="G8" i="8"/>
  <c r="G15" i="8"/>
  <c r="F15" i="8"/>
  <c r="I15" i="8" s="1"/>
  <c r="E15" i="8"/>
  <c r="G6" i="8"/>
  <c r="F6" i="8"/>
  <c r="E6" i="8"/>
  <c r="I6" i="8"/>
  <c r="J6" i="8" s="1"/>
  <c r="D31" i="3"/>
  <c r="D36" i="3" s="1"/>
  <c r="C31" i="3"/>
  <c r="B31" i="3"/>
  <c r="D27" i="3"/>
  <c r="C27" i="3"/>
  <c r="B27" i="3"/>
  <c r="B36" i="3" s="1"/>
  <c r="D19" i="3"/>
  <c r="B10" i="3"/>
  <c r="B17" i="3" s="1"/>
  <c r="B7" i="3"/>
  <c r="B6" i="3"/>
  <c r="B5" i="3"/>
  <c r="D5" i="3"/>
  <c r="C5" i="3"/>
  <c r="C46" i="6"/>
  <c r="D46" i="6" s="1"/>
  <c r="C45" i="6"/>
  <c r="D45" i="6" s="1"/>
  <c r="C44" i="6"/>
  <c r="H12" i="6" s="1"/>
  <c r="D44" i="6"/>
  <c r="C43" i="6"/>
  <c r="G43" i="6" s="1"/>
  <c r="D11" i="6"/>
  <c r="E42" i="6"/>
  <c r="G42" i="6" s="1"/>
  <c r="C42" i="6"/>
  <c r="D42" i="6" s="1"/>
  <c r="E41" i="6"/>
  <c r="C41" i="6"/>
  <c r="D41" i="6" s="1"/>
  <c r="G41" i="6" s="1"/>
  <c r="E40" i="6"/>
  <c r="E8" i="6" s="1"/>
  <c r="F8" i="6" s="1"/>
  <c r="C40" i="6"/>
  <c r="D40" i="6" s="1"/>
  <c r="G40" i="6" s="1"/>
  <c r="E39" i="6"/>
  <c r="C39" i="6"/>
  <c r="D39" i="6" s="1"/>
  <c r="O38" i="6"/>
  <c r="Q38" i="6" s="1"/>
  <c r="N38" i="6"/>
  <c r="E38" i="6"/>
  <c r="E6" i="6" s="1"/>
  <c r="F6" i="6" s="1"/>
  <c r="C38" i="6"/>
  <c r="D38" i="6" s="1"/>
  <c r="Q37" i="6"/>
  <c r="O37" i="6"/>
  <c r="N37" i="6"/>
  <c r="G37" i="6"/>
  <c r="E37" i="6"/>
  <c r="D37" i="6"/>
  <c r="Q36" i="6"/>
  <c r="N36" i="6"/>
  <c r="Q35" i="6"/>
  <c r="N35" i="6"/>
  <c r="O34" i="6"/>
  <c r="Q34" i="6"/>
  <c r="N34" i="6"/>
  <c r="O33" i="6"/>
  <c r="N33" i="6"/>
  <c r="Q33" i="6"/>
  <c r="O32" i="6"/>
  <c r="N32" i="6"/>
  <c r="Q32" i="6" s="1"/>
  <c r="Q31" i="6"/>
  <c r="O31" i="6"/>
  <c r="O43" i="6" s="1"/>
  <c r="N31" i="6"/>
  <c r="O30" i="6"/>
  <c r="Q30" i="6"/>
  <c r="N30" i="6"/>
  <c r="O29" i="6"/>
  <c r="Q29" i="6" s="1"/>
  <c r="N29" i="6"/>
  <c r="N43" i="6"/>
  <c r="O14" i="6"/>
  <c r="Q14" i="6" s="1"/>
  <c r="R14" i="6" s="1"/>
  <c r="C14" i="6"/>
  <c r="M14" i="6" s="1"/>
  <c r="N14" i="6" s="1"/>
  <c r="O13" i="6"/>
  <c r="P13" i="6" s="1"/>
  <c r="C13" i="6"/>
  <c r="M13" i="6"/>
  <c r="N13" i="6"/>
  <c r="O12" i="6"/>
  <c r="Q12" i="6" s="1"/>
  <c r="R12" i="6" s="1"/>
  <c r="N12" i="6"/>
  <c r="M12" i="6"/>
  <c r="F12" i="6"/>
  <c r="O11" i="6"/>
  <c r="P11" i="6" s="1"/>
  <c r="M11" i="6"/>
  <c r="N11" i="6" s="1"/>
  <c r="F11" i="6"/>
  <c r="M10" i="6"/>
  <c r="N10" i="6" s="1"/>
  <c r="D10" i="6"/>
  <c r="C10" i="6"/>
  <c r="E9" i="6"/>
  <c r="O9" i="6" s="1"/>
  <c r="Q9" i="6" s="1"/>
  <c r="C9" i="6"/>
  <c r="M8" i="6"/>
  <c r="N8" i="6" s="1"/>
  <c r="D8" i="6"/>
  <c r="C8" i="6"/>
  <c r="E7" i="6"/>
  <c r="O7" i="6" s="1"/>
  <c r="P7" i="6" s="1"/>
  <c r="C7" i="6"/>
  <c r="M6" i="6"/>
  <c r="N6" i="6" s="1"/>
  <c r="C6" i="6"/>
  <c r="D6" i="6" s="1"/>
  <c r="C5" i="6"/>
  <c r="D10" i="4"/>
  <c r="F10" i="4" s="1"/>
  <c r="C66" i="2" s="1"/>
  <c r="C65" i="2" s="1"/>
  <c r="D7" i="4"/>
  <c r="F7" i="4" s="1"/>
  <c r="E51" i="2"/>
  <c r="E50" i="2" s="1"/>
  <c r="D51" i="2"/>
  <c r="D50" i="2" s="1"/>
  <c r="C51" i="2"/>
  <c r="E32" i="2"/>
  <c r="D32" i="2"/>
  <c r="E7" i="2"/>
  <c r="E24" i="2"/>
  <c r="D24" i="2"/>
  <c r="D22" i="2" s="1"/>
  <c r="C24" i="2"/>
  <c r="M19" i="1"/>
  <c r="D18" i="1" s="1"/>
  <c r="E65" i="2"/>
  <c r="D65" i="2"/>
  <c r="E61" i="2"/>
  <c r="E59" i="2" s="1"/>
  <c r="E79" i="2" s="1"/>
  <c r="D61" i="2"/>
  <c r="D59" i="2" s="1"/>
  <c r="D79" i="2" s="1"/>
  <c r="E53" i="2"/>
  <c r="D53" i="2"/>
  <c r="C53" i="2"/>
  <c r="C50" i="2"/>
  <c r="E49" i="2"/>
  <c r="E48" i="2" s="1"/>
  <c r="D49" i="2"/>
  <c r="D48" i="2" s="1"/>
  <c r="C49" i="2"/>
  <c r="C48" i="2" s="1"/>
  <c r="C44" i="2" s="1"/>
  <c r="E46" i="2"/>
  <c r="D46" i="2"/>
  <c r="C46" i="2"/>
  <c r="E27" i="2"/>
  <c r="D27" i="2"/>
  <c r="C27" i="2"/>
  <c r="E16" i="2"/>
  <c r="D16" i="2"/>
  <c r="D5" i="2" s="1"/>
  <c r="C16" i="2"/>
  <c r="C7" i="2"/>
  <c r="Q13" i="1"/>
  <c r="D19" i="1" s="1"/>
  <c r="C22" i="2"/>
  <c r="Q7" i="6"/>
  <c r="R7" i="6" s="1"/>
  <c r="R9" i="6"/>
  <c r="F9" i="6"/>
  <c r="P12" i="6"/>
  <c r="D13" i="6"/>
  <c r="D14" i="6"/>
  <c r="P14" i="6"/>
  <c r="G6" i="6"/>
  <c r="H6" i="6" s="1"/>
  <c r="G7" i="6"/>
  <c r="H7" i="6" s="1"/>
  <c r="G9" i="6"/>
  <c r="H9" i="6" s="1"/>
  <c r="E13" i="6"/>
  <c r="F13" i="6" s="1"/>
  <c r="E14" i="6"/>
  <c r="F14" i="6" s="1"/>
  <c r="E44" i="2"/>
  <c r="E78" i="2" s="1"/>
  <c r="C32" i="2"/>
  <c r="E22" i="2"/>
  <c r="C5" i="2" l="1"/>
  <c r="F13" i="4"/>
  <c r="B17" i="5" s="1"/>
  <c r="D77" i="2"/>
  <c r="C10" i="5"/>
  <c r="D44" i="2"/>
  <c r="B10" i="5"/>
  <c r="C77" i="2"/>
  <c r="B11" i="5"/>
  <c r="C78" i="2"/>
  <c r="E5" i="2"/>
  <c r="M7" i="6"/>
  <c r="N7" i="6" s="1"/>
  <c r="D7" i="6"/>
  <c r="G13" i="6"/>
  <c r="H13" i="6" s="1"/>
  <c r="F7" i="6"/>
  <c r="P9" i="6"/>
  <c r="C64" i="2"/>
  <c r="C61" i="2" s="1"/>
  <c r="C59" i="2" s="1"/>
  <c r="C79" i="2" s="1"/>
  <c r="O6" i="6"/>
  <c r="Q13" i="6"/>
  <c r="R13" i="6" s="1"/>
  <c r="M5" i="6"/>
  <c r="C19" i="6"/>
  <c r="M9" i="6"/>
  <c r="N9" i="6" s="1"/>
  <c r="D9" i="6"/>
  <c r="G14" i="6"/>
  <c r="H14" i="6" s="1"/>
  <c r="D11" i="5"/>
  <c r="G8" i="6"/>
  <c r="H8" i="6" s="1"/>
  <c r="D5" i="6"/>
  <c r="I17" i="8"/>
  <c r="G38" i="6"/>
  <c r="G49" i="6" s="1"/>
  <c r="D20" i="1"/>
  <c r="D28" i="1" s="1"/>
  <c r="D35" i="1" s="1"/>
  <c r="O8" i="6"/>
  <c r="Q11" i="6"/>
  <c r="R11" i="6" s="1"/>
  <c r="Q43" i="6"/>
  <c r="E5" i="6"/>
  <c r="E49" i="6"/>
  <c r="G39" i="6"/>
  <c r="C36" i="3"/>
  <c r="G44" i="6"/>
  <c r="D12" i="6"/>
  <c r="E10" i="6"/>
  <c r="H11" i="6"/>
  <c r="D43" i="6"/>
  <c r="D49" i="6" s="1"/>
  <c r="Q6" i="6" l="1"/>
  <c r="R6" i="6" s="1"/>
  <c r="P6" i="6"/>
  <c r="C11" i="5"/>
  <c r="D78" i="2"/>
  <c r="D71" i="2" s="1"/>
  <c r="G10" i="6"/>
  <c r="H10" i="6" s="1"/>
  <c r="O10" i="6"/>
  <c r="F10" i="6"/>
  <c r="M25" i="6"/>
  <c r="N5" i="6"/>
  <c r="N25" i="6" s="1"/>
  <c r="P8" i="6"/>
  <c r="Q8" i="6"/>
  <c r="R8" i="6" s="1"/>
  <c r="D19" i="6"/>
  <c r="C71" i="2"/>
  <c r="E19" i="6"/>
  <c r="G5" i="6"/>
  <c r="F5" i="6"/>
  <c r="F19" i="6" s="1"/>
  <c r="O5" i="6"/>
  <c r="D10" i="5"/>
  <c r="E77" i="2"/>
  <c r="E71" i="2" s="1"/>
  <c r="B5" i="5" l="1"/>
  <c r="B16" i="5" s="1"/>
  <c r="B18" i="5" s="1"/>
  <c r="B20" i="5" s="1"/>
  <c r="C70" i="2"/>
  <c r="C72" i="2" s="1"/>
  <c r="C74" i="2"/>
  <c r="C80" i="2" s="1"/>
  <c r="Q5" i="6"/>
  <c r="P5" i="6"/>
  <c r="O25" i="6"/>
  <c r="P10" i="6"/>
  <c r="Q10" i="6"/>
  <c r="R10" i="6" s="1"/>
  <c r="H5" i="6"/>
  <c r="H19" i="6" s="1"/>
  <c r="G19" i="6"/>
  <c r="D70" i="2"/>
  <c r="D72" i="2" s="1"/>
  <c r="D74" i="2"/>
  <c r="D80" i="2" s="1"/>
  <c r="C5" i="5"/>
  <c r="C16" i="5" s="1"/>
  <c r="C18" i="5" s="1"/>
  <c r="C20" i="5" s="1"/>
  <c r="C81" i="2" l="1"/>
  <c r="C82" i="2" s="1"/>
  <c r="D81" i="2"/>
  <c r="D82" i="2" s="1"/>
  <c r="R5" i="6"/>
  <c r="R25" i="6" s="1"/>
  <c r="Q25" i="6"/>
  <c r="C21" i="5"/>
  <c r="C22" i="5" s="1"/>
  <c r="C24" i="3" s="1"/>
  <c r="E70" i="2"/>
  <c r="E72" i="2" s="1"/>
  <c r="E74" i="2"/>
  <c r="E80" i="2" s="1"/>
  <c r="D5" i="5"/>
  <c r="D16" i="5" s="1"/>
  <c r="D18" i="5" s="1"/>
  <c r="D20" i="5" s="1"/>
  <c r="P25" i="6"/>
  <c r="B21" i="5"/>
  <c r="B22" i="5" s="1"/>
  <c r="B24" i="3" s="1"/>
  <c r="D21" i="5" l="1"/>
  <c r="D22" i="5" s="1"/>
  <c r="D24" i="3" s="1"/>
  <c r="E81" i="2"/>
  <c r="E82" i="2" s="1"/>
  <c r="C21" i="3"/>
  <c r="C22" i="3" s="1"/>
  <c r="B25" i="3"/>
  <c r="B37" i="3" s="1"/>
  <c r="B39" i="3" s="1"/>
  <c r="D21" i="3"/>
  <c r="C25" i="3" l="1"/>
  <c r="C37" i="3" s="1"/>
  <c r="D22" i="3"/>
  <c r="D25" i="3" s="1"/>
  <c r="D37" i="3" s="1"/>
  <c r="D16" i="3" l="1"/>
  <c r="D10" i="3" s="1"/>
  <c r="D17" i="3" s="1"/>
  <c r="D39" i="3" s="1"/>
  <c r="C16" i="3"/>
  <c r="C10" i="3" s="1"/>
  <c r="C17" i="3" s="1"/>
  <c r="C39" i="3" s="1"/>
</calcChain>
</file>

<file path=xl/sharedStrings.xml><?xml version="1.0" encoding="utf-8"?>
<sst xmlns="http://schemas.openxmlformats.org/spreadsheetml/2006/main" count="403" uniqueCount="319">
  <si>
    <t>Investimento</t>
  </si>
  <si>
    <t>1 - propriedades de investimento</t>
  </si>
  <si>
    <t>terrenos</t>
  </si>
  <si>
    <t>Edificios e outras const</t>
  </si>
  <si>
    <t>2- Activos fixos Tangíveis</t>
  </si>
  <si>
    <t>edificios</t>
  </si>
  <si>
    <t>equipamentos básicos</t>
  </si>
  <si>
    <t>equipamento transporte</t>
  </si>
  <si>
    <t>equip administrativo</t>
  </si>
  <si>
    <t>equip biológicos</t>
  </si>
  <si>
    <t>3- Activos fixos Intagíveis</t>
  </si>
  <si>
    <t>Goodwill</t>
  </si>
  <si>
    <t>Proj Des.</t>
  </si>
  <si>
    <t xml:space="preserve">Programas computador </t>
  </si>
  <si>
    <t>Prop Indust</t>
  </si>
  <si>
    <t>outros</t>
  </si>
  <si>
    <t>4 - Diversos</t>
  </si>
  <si>
    <t>5 - Fundo Maneio</t>
  </si>
  <si>
    <t>Total</t>
  </si>
  <si>
    <t>mobiliário</t>
  </si>
  <si>
    <t>suporte coroas</t>
  </si>
  <si>
    <t>tesouras</t>
  </si>
  <si>
    <t>tira picos</t>
  </si>
  <si>
    <t>aplicador cola</t>
  </si>
  <si>
    <t>porta preços</t>
  </si>
  <si>
    <t>total</t>
  </si>
  <si>
    <t>activos fixos tangíveis</t>
  </si>
  <si>
    <t>factura 2</t>
  </si>
  <si>
    <t>activos fixos intangíveis</t>
  </si>
  <si>
    <t>programas computador</t>
  </si>
  <si>
    <t>factura 3</t>
  </si>
  <si>
    <t>equipamento básico</t>
  </si>
  <si>
    <t>equipamento administrativo</t>
  </si>
  <si>
    <t>gaveta moedas</t>
  </si>
  <si>
    <t>Diversos</t>
  </si>
  <si>
    <t>(diversos)</t>
  </si>
  <si>
    <t>Fundo Maneio</t>
  </si>
  <si>
    <t>valor mensal * nº meses</t>
  </si>
  <si>
    <t>caução</t>
  </si>
  <si>
    <t>(170*2)</t>
  </si>
  <si>
    <t>renda</t>
  </si>
  <si>
    <t>(170*3)</t>
  </si>
  <si>
    <t>ordenado</t>
  </si>
  <si>
    <t>(400*2)</t>
  </si>
  <si>
    <t>luz</t>
  </si>
  <si>
    <t>(35*2)</t>
  </si>
  <si>
    <t>água</t>
  </si>
  <si>
    <t>(20*2)</t>
  </si>
  <si>
    <t>comunicações</t>
  </si>
  <si>
    <t>(39,9*2)</t>
  </si>
  <si>
    <t>seguro</t>
  </si>
  <si>
    <t>(25*2)</t>
  </si>
  <si>
    <t>gasolina</t>
  </si>
  <si>
    <t>(200*2)</t>
  </si>
  <si>
    <t>seg social</t>
  </si>
  <si>
    <t>(145,68*3)</t>
  </si>
  <si>
    <t>contabilista</t>
  </si>
  <si>
    <t>(67,65*2)</t>
  </si>
  <si>
    <t xml:space="preserve">Código Contas </t>
  </si>
  <si>
    <t>Descrição</t>
  </si>
  <si>
    <t>Valor em (€) 2013</t>
  </si>
  <si>
    <t>Valor em (€) 2014</t>
  </si>
  <si>
    <t>Fornecimentos e Serviços Externos</t>
  </si>
  <si>
    <t>62.1</t>
  </si>
  <si>
    <t>Subcontratos</t>
  </si>
  <si>
    <t>62.2</t>
  </si>
  <si>
    <t>Serviços Especializados</t>
  </si>
  <si>
    <t>62.2.1</t>
  </si>
  <si>
    <t>62.2.2</t>
  </si>
  <si>
    <t>Publicidade e Propaganda</t>
  </si>
  <si>
    <t>62.2.3</t>
  </si>
  <si>
    <t>Vigilância e Segurança</t>
  </si>
  <si>
    <t>62.2.4</t>
  </si>
  <si>
    <t>Honorários</t>
  </si>
  <si>
    <t>62.2.5</t>
  </si>
  <si>
    <t>Comissões</t>
  </si>
  <si>
    <t>62.2.6</t>
  </si>
  <si>
    <t xml:space="preserve">Conservação e Reparação: </t>
  </si>
  <si>
    <t>62.2.7</t>
  </si>
  <si>
    <t xml:space="preserve">Despesas bancárias: </t>
  </si>
  <si>
    <t>62.2.8</t>
  </si>
  <si>
    <t>Outros</t>
  </si>
  <si>
    <t>62.3</t>
  </si>
  <si>
    <t>Materiais</t>
  </si>
  <si>
    <t>62.3.1</t>
  </si>
  <si>
    <t>Ferramentas e Utensílios de desgaste rápido</t>
  </si>
  <si>
    <t>62.3.2</t>
  </si>
  <si>
    <t>Livros e documentação Técnica</t>
  </si>
  <si>
    <t>62.3.3</t>
  </si>
  <si>
    <t xml:space="preserve">Material de escritório: </t>
  </si>
  <si>
    <t>62.3.4</t>
  </si>
  <si>
    <t>Artigos para ofertas</t>
  </si>
  <si>
    <t>62.3.8</t>
  </si>
  <si>
    <t>62.4</t>
  </si>
  <si>
    <t>Energia e fluídos</t>
  </si>
  <si>
    <t>62.4.1</t>
  </si>
  <si>
    <t>62.4.2</t>
  </si>
  <si>
    <t>Combustíveis:</t>
  </si>
  <si>
    <t>62.4.3</t>
  </si>
  <si>
    <t>62.4.8</t>
  </si>
  <si>
    <t>62.5</t>
  </si>
  <si>
    <t>Deslocações, estadas e transportes</t>
  </si>
  <si>
    <t>62.5.1</t>
  </si>
  <si>
    <t>Deslocações e estadas</t>
  </si>
  <si>
    <t>62.5.2</t>
  </si>
  <si>
    <t>Transportes de pessoal</t>
  </si>
  <si>
    <t>62.5.3</t>
  </si>
  <si>
    <t>Transportes de mercadorias</t>
  </si>
  <si>
    <t>62.5.8</t>
  </si>
  <si>
    <t>62.6</t>
  </si>
  <si>
    <t>Serviços Diversos</t>
  </si>
  <si>
    <t>62.6.1</t>
  </si>
  <si>
    <t>Rendas e alugueres</t>
  </si>
  <si>
    <t>62.6.2</t>
  </si>
  <si>
    <t>62.6.3</t>
  </si>
  <si>
    <r>
      <t>Seguros</t>
    </r>
    <r>
      <rPr>
        <u/>
        <sz val="11"/>
        <color indexed="56"/>
        <rFont val="Times New Roman"/>
        <family val="1"/>
      </rPr>
      <t xml:space="preserve"> (Que tipo de seguro multirisco, vida….)</t>
    </r>
  </si>
  <si>
    <t>62.6.4</t>
  </si>
  <si>
    <t>Royalties</t>
  </si>
  <si>
    <t>62.6.5</t>
  </si>
  <si>
    <t>Contencioso e notariado</t>
  </si>
  <si>
    <t>62.6.6</t>
  </si>
  <si>
    <t>Despesas de representação</t>
  </si>
  <si>
    <t>62.6.7</t>
  </si>
  <si>
    <t>Limpeza, higiene e conforto</t>
  </si>
  <si>
    <t>62.6.8</t>
  </si>
  <si>
    <t>Outros Serviços</t>
  </si>
  <si>
    <t>Valor em (€) por ano</t>
  </si>
  <si>
    <t>Gastos com o pessoal</t>
  </si>
  <si>
    <t>63.1</t>
  </si>
  <si>
    <t>Remunerações órgãos sociais</t>
  </si>
  <si>
    <t>63.2</t>
  </si>
  <si>
    <t>Remunerações do pessoal</t>
  </si>
  <si>
    <t>63.2.1</t>
  </si>
  <si>
    <r>
      <t xml:space="preserve"> </t>
    </r>
    <r>
      <rPr>
        <u/>
        <sz val="12"/>
        <color indexed="8"/>
        <rFont val="Times New Roman"/>
        <family val="1"/>
      </rPr>
      <t>Vencimento bruto</t>
    </r>
    <r>
      <rPr>
        <sz val="12"/>
        <color indexed="8"/>
        <rFont val="Times New Roman"/>
        <family val="1"/>
      </rPr>
      <t xml:space="preserve"> 400€/mês (7 meses 2013+ 14 meses 2014 e 2015)</t>
    </r>
  </si>
  <si>
    <t>63.5</t>
  </si>
  <si>
    <t>Encargos sobre as remunerações</t>
  </si>
  <si>
    <t>63.6</t>
  </si>
  <si>
    <t xml:space="preserve">Seguros de acidentes no trabalho e doenças profissionais: </t>
  </si>
  <si>
    <t>63.6.1.1</t>
  </si>
  <si>
    <r>
      <t xml:space="preserve"> Seguro Acidentes Trabalho </t>
    </r>
    <r>
      <rPr>
        <sz val="12"/>
        <color indexed="10"/>
        <rFont val="Times New Roman"/>
        <family val="1"/>
      </rPr>
      <t>?</t>
    </r>
  </si>
  <si>
    <t>63.6.1.2</t>
  </si>
  <si>
    <t>63.8</t>
  </si>
  <si>
    <t>Outros gastos com o pessoal</t>
  </si>
  <si>
    <t>63.8.1</t>
  </si>
  <si>
    <t xml:space="preserve">Gastos com formação </t>
  </si>
  <si>
    <t>63.8.2</t>
  </si>
  <si>
    <t xml:space="preserve">Gastos com fardamento </t>
  </si>
  <si>
    <t>Gastos de depreciação e de amortização</t>
  </si>
  <si>
    <t>64.1</t>
  </si>
  <si>
    <t>Propriedades de investimento</t>
  </si>
  <si>
    <t>64.2</t>
  </si>
  <si>
    <t>Ativos fixos tangíveis</t>
  </si>
  <si>
    <r>
      <rPr>
        <u/>
        <sz val="12"/>
        <color indexed="8"/>
        <rFont val="Times New Roman"/>
        <family val="1"/>
      </rPr>
      <t>Equipamento Básico</t>
    </r>
    <r>
      <rPr>
        <sz val="12"/>
        <color indexed="8"/>
        <rFont val="Times New Roman"/>
        <family val="1"/>
      </rPr>
      <t>:</t>
    </r>
  </si>
  <si>
    <t>Mobiliário</t>
  </si>
  <si>
    <t>Gaveta</t>
  </si>
  <si>
    <t>64.3</t>
  </si>
  <si>
    <t>Ativos intangíveis</t>
  </si>
  <si>
    <t>Programas Computador</t>
  </si>
  <si>
    <t>TOTAL RENDIMENTOS</t>
  </si>
  <si>
    <t>TOTAL GASTOS</t>
  </si>
  <si>
    <t>RESULTADO ANTES IMPOSTOS</t>
  </si>
  <si>
    <t>RAI</t>
  </si>
  <si>
    <t>Cartões</t>
  </si>
  <si>
    <t>7.2- Financiamento do Investimento</t>
  </si>
  <si>
    <t>1 - Capitais Próprios</t>
  </si>
  <si>
    <t xml:space="preserve"> Capital (social/Inicial)</t>
  </si>
  <si>
    <t>Recebimento ant de prestações desmp</t>
  </si>
  <si>
    <t>2 - Capitais alheios</t>
  </si>
  <si>
    <t>emp sócios</t>
  </si>
  <si>
    <t>emp bancários</t>
  </si>
  <si>
    <t>créditos fornecedores</t>
  </si>
  <si>
    <t>outros capitais alheios</t>
  </si>
  <si>
    <t>13 - Gastos de Depreciação e amortização</t>
  </si>
  <si>
    <t>Factura/orçamento</t>
  </si>
  <si>
    <t>Valor</t>
  </si>
  <si>
    <t>Taxa</t>
  </si>
  <si>
    <t>Amortização</t>
  </si>
  <si>
    <t>Activos Fixos Tangíveis</t>
  </si>
  <si>
    <t>Activos Fixos intangíveis</t>
  </si>
  <si>
    <t>equip básico mobiliar.</t>
  </si>
  <si>
    <t xml:space="preserve">FP nº </t>
  </si>
  <si>
    <t>equip adminst</t>
  </si>
  <si>
    <t xml:space="preserve">FPnº </t>
  </si>
  <si>
    <t>programas comp</t>
  </si>
  <si>
    <t xml:space="preserve">Valor em (€) 2015        </t>
  </si>
  <si>
    <t>9 - Vendas de bens ou serviços do Projeto (valor a receber do clt s/ iva)</t>
  </si>
  <si>
    <t>10- Consumo de Mercadorias, matérias primas e subsid projecto (s/ iva)</t>
  </si>
  <si>
    <t xml:space="preserve">crescimento 5% </t>
  </si>
  <si>
    <t>5% ano</t>
  </si>
  <si>
    <t>Designação</t>
  </si>
  <si>
    <t>Unid Física</t>
  </si>
  <si>
    <t>2013 (Agosto/Dezemb)</t>
  </si>
  <si>
    <t>2013 (Agosto a Dezembro)</t>
  </si>
  <si>
    <t>Quant</t>
  </si>
  <si>
    <t>coroas</t>
  </si>
  <si>
    <t>ramos funeral</t>
  </si>
  <si>
    <t>Ramos oferta</t>
  </si>
  <si>
    <t>ramos oferta</t>
  </si>
  <si>
    <t>Ramos secos</t>
  </si>
  <si>
    <t>Ramos Secos</t>
  </si>
  <si>
    <t>Plantas</t>
  </si>
  <si>
    <t>plantas</t>
  </si>
  <si>
    <t xml:space="preserve">cestas </t>
  </si>
  <si>
    <t>cestas</t>
  </si>
  <si>
    <t>Arranjos Florais p/ Dec casamentos</t>
  </si>
  <si>
    <t>Cravos (molho)</t>
  </si>
  <si>
    <t>Margaridas (molho)</t>
  </si>
  <si>
    <t>calculei para o mês de Agosto a venda de apenas 50% do nº de unidades estivamdas para os meses seguintes tendo em conta que se trata do 1º mês</t>
  </si>
  <si>
    <t>custos das mercadorias por mês/ano (valor s/ iva)</t>
  </si>
  <si>
    <t>produto</t>
  </si>
  <si>
    <t>unid p/ mês</t>
  </si>
  <si>
    <t>valor/und</t>
  </si>
  <si>
    <t>total mês</t>
  </si>
  <si>
    <t>total unid/ano</t>
  </si>
  <si>
    <t>(somar)Fev/Maio/Nov</t>
  </si>
  <si>
    <t>total € ano</t>
  </si>
  <si>
    <t>vendas por mês/ano</t>
  </si>
  <si>
    <t>valor/und s/ iva</t>
  </si>
  <si>
    <t>total mês s/ iva</t>
  </si>
  <si>
    <t>Fev/Maio</t>
  </si>
  <si>
    <t>Flores p/ Ramos noiva</t>
  </si>
  <si>
    <t>coroas funeral</t>
  </si>
  <si>
    <t>flores p/ Dec casamentos</t>
  </si>
  <si>
    <t>1,5% derrama???? O que é e para que serve</t>
  </si>
  <si>
    <t>falta calcular a questão do imposto s/ rendimento. E se eu optar pelo regime simplificado</t>
  </si>
  <si>
    <r>
      <rPr>
        <u/>
        <sz val="12"/>
        <color indexed="8"/>
        <rFont val="Times New Roman"/>
        <family val="1"/>
      </rPr>
      <t>Trabalhos Especializados</t>
    </r>
    <r>
      <rPr>
        <sz val="12"/>
        <color indexed="8"/>
        <rFont val="Times New Roman"/>
        <family val="1"/>
      </rPr>
      <t>: Avença TOC- 55 €/mês+IVA (5 meses 2013 + 12 meses 2014 e 2015)</t>
    </r>
  </si>
  <si>
    <t>15- Demonstração dos Resultados Previsional</t>
  </si>
  <si>
    <t>Modelo do NCM</t>
  </si>
  <si>
    <t>(Unid:Euros)</t>
  </si>
  <si>
    <t>Descrição (Modelo do NCM)</t>
  </si>
  <si>
    <t>Vendas e Serviços Prestados</t>
  </si>
  <si>
    <t>Subsídios à exploração</t>
  </si>
  <si>
    <t>Variação nos Inventários da produção</t>
  </si>
  <si>
    <t>Trabalhos para a própria entidade</t>
  </si>
  <si>
    <t>Custo Mercadorias Vendidas e das Matérias Consumidas</t>
  </si>
  <si>
    <t>Gastos com Pessoal</t>
  </si>
  <si>
    <t>Imparidades (perdas/reversões)</t>
  </si>
  <si>
    <t>Provisões (aumentos/reduções)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</si>
  <si>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</si>
  <si>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</si>
  <si>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</si>
  <si>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</si>
  <si>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Resultado Operacionais (antes de gastos de financiamento e impostos)</t>
  </si>
  <si>
    <t>Gasto líquido de financiamento</t>
  </si>
  <si>
    <t>Resultado antes dos impostos</t>
  </si>
  <si>
    <t>Resultado líquido do período</t>
  </si>
  <si>
    <t>o imposto é sobre 20 % certo? Alterei e fiz a conta a 20%</t>
  </si>
  <si>
    <t>16-Balanço Previsional</t>
  </si>
  <si>
    <t>ATIVO (Modelo do NCM)</t>
  </si>
  <si>
    <t>ATIVO NÃO CORRENTE</t>
  </si>
  <si>
    <t>Investimentos financeiros</t>
  </si>
  <si>
    <t>Acionistas/sócios</t>
  </si>
  <si>
    <t>ATIVO CORRENTE</t>
  </si>
  <si>
    <t>Inventários</t>
  </si>
  <si>
    <t>Clientes</t>
  </si>
  <si>
    <t>Estado e outros entes públicos</t>
  </si>
  <si>
    <t>Diferimentos</t>
  </si>
  <si>
    <t>Outros ativos correntes</t>
  </si>
  <si>
    <t>Caixa e depósitos bancários</t>
  </si>
  <si>
    <t>TOTAL DO ATIVO</t>
  </si>
  <si>
    <t>CAPITAL PRÓPRIO (Modelo do NCM)</t>
  </si>
  <si>
    <t>Capital realizado</t>
  </si>
  <si>
    <t>Outros instrumentos de capital próprio</t>
  </si>
  <si>
    <t>Reservas</t>
  </si>
  <si>
    <t>Resultados Transitados</t>
  </si>
  <si>
    <t>Outras variações no capital próprio</t>
  </si>
  <si>
    <t>TOTAL DO CAPITAL PRÓPRIO</t>
  </si>
  <si>
    <t>PASSIVO (Modelo do NCM)</t>
  </si>
  <si>
    <t>PASSIVO NÃO CORRENTE</t>
  </si>
  <si>
    <t>Provisões</t>
  </si>
  <si>
    <t>Financiamentos obtidos</t>
  </si>
  <si>
    <t>Outras contas a pagar</t>
  </si>
  <si>
    <t>PASSIVO CORRENTE</t>
  </si>
  <si>
    <t>Fornecedores</t>
  </si>
  <si>
    <t>Outros passivos correntes</t>
  </si>
  <si>
    <t>TOTAL DO PASSIVO</t>
  </si>
  <si>
    <t>TOTAL DO CAPITAL PRÓPRIO E DO PASSIVO</t>
  </si>
  <si>
    <t>Medicina e Higiene Trabalho</t>
  </si>
  <si>
    <t xml:space="preserve">Empresários Regime Simplificado: ESCALÃO SEGURANÇA SOCIAL - VN </t>
  </si>
  <si>
    <t>valor €</t>
  </si>
  <si>
    <t>ANO</t>
  </si>
  <si>
    <t>Vendas (1)</t>
  </si>
  <si>
    <t>Prestação Serviços (2)</t>
  </si>
  <si>
    <t>Volume de Negócios 3=(1+2)</t>
  </si>
  <si>
    <t>20% s/vendas  4= (1)*0,20</t>
  </si>
  <si>
    <t>75% s/P.serv. 5=(2)*0,75</t>
  </si>
  <si>
    <r>
      <t xml:space="preserve">20% s/P.serv. atividades hot./restaurac.beb. [6=(2)*0,20 </t>
    </r>
    <r>
      <rPr>
        <sz val="8"/>
        <rFont val="Arial"/>
        <family val="2"/>
      </rPr>
      <t>quando aplicável]</t>
    </r>
  </si>
  <si>
    <r>
      <t xml:space="preserve">Rendimento Relevante VN 7= (4+5) ou </t>
    </r>
    <r>
      <rPr>
        <b/>
        <sz val="9"/>
        <rFont val="Calibri"/>
        <family val="2"/>
      </rPr>
      <t>[</t>
    </r>
    <r>
      <rPr>
        <b/>
        <sz val="9"/>
        <rFont val="Arial"/>
        <family val="2"/>
      </rPr>
      <t xml:space="preserve">7=(4+6) </t>
    </r>
    <r>
      <rPr>
        <sz val="8"/>
        <rFont val="Arial"/>
        <family val="2"/>
      </rPr>
      <t>quando aplicável</t>
    </r>
    <r>
      <rPr>
        <sz val="8"/>
        <rFont val="Calibri"/>
        <family val="2"/>
      </rPr>
      <t>]</t>
    </r>
  </si>
  <si>
    <t>Rendimento mensal</t>
  </si>
  <si>
    <t>Empresários com Contabilidade Organizada: ESCALÃO SEGURANÇA SOCIAL - VN ou RL</t>
  </si>
  <si>
    <r>
      <t xml:space="preserve">Rendimento Relevante RL                </t>
    </r>
    <r>
      <rPr>
        <sz val="8"/>
        <rFont val="Arial"/>
        <family val="2"/>
      </rPr>
      <t>(valor do resultado líquido)</t>
    </r>
  </si>
  <si>
    <t>Esta derrama é uma taxa que as câmaras municipais recebem através dos rendimentos</t>
  </si>
  <si>
    <t>das empresas.</t>
  </si>
  <si>
    <t>E que varia de câmara municipal, para câmara municipal, assim como o IMI também</t>
  </si>
  <si>
    <t>é uma taxa que reverte a favor das câmaras municipais.</t>
  </si>
  <si>
    <t>No caso do regime simplificado, o seu rendimento será tributado pelas regras do IRS</t>
  </si>
  <si>
    <t>logo não se aplica a si, como empresário individual.</t>
  </si>
  <si>
    <t>Impostos s/rendimentos do período IRC</t>
  </si>
  <si>
    <t>Rendimento mensal (RL)</t>
  </si>
  <si>
    <t>Verifica-se que o Regime Simplificado é o mais relevante para a área de negócio que pretende inserir-se, de acordo</t>
  </si>
  <si>
    <t>com os elementos que previsionou de gastos e rendimentos.</t>
  </si>
  <si>
    <t>Estas são as regras que irão ocorrer na realidade</t>
  </si>
  <si>
    <t>Estas são as regras com a aplicação mapas DR e Balanço</t>
  </si>
  <si>
    <t>Uma vez que obtem menos gastos se aplicar as regras da contabilidade organizada, e usufruiu de mais gastos se aplicar</t>
  </si>
  <si>
    <t>o regime simplificado. Entregando menos imposto ao Estado.</t>
  </si>
  <si>
    <t>valores sem IVA</t>
  </si>
  <si>
    <r>
      <t xml:space="preserve">Imposto s/rendimento (25% IRC e 1,5% derrama) </t>
    </r>
    <r>
      <rPr>
        <sz val="12"/>
        <color indexed="56"/>
        <rFont val="Times New Roman"/>
        <family val="1"/>
      </rPr>
      <t>não aplicar nada neste regime</t>
    </r>
  </si>
  <si>
    <t>Impostos s/rendimentos do período é pelas regras IRS</t>
  </si>
  <si>
    <t>factura 1</t>
  </si>
  <si>
    <t>Factura 4- berta</t>
  </si>
  <si>
    <t>factura 5 florineve</t>
  </si>
  <si>
    <t>Água 15,4€/mês + IVA  (5 meses 2013 +12 meses 2014 e 2015)</t>
  </si>
  <si>
    <r>
      <t xml:space="preserve">Electricidade  </t>
    </r>
    <r>
      <rPr>
        <sz val="12"/>
        <rFont val="Times New Roman"/>
        <family val="1"/>
      </rPr>
      <t xml:space="preserve">26,95 </t>
    </r>
    <r>
      <rPr>
        <sz val="12"/>
        <color indexed="8"/>
        <rFont val="Times New Roman"/>
        <family val="1"/>
      </rPr>
      <t>€/mês + IVA (5 meses 2013 +12 meses 2014 e 2015)</t>
    </r>
  </si>
  <si>
    <r>
      <rPr>
        <u/>
        <sz val="12"/>
        <color indexed="8"/>
        <rFont val="Times New Roman"/>
        <family val="1"/>
      </rPr>
      <t>Comunicação</t>
    </r>
    <r>
      <rPr>
        <sz val="12"/>
        <color indexed="8"/>
        <rFont val="Times New Roman"/>
        <family val="1"/>
      </rPr>
      <t>: 30,72€/mês + IVA  (5 meses 2013 +12 meses 2014 e 2015)</t>
    </r>
  </si>
  <si>
    <t xml:space="preserve"> 419,22€/mês x 34,75% (entidade patronal+funcionário)</t>
  </si>
  <si>
    <t xml:space="preserve">1 - Na minha linha de raciocínio,  o quadro 7-inv e financiamentos, serve para justificar onde vamos aplicar  o subsídio que estamos a solicitar. Assim e tendo em conta que indicou que o mais correcto seria depois colocar estes gastos em 62.3.1- ferramentas e utensílios de desgaste rápido, retirei o valor dos activos fixos tangíveis e coloquei em Diversos juntamente com os valores da compra inicial de flores. Poderá ser? </t>
  </si>
  <si>
    <t>2 - Tem conhecimento se o IEFP apenas pretende facturas pró-form para justificar o valor do quadro 7 ou temos também de apresentar facturas/orçamentpos para o quadro 11 - Fornec de serv externos (tal como água/luz/seguros) etc</t>
  </si>
  <si>
    <t>4- Ao colocar o valor das prestações do subsídio de desemprego na conta - Outros instrumentos de capital próprio estou a indicar que no ano final de 2013 irá transitar para o ano seguinte x valor, ou seja o subsídio de desemprego. Mas se este será todo gasto para arrancar com o negócio (para compra de material e outras coisas), logo não deverá aparecer no balanço. Estou a pensar mal?</t>
  </si>
  <si>
    <t>3 - No quadro de FSE e tendo em conta que o mesmo é sem iva, coloco o valor da renda da loja aplicando um valor de 23% como se tivesse iva? :/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</si>
</sst>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;[Red]0"/>
    <numFmt numFmtId="165" formatCode="#,##0.00&quot;  &quot;;[Red]#,##0.00&quot;  &quot;"/>
    <numFmt numFmtId="166" formatCode="#,##0;[Red]#,##0"/>
    <numFmt numFmtId="167" formatCode="#,##0.0;[Red]#,##0.0"/>
    <numFmt numFmtId="168" formatCode="0.0"/>
    <numFmt numFmtId="169" formatCode="#,##0.00&quot; &quot;[$€-816];[Red]#,##0.00&quot; &quot;[$€-816]"/>
    <numFmt numFmtId="170" formatCode="0.00;[Red]0.00"/>
    <numFmt numFmtId="171" formatCode="#,##0.00&quot; &quot;[$€];[Red]#,##0.00&quot; &quot;[$€]"/>
    <numFmt numFmtId="172" formatCode="#,##0.00;[Red]#,##0.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Times New Roman"/>
      <family val="1"/>
    </font>
    <font>
      <u/>
      <sz val="11"/>
      <color indexed="56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</font>
    <font>
      <b/>
      <u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name val="Calibri"/>
      <family val="2"/>
    </font>
    <font>
      <sz val="8"/>
      <name val="Calibri"/>
      <family val="2"/>
    </font>
    <font>
      <b/>
      <sz val="8"/>
      <name val="Arial"/>
      <family val="2"/>
    </font>
    <font>
      <sz val="12"/>
      <color indexed="56"/>
      <name val="Times New Roman"/>
      <family val="1"/>
    </font>
    <font>
      <sz val="11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6092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61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92D050"/>
      <name val="Arial"/>
      <family val="2"/>
    </font>
    <font>
      <sz val="12"/>
      <color rgb="FF000000"/>
      <name val="Times New Roman"/>
      <family val="1"/>
    </font>
    <font>
      <b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22" fillId="2" borderId="0" applyNumberFormat="0" applyBorder="0" applyAlignment="0" applyProtection="0"/>
    <xf numFmtId="0" fontId="1" fillId="0" borderId="0"/>
  </cellStyleXfs>
  <cellXfs count="220">
    <xf numFmtId="0" fontId="0" fillId="0" borderId="0" xfId="0"/>
    <xf numFmtId="0" fontId="23" fillId="3" borderId="19" xfId="0" applyFont="1" applyFill="1" applyBorder="1" applyAlignment="1"/>
    <xf numFmtId="0" fontId="24" fillId="0" borderId="19" xfId="0" applyFont="1" applyBorder="1" applyAlignment="1"/>
    <xf numFmtId="0" fontId="23" fillId="0" borderId="19" xfId="0" applyFont="1" applyBorder="1"/>
    <xf numFmtId="0" fontId="24" fillId="0" borderId="19" xfId="0" applyFont="1" applyBorder="1" applyAlignment="1">
      <alignment horizontal="left"/>
    </xf>
    <xf numFmtId="0" fontId="1" fillId="0" borderId="19" xfId="0" applyFont="1" applyBorder="1"/>
    <xf numFmtId="0" fontId="23" fillId="0" borderId="19" xfId="0" applyFont="1" applyBorder="1" applyAlignment="1">
      <alignment horizontal="right"/>
    </xf>
    <xf numFmtId="0" fontId="25" fillId="0" borderId="0" xfId="0" applyFont="1"/>
    <xf numFmtId="0" fontId="0" fillId="0" borderId="0" xfId="0" applyBorder="1"/>
    <xf numFmtId="0" fontId="0" fillId="0" borderId="20" xfId="0" applyBorder="1"/>
    <xf numFmtId="0" fontId="26" fillId="0" borderId="21" xfId="0" applyFont="1" applyBorder="1"/>
    <xf numFmtId="0" fontId="0" fillId="0" borderId="21" xfId="0" applyBorder="1"/>
    <xf numFmtId="0" fontId="25" fillId="0" borderId="21" xfId="0" applyFont="1" applyBorder="1"/>
    <xf numFmtId="0" fontId="27" fillId="0" borderId="0" xfId="0" applyFont="1" applyBorder="1"/>
    <xf numFmtId="0" fontId="23" fillId="0" borderId="0" xfId="0" applyFont="1" applyFill="1" applyBorder="1"/>
    <xf numFmtId="0" fontId="1" fillId="0" borderId="0" xfId="0" applyFont="1" applyFill="1" applyBorder="1"/>
    <xf numFmtId="0" fontId="25" fillId="0" borderId="20" xfId="0" applyFont="1" applyBorder="1"/>
    <xf numFmtId="0" fontId="28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4" fontId="4" fillId="0" borderId="2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4" fontId="3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4" fontId="4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4" fontId="4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4" fontId="3" fillId="0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4" fontId="3" fillId="0" borderId="4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4" fontId="9" fillId="0" borderId="4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4" fontId="3" fillId="0" borderId="7" xfId="0" applyNumberFormat="1" applyFont="1" applyFill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5" borderId="4" xfId="0" applyFont="1" applyFill="1" applyBorder="1" applyAlignment="1">
      <alignment horizontal="left"/>
    </xf>
    <xf numFmtId="0" fontId="4" fillId="0" borderId="4" xfId="0" applyFont="1" applyBorder="1" applyAlignment="1"/>
    <xf numFmtId="0" fontId="0" fillId="0" borderId="0" xfId="0" applyAlignment="1">
      <alignment horizontal="left"/>
    </xf>
    <xf numFmtId="0" fontId="0" fillId="0" borderId="0" xfId="0" applyFont="1"/>
    <xf numFmtId="0" fontId="23" fillId="0" borderId="19" xfId="0" applyFont="1" applyBorder="1" applyAlignment="1"/>
    <xf numFmtId="0" fontId="29" fillId="2" borderId="4" xfId="1" applyFont="1" applyBorder="1" applyAlignment="1">
      <alignment horizontal="center" vertical="center"/>
    </xf>
    <xf numFmtId="9" fontId="23" fillId="0" borderId="19" xfId="0" applyNumberFormat="1" applyFont="1" applyBorder="1"/>
    <xf numFmtId="0" fontId="30" fillId="0" borderId="19" xfId="0" applyFont="1" applyBorder="1"/>
    <xf numFmtId="0" fontId="31" fillId="0" borderId="0" xfId="0" applyFont="1" applyAlignment="1">
      <alignment vertical="top" wrapText="1"/>
    </xf>
    <xf numFmtId="0" fontId="31" fillId="0" borderId="0" xfId="0" applyFont="1" applyAlignment="1">
      <alignment horizontal="center" vertical="top" wrapText="1"/>
    </xf>
    <xf numFmtId="0" fontId="23" fillId="0" borderId="0" xfId="0" applyFont="1"/>
    <xf numFmtId="9" fontId="31" fillId="0" borderId="22" xfId="0" applyNumberFormat="1" applyFont="1" applyBorder="1" applyAlignment="1">
      <alignment horizontal="right" vertical="top" wrapText="1"/>
    </xf>
    <xf numFmtId="0" fontId="24" fillId="0" borderId="0" xfId="0" applyFont="1" applyFill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3" fillId="0" borderId="19" xfId="0" applyFont="1" applyBorder="1" applyAlignment="1">
      <alignment horizontal="center"/>
    </xf>
    <xf numFmtId="164" fontId="23" fillId="0" borderId="19" xfId="0" applyNumberFormat="1" applyFont="1" applyBorder="1" applyAlignment="1">
      <alignment horizontal="center"/>
    </xf>
    <xf numFmtId="165" fontId="23" fillId="0" borderId="19" xfId="0" applyNumberFormat="1" applyFont="1" applyBorder="1" applyAlignment="1">
      <alignment horizontal="right"/>
    </xf>
    <xf numFmtId="166" fontId="23" fillId="0" borderId="19" xfId="0" applyNumberFormat="1" applyFont="1" applyBorder="1" applyAlignment="1">
      <alignment horizontal="center"/>
    </xf>
    <xf numFmtId="167" fontId="23" fillId="0" borderId="19" xfId="0" applyNumberFormat="1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165" fontId="23" fillId="0" borderId="19" xfId="0" applyNumberFormat="1" applyFont="1" applyBorder="1"/>
    <xf numFmtId="1" fontId="23" fillId="0" borderId="19" xfId="0" applyNumberFormat="1" applyFont="1" applyBorder="1" applyAlignment="1">
      <alignment horizontal="center"/>
    </xf>
    <xf numFmtId="168" fontId="23" fillId="0" borderId="19" xfId="0" applyNumberFormat="1" applyFont="1" applyBorder="1" applyAlignment="1">
      <alignment horizontal="center"/>
    </xf>
    <xf numFmtId="0" fontId="23" fillId="0" borderId="24" xfId="0" applyFont="1" applyBorder="1"/>
    <xf numFmtId="164" fontId="23" fillId="0" borderId="0" xfId="0" applyNumberFormat="1" applyFont="1" applyAlignment="1">
      <alignment horizontal="center"/>
    </xf>
    <xf numFmtId="169" fontId="23" fillId="0" borderId="0" xfId="0" applyNumberFormat="1" applyFont="1"/>
    <xf numFmtId="166" fontId="23" fillId="0" borderId="0" xfId="0" applyNumberFormat="1" applyFont="1" applyAlignment="1">
      <alignment horizontal="center"/>
    </xf>
    <xf numFmtId="169" fontId="23" fillId="0" borderId="0" xfId="0" applyNumberFormat="1" applyFont="1" applyAlignment="1">
      <alignment horizontal="right"/>
    </xf>
    <xf numFmtId="170" fontId="23" fillId="0" borderId="0" xfId="0" applyNumberFormat="1" applyFont="1" applyAlignment="1">
      <alignment horizontal="center"/>
    </xf>
    <xf numFmtId="1" fontId="23" fillId="0" borderId="0" xfId="0" applyNumberFormat="1" applyFont="1"/>
    <xf numFmtId="0" fontId="31" fillId="0" borderId="19" xfId="0" applyFont="1" applyBorder="1" applyAlignment="1">
      <alignment horizontal="center"/>
    </xf>
    <xf numFmtId="164" fontId="23" fillId="0" borderId="19" xfId="0" applyNumberFormat="1" applyFont="1" applyBorder="1"/>
    <xf numFmtId="169" fontId="23" fillId="0" borderId="19" xfId="0" applyNumberFormat="1" applyFont="1" applyBorder="1"/>
    <xf numFmtId="1" fontId="23" fillId="0" borderId="19" xfId="0" applyNumberFormat="1" applyFont="1" applyBorder="1"/>
    <xf numFmtId="0" fontId="23" fillId="0" borderId="25" xfId="0" applyFont="1" applyBorder="1"/>
    <xf numFmtId="0" fontId="23" fillId="0" borderId="25" xfId="0" applyFont="1" applyBorder="1" applyAlignment="1">
      <alignment horizontal="center"/>
    </xf>
    <xf numFmtId="0" fontId="23" fillId="0" borderId="26" xfId="0" applyFont="1" applyBorder="1"/>
    <xf numFmtId="0" fontId="1" fillId="6" borderId="27" xfId="0" applyFont="1" applyFill="1" applyBorder="1"/>
    <xf numFmtId="0" fontId="23" fillId="6" borderId="27" xfId="0" applyFont="1" applyFill="1" applyBorder="1"/>
    <xf numFmtId="171" fontId="23" fillId="0" borderId="0" xfId="0" applyNumberFormat="1" applyFont="1"/>
    <xf numFmtId="0" fontId="23" fillId="0" borderId="27" xfId="0" applyFont="1" applyBorder="1"/>
    <xf numFmtId="0" fontId="23" fillId="0" borderId="27" xfId="0" applyFont="1" applyBorder="1" applyAlignment="1">
      <alignment horizontal="center"/>
    </xf>
    <xf numFmtId="169" fontId="23" fillId="0" borderId="27" xfId="0" applyNumberFormat="1" applyFont="1" applyFill="1" applyBorder="1" applyAlignment="1">
      <alignment horizontal="right"/>
    </xf>
    <xf numFmtId="164" fontId="23" fillId="6" borderId="27" xfId="0" applyNumberFormat="1" applyFont="1" applyFill="1" applyBorder="1" applyAlignment="1">
      <alignment horizontal="center"/>
    </xf>
    <xf numFmtId="1" fontId="23" fillId="6" borderId="27" xfId="0" applyNumberFormat="1" applyFont="1" applyFill="1" applyBorder="1" applyAlignment="1">
      <alignment horizontal="center"/>
    </xf>
    <xf numFmtId="169" fontId="23" fillId="6" borderId="27" xfId="0" applyNumberFormat="1" applyFont="1" applyFill="1" applyBorder="1"/>
    <xf numFmtId="0" fontId="23" fillId="0" borderId="0" xfId="0" applyFont="1" applyAlignment="1"/>
    <xf numFmtId="0" fontId="23" fillId="6" borderId="27" xfId="0" applyFont="1" applyFill="1" applyBorder="1" applyAlignment="1">
      <alignment horizontal="center"/>
    </xf>
    <xf numFmtId="0" fontId="23" fillId="0" borderId="26" xfId="0" applyFont="1" applyBorder="1" applyAlignment="1">
      <alignment horizontal="center"/>
    </xf>
    <xf numFmtId="0" fontId="32" fillId="6" borderId="27" xfId="0" applyFont="1" applyFill="1" applyBorder="1"/>
    <xf numFmtId="172" fontId="23" fillId="0" borderId="27" xfId="0" applyNumberFormat="1" applyFont="1" applyFill="1" applyBorder="1" applyAlignment="1">
      <alignment horizontal="right"/>
    </xf>
    <xf numFmtId="169" fontId="23" fillId="6" borderId="27" xfId="0" applyNumberFormat="1" applyFont="1" applyFill="1" applyBorder="1" applyAlignment="1">
      <alignment horizontal="right"/>
    </xf>
    <xf numFmtId="164" fontId="23" fillId="0" borderId="28" xfId="0" applyNumberFormat="1" applyFont="1" applyBorder="1"/>
    <xf numFmtId="0" fontId="31" fillId="0" borderId="27" xfId="0" applyFont="1" applyBorder="1" applyAlignment="1"/>
    <xf numFmtId="164" fontId="23" fillId="6" borderId="27" xfId="0" applyNumberFormat="1" applyFont="1" applyFill="1" applyBorder="1"/>
    <xf numFmtId="1" fontId="23" fillId="6" borderId="27" xfId="0" applyNumberFormat="1" applyFont="1" applyFill="1" applyBorder="1"/>
    <xf numFmtId="0" fontId="23" fillId="0" borderId="29" xfId="0" applyFont="1" applyBorder="1" applyAlignment="1"/>
    <xf numFmtId="0" fontId="0" fillId="7" borderId="0" xfId="0" applyFill="1"/>
    <xf numFmtId="0" fontId="33" fillId="7" borderId="0" xfId="0" applyFont="1" applyFill="1" applyAlignment="1"/>
    <xf numFmtId="0" fontId="34" fillId="8" borderId="0" xfId="0" applyFont="1" applyFill="1"/>
    <xf numFmtId="0" fontId="7" fillId="0" borderId="4" xfId="0" applyFont="1" applyFill="1" applyBorder="1" applyAlignment="1">
      <alignment horizontal="left"/>
    </xf>
    <xf numFmtId="4" fontId="4" fillId="0" borderId="4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11" fillId="0" borderId="4" xfId="0" applyFont="1" applyBorder="1" applyAlignment="1">
      <alignment horizontal="right"/>
    </xf>
    <xf numFmtId="0" fontId="4" fillId="0" borderId="0" xfId="0" applyFont="1" applyAlignment="1"/>
    <xf numFmtId="0" fontId="3" fillId="0" borderId="4" xfId="0" applyFont="1" applyFill="1" applyBorder="1" applyAlignment="1"/>
    <xf numFmtId="0" fontId="10" fillId="0" borderId="4" xfId="0" applyFont="1" applyBorder="1" applyAlignment="1"/>
    <xf numFmtId="0" fontId="10" fillId="9" borderId="4" xfId="0" applyFont="1" applyFill="1" applyBorder="1" applyAlignment="1"/>
    <xf numFmtId="0" fontId="11" fillId="0" borderId="4" xfId="0" applyFont="1" applyBorder="1" applyAlignment="1"/>
    <xf numFmtId="4" fontId="4" fillId="5" borderId="4" xfId="0" applyNumberFormat="1" applyFont="1" applyFill="1" applyBorder="1" applyAlignment="1">
      <alignment horizontal="center"/>
    </xf>
    <xf numFmtId="4" fontId="12" fillId="0" borderId="4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0" xfId="0" applyAlignment="1"/>
    <xf numFmtId="0" fontId="11" fillId="0" borderId="4" xfId="0" applyFont="1" applyFill="1" applyBorder="1" applyAlignment="1"/>
    <xf numFmtId="0" fontId="10" fillId="0" borderId="0" xfId="0" applyFont="1" applyAlignment="1"/>
    <xf numFmtId="0" fontId="1" fillId="0" borderId="0" xfId="0" applyFont="1" applyAlignment="1"/>
    <xf numFmtId="0" fontId="10" fillId="10" borderId="4" xfId="0" applyFont="1" applyFill="1" applyBorder="1" applyAlignment="1"/>
    <xf numFmtId="4" fontId="4" fillId="10" borderId="4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1" fillId="0" borderId="0" xfId="2"/>
    <xf numFmtId="4" fontId="1" fillId="0" borderId="0" xfId="2" applyNumberFormat="1" applyAlignment="1">
      <alignment horizontal="center"/>
    </xf>
    <xf numFmtId="0" fontId="16" fillId="0" borderId="12" xfId="2" applyFont="1" applyBorder="1" applyAlignment="1">
      <alignment horizontal="center" vertical="center" wrapText="1"/>
    </xf>
    <xf numFmtId="4" fontId="16" fillId="7" borderId="15" xfId="2" applyNumberFormat="1" applyFont="1" applyFill="1" applyBorder="1" applyAlignment="1">
      <alignment horizontal="center" vertical="center" wrapText="1"/>
    </xf>
    <xf numFmtId="4" fontId="16" fillId="0" borderId="15" xfId="2" applyNumberFormat="1" applyFont="1" applyBorder="1" applyAlignment="1">
      <alignment horizontal="center" vertical="center" wrapText="1"/>
    </xf>
    <xf numFmtId="4" fontId="16" fillId="0" borderId="15" xfId="0" applyNumberFormat="1" applyFont="1" applyBorder="1" applyAlignment="1">
      <alignment horizontal="center" vertical="center" wrapText="1"/>
    </xf>
    <xf numFmtId="4" fontId="0" fillId="0" borderId="16" xfId="0" applyNumberFormat="1" applyBorder="1" applyAlignment="1">
      <alignment horizontal="center"/>
    </xf>
    <xf numFmtId="4" fontId="1" fillId="0" borderId="2" xfId="2" applyNumberFormat="1" applyFont="1" applyBorder="1" applyAlignment="1">
      <alignment horizontal="center"/>
    </xf>
    <xf numFmtId="4" fontId="1" fillId="10" borderId="2" xfId="2" applyNumberFormat="1" applyFont="1" applyFill="1" applyBorder="1" applyAlignment="1">
      <alignment horizontal="center"/>
    </xf>
    <xf numFmtId="4" fontId="1" fillId="11" borderId="2" xfId="2" applyNumberFormat="1" applyFon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1" fillId="0" borderId="2" xfId="2" applyNumberFormat="1" applyBorder="1" applyAlignment="1">
      <alignment horizontal="center"/>
    </xf>
    <xf numFmtId="4" fontId="1" fillId="12" borderId="2" xfId="2" applyNumberFormat="1" applyFill="1" applyBorder="1" applyAlignment="1">
      <alignment horizontal="center"/>
    </xf>
    <xf numFmtId="4" fontId="1" fillId="0" borderId="17" xfId="2" applyNumberFormat="1" applyBorder="1" applyAlignment="1">
      <alignment horizontal="center"/>
    </xf>
    <xf numFmtId="4" fontId="1" fillId="12" borderId="17" xfId="2" applyNumberFormat="1" applyFill="1" applyBorder="1" applyAlignment="1">
      <alignment horizontal="center"/>
    </xf>
    <xf numFmtId="4" fontId="1" fillId="11" borderId="17" xfId="2" applyNumberFormat="1" applyFont="1" applyFill="1" applyBorder="1" applyAlignment="1">
      <alignment horizontal="center"/>
    </xf>
    <xf numFmtId="4" fontId="1" fillId="0" borderId="16" xfId="2" applyNumberFormat="1" applyFont="1" applyBorder="1" applyAlignment="1">
      <alignment horizontal="center"/>
    </xf>
    <xf numFmtId="4" fontId="1" fillId="10" borderId="16" xfId="2" applyNumberFormat="1" applyFont="1" applyFill="1" applyBorder="1" applyAlignment="1">
      <alignment horizontal="center"/>
    </xf>
    <xf numFmtId="4" fontId="1" fillId="11" borderId="16" xfId="2" applyNumberFormat="1" applyFont="1" applyFill="1" applyBorder="1" applyAlignment="1">
      <alignment horizontal="center"/>
    </xf>
    <xf numFmtId="4" fontId="1" fillId="0" borderId="17" xfId="2" applyNumberFormat="1" applyFont="1" applyBorder="1" applyAlignment="1">
      <alignment horizontal="center"/>
    </xf>
    <xf numFmtId="4" fontId="1" fillId="10" borderId="17" xfId="2" applyNumberFormat="1" applyFont="1" applyFill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4" fontId="1" fillId="0" borderId="16" xfId="2" applyNumberFormat="1" applyBorder="1" applyAlignment="1">
      <alignment horizontal="center"/>
    </xf>
    <xf numFmtId="4" fontId="1" fillId="12" borderId="16" xfId="2" applyNumberFormat="1" applyFill="1" applyBorder="1" applyAlignment="1">
      <alignment horizontal="center"/>
    </xf>
    <xf numFmtId="4" fontId="1" fillId="11" borderId="16" xfId="2" applyNumberFormat="1" applyFill="1" applyBorder="1" applyAlignment="1">
      <alignment horizontal="center"/>
    </xf>
    <xf numFmtId="4" fontId="1" fillId="11" borderId="2" xfId="2" applyNumberFormat="1" applyFill="1" applyBorder="1" applyAlignment="1">
      <alignment horizontal="center"/>
    </xf>
    <xf numFmtId="4" fontId="1" fillId="11" borderId="17" xfId="2" applyNumberFormat="1" applyFill="1" applyBorder="1" applyAlignment="1">
      <alignment horizontal="center"/>
    </xf>
    <xf numFmtId="0" fontId="35" fillId="0" borderId="0" xfId="0" applyFont="1" applyFill="1"/>
    <xf numFmtId="0" fontId="35" fillId="0" borderId="0" xfId="0" applyFont="1"/>
    <xf numFmtId="4" fontId="20" fillId="0" borderId="15" xfId="0" applyNumberFormat="1" applyFont="1" applyBorder="1" applyAlignment="1">
      <alignment horizontal="center" vertical="center" wrapText="1"/>
    </xf>
    <xf numFmtId="0" fontId="1" fillId="0" borderId="16" xfId="2" applyBorder="1" applyAlignment="1">
      <alignment horizontal="center"/>
    </xf>
    <xf numFmtId="0" fontId="1" fillId="0" borderId="2" xfId="2" applyFill="1" applyBorder="1" applyAlignment="1">
      <alignment horizontal="center"/>
    </xf>
    <xf numFmtId="0" fontId="1" fillId="0" borderId="17" xfId="2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0" fontId="36" fillId="0" borderId="0" xfId="0" applyFont="1"/>
    <xf numFmtId="4" fontId="4" fillId="11" borderId="0" xfId="0" applyNumberFormat="1" applyFont="1" applyFill="1" applyAlignment="1">
      <alignment horizontal="center"/>
    </xf>
    <xf numFmtId="4" fontId="4" fillId="0" borderId="0" xfId="0" applyNumberFormat="1" applyFont="1" applyFill="1" applyBorder="1" applyAlignment="1">
      <alignment horizontal="center"/>
    </xf>
    <xf numFmtId="0" fontId="0" fillId="0" borderId="0" xfId="0" applyBorder="1" applyAlignment="1"/>
    <xf numFmtId="0" fontId="35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0" fontId="35" fillId="0" borderId="18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1" fillId="0" borderId="0" xfId="2" applyAlignment="1">
      <alignment horizontal="center"/>
    </xf>
    <xf numFmtId="49" fontId="15" fillId="0" borderId="12" xfId="2" applyNumberFormat="1" applyFont="1" applyBorder="1" applyAlignment="1">
      <alignment horizontal="center"/>
    </xf>
    <xf numFmtId="49" fontId="15" fillId="0" borderId="13" xfId="2" applyNumberFormat="1" applyFont="1" applyBorder="1" applyAlignment="1">
      <alignment horizontal="center"/>
    </xf>
    <xf numFmtId="49" fontId="15" fillId="0" borderId="14" xfId="2" applyNumberFormat="1" applyFont="1" applyBorder="1" applyAlignment="1">
      <alignment horizontal="center"/>
    </xf>
    <xf numFmtId="0" fontId="29" fillId="2" borderId="10" xfId="1" applyFont="1" applyBorder="1" applyAlignment="1">
      <alignment horizontal="center" vertical="center"/>
    </xf>
    <xf numFmtId="0" fontId="29" fillId="2" borderId="11" xfId="1" applyFont="1" applyBorder="1" applyAlignment="1">
      <alignment horizontal="center" vertical="center"/>
    </xf>
    <xf numFmtId="0" fontId="29" fillId="2" borderId="30" xfId="1" applyFont="1" applyBorder="1" applyAlignment="1">
      <alignment horizontal="center" vertical="center"/>
    </xf>
    <xf numFmtId="0" fontId="29" fillId="2" borderId="22" xfId="1" applyFont="1" applyBorder="1" applyAlignment="1">
      <alignment horizontal="center" vertical="center"/>
    </xf>
    <xf numFmtId="9" fontId="31" fillId="0" borderId="22" xfId="0" applyNumberFormat="1" applyFont="1" applyFill="1" applyBorder="1" applyAlignment="1">
      <alignment horizontal="center" vertical="top" wrapText="1"/>
    </xf>
    <xf numFmtId="0" fontId="24" fillId="0" borderId="19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/>
    </xf>
    <xf numFmtId="0" fontId="31" fillId="0" borderId="27" xfId="0" applyFont="1" applyFill="1" applyBorder="1" applyAlignment="1">
      <alignment horizontal="center"/>
    </xf>
    <xf numFmtId="2" fontId="23" fillId="0" borderId="0" xfId="0" applyNumberFormat="1" applyFont="1" applyAlignment="1">
      <alignment vertical="center" wrapText="1"/>
    </xf>
    <xf numFmtId="0" fontId="23" fillId="0" borderId="0" xfId="0" applyFont="1" applyAlignment="1">
      <alignment horizontal="center" wrapText="1"/>
    </xf>
    <xf numFmtId="0" fontId="23" fillId="0" borderId="19" xfId="0" applyFont="1" applyFill="1" applyBorder="1" applyAlignment="1">
      <alignment horizontal="left"/>
    </xf>
    <xf numFmtId="0" fontId="24" fillId="0" borderId="19" xfId="0" applyFont="1" applyFill="1" applyBorder="1" applyAlignment="1">
      <alignment horizontal="left"/>
    </xf>
    <xf numFmtId="0" fontId="24" fillId="0" borderId="19" xfId="0" applyFont="1" applyFill="1" applyBorder="1" applyAlignment="1">
      <alignment horizontal="right"/>
    </xf>
    <xf numFmtId="0" fontId="28" fillId="0" borderId="0" xfId="0" applyFont="1" applyAlignment="1">
      <alignment horizontal="center"/>
    </xf>
    <xf numFmtId="0" fontId="23" fillId="0" borderId="19" xfId="0" applyFont="1" applyFill="1" applyBorder="1" applyAlignment="1">
      <alignment horizontal="center"/>
    </xf>
    <xf numFmtId="0" fontId="23" fillId="0" borderId="19" xfId="0" applyFont="1" applyFill="1" applyBorder="1"/>
    <xf numFmtId="0" fontId="31" fillId="0" borderId="19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8" fillId="0" borderId="21" xfId="0" applyFont="1" applyBorder="1" applyAlignment="1">
      <alignment horizontal="center"/>
    </xf>
    <xf numFmtId="4" fontId="4" fillId="0" borderId="4" xfId="0" applyNumberFormat="1" applyFont="1" applyFill="1" applyBorder="1" applyAlignment="1">
      <alignment horizontal="center" vertical="top"/>
    </xf>
    <xf numFmtId="0" fontId="10" fillId="0" borderId="4" xfId="0" applyFont="1" applyFill="1" applyBorder="1" applyAlignment="1"/>
    <xf numFmtId="4" fontId="0" fillId="0" borderId="0" xfId="0" applyNumberFormat="1" applyAlignment="1"/>
  </cellXfs>
  <cellStyles count="3">
    <cellStyle name="Correcto" xfId="1" builtinId="2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A7" workbookViewId="0">
      <selection activeCell="A18" sqref="A18:O21"/>
    </sheetView>
  </sheetViews>
  <sheetFormatPr defaultRowHeight="15" x14ac:dyDescent="0.25"/>
  <sheetData>
    <row r="1" spans="1:15" x14ac:dyDescent="0.25">
      <c r="A1" s="188" t="s">
        <v>315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</row>
    <row r="2" spans="1:15" x14ac:dyDescent="0.25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</row>
    <row r="3" spans="1:15" x14ac:dyDescent="0.25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</row>
    <row r="4" spans="1:1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7" spans="1:15" x14ac:dyDescent="0.25">
      <c r="A7" s="188" t="s">
        <v>316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</row>
    <row r="8" spans="1:1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</row>
    <row r="9" spans="1:1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</row>
    <row r="10" spans="1:1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</row>
    <row r="12" spans="1:15" ht="15" customHeight="1" x14ac:dyDescent="0.25">
      <c r="A12" s="188" t="s">
        <v>318</v>
      </c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41"/>
      <c r="O12" s="141"/>
    </row>
    <row r="13" spans="1:1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41"/>
      <c r="O13" s="141"/>
    </row>
    <row r="14" spans="1:15" x14ac:dyDescent="0.25">
      <c r="A14" s="141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</row>
    <row r="15" spans="1:15" x14ac:dyDescent="0.25">
      <c r="A15" s="141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</row>
    <row r="18" spans="1:15" ht="15" customHeight="1" x14ac:dyDescent="0.25">
      <c r="A18" s="188" t="s">
        <v>317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</row>
    <row r="19" spans="1:1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</row>
    <row r="20" spans="1:1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</row>
    <row r="21" spans="1:1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</row>
  </sheetData>
  <mergeCells count="4">
    <mergeCell ref="A1:O4"/>
    <mergeCell ref="A18:O21"/>
    <mergeCell ref="A7:O10"/>
    <mergeCell ref="A12:M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2"/>
  <sheetViews>
    <sheetView workbookViewId="0">
      <selection activeCell="N21" sqref="N21"/>
    </sheetView>
  </sheetViews>
  <sheetFormatPr defaultColWidth="7.42578125" defaultRowHeight="15" x14ac:dyDescent="0.25"/>
  <cols>
    <col min="1" max="1" width="1" customWidth="1"/>
    <col min="2" max="2" width="4.85546875" customWidth="1"/>
    <col min="3" max="4" width="9.140625" customWidth="1"/>
    <col min="5" max="5" width="10" customWidth="1"/>
    <col min="6" max="10" width="10.7109375" customWidth="1"/>
    <col min="11" max="252" width="9.140625" customWidth="1"/>
    <col min="253" max="253" width="1" customWidth="1"/>
    <col min="254" max="254" width="4.85546875" customWidth="1"/>
    <col min="255" max="255" width="12.5703125" customWidth="1"/>
  </cols>
  <sheetData>
    <row r="2" spans="2:13" x14ac:dyDescent="0.25">
      <c r="B2" s="191" t="s">
        <v>278</v>
      </c>
      <c r="C2" s="191"/>
      <c r="D2" s="191"/>
      <c r="E2" s="191"/>
      <c r="F2" s="191"/>
      <c r="G2" s="191"/>
      <c r="H2" s="191"/>
      <c r="I2" s="191"/>
    </row>
    <row r="3" spans="2:13" ht="15.75" thickBot="1" x14ac:dyDescent="0.3">
      <c r="B3" s="142"/>
      <c r="C3" s="142"/>
      <c r="D3" s="142"/>
      <c r="E3" s="142"/>
      <c r="F3" s="142"/>
      <c r="G3" s="142"/>
      <c r="H3" s="142"/>
      <c r="I3" s="143" t="s">
        <v>279</v>
      </c>
    </row>
    <row r="4" spans="2:13" ht="16.5" thickTop="1" thickBot="1" x14ac:dyDescent="0.3">
      <c r="B4" s="142"/>
      <c r="C4" s="192"/>
      <c r="D4" s="193"/>
      <c r="E4" s="193"/>
      <c r="F4" s="193"/>
      <c r="G4" s="193"/>
      <c r="H4" s="193"/>
      <c r="I4" s="194"/>
    </row>
    <row r="5" spans="2:13" ht="99.75" customHeight="1" thickTop="1" thickBot="1" x14ac:dyDescent="0.3">
      <c r="B5" s="144" t="s">
        <v>280</v>
      </c>
      <c r="C5" s="145" t="s">
        <v>281</v>
      </c>
      <c r="D5" s="146" t="s">
        <v>282</v>
      </c>
      <c r="E5" s="146" t="s">
        <v>283</v>
      </c>
      <c r="F5" s="146" t="s">
        <v>284</v>
      </c>
      <c r="G5" s="146" t="s">
        <v>285</v>
      </c>
      <c r="H5" s="146" t="s">
        <v>286</v>
      </c>
      <c r="I5" s="146" t="s">
        <v>287</v>
      </c>
      <c r="J5" s="147" t="s">
        <v>288</v>
      </c>
    </row>
    <row r="6" spans="2:13" ht="15.75" thickTop="1" x14ac:dyDescent="0.25">
      <c r="B6" s="172">
        <v>2013</v>
      </c>
      <c r="C6" s="158">
        <v>7931.01</v>
      </c>
      <c r="D6" s="158">
        <v>0</v>
      </c>
      <c r="E6" s="158">
        <f>C6+D6</f>
        <v>7931.01</v>
      </c>
      <c r="F6" s="158">
        <f>C6*0.2</f>
        <v>1586.2020000000002</v>
      </c>
      <c r="G6" s="158">
        <f>D6*0.75</f>
        <v>0</v>
      </c>
      <c r="H6" s="159"/>
      <c r="I6" s="160">
        <f>F6+G6</f>
        <v>1586.2020000000002</v>
      </c>
      <c r="J6" s="148">
        <f>I6/12</f>
        <v>132.18350000000001</v>
      </c>
      <c r="K6" s="189" t="s">
        <v>301</v>
      </c>
      <c r="L6" s="190"/>
    </row>
    <row r="7" spans="2:13" x14ac:dyDescent="0.25">
      <c r="B7" s="173">
        <v>2014</v>
      </c>
      <c r="C7" s="149">
        <v>23029.82</v>
      </c>
      <c r="D7" s="149">
        <v>0</v>
      </c>
      <c r="E7" s="149">
        <f>C7+D7</f>
        <v>23029.82</v>
      </c>
      <c r="F7" s="149">
        <f>C7*0.2</f>
        <v>4605.9639999999999</v>
      </c>
      <c r="G7" s="149">
        <f>D7*0.75</f>
        <v>0</v>
      </c>
      <c r="H7" s="150"/>
      <c r="I7" s="151">
        <f>F7+G7</f>
        <v>4605.9639999999999</v>
      </c>
      <c r="J7" s="152">
        <f>I7/12</f>
        <v>383.83033333333333</v>
      </c>
      <c r="K7" s="189"/>
      <c r="L7" s="190"/>
    </row>
    <row r="8" spans="2:13" ht="15.75" thickBot="1" x14ac:dyDescent="0.3">
      <c r="B8" s="174">
        <v>2015</v>
      </c>
      <c r="C8" s="161">
        <v>24327.69</v>
      </c>
      <c r="D8" s="161">
        <v>0</v>
      </c>
      <c r="E8" s="161">
        <f>C8+D8</f>
        <v>24327.69</v>
      </c>
      <c r="F8" s="161">
        <f>C8*0.2</f>
        <v>4865.5379999999996</v>
      </c>
      <c r="G8" s="161">
        <f>D8*0.75</f>
        <v>0</v>
      </c>
      <c r="H8" s="162"/>
      <c r="I8" s="157">
        <f>F8+G8</f>
        <v>4865.5379999999996</v>
      </c>
      <c r="J8" s="163">
        <f>I8/12</f>
        <v>405.46149999999994</v>
      </c>
      <c r="K8" s="189"/>
      <c r="L8" s="190"/>
    </row>
    <row r="9" spans="2:13" ht="15.75" thickTop="1" x14ac:dyDescent="0.25"/>
    <row r="11" spans="2:13" x14ac:dyDescent="0.25">
      <c r="B11" s="191" t="s">
        <v>289</v>
      </c>
      <c r="C11" s="191"/>
      <c r="D11" s="191"/>
      <c r="E11" s="191"/>
      <c r="F11" s="191"/>
      <c r="G11" s="191"/>
      <c r="H11" s="191"/>
      <c r="I11" s="191"/>
      <c r="J11" s="191"/>
    </row>
    <row r="12" spans="2:13" ht="15.75" thickBot="1" x14ac:dyDescent="0.3">
      <c r="B12" s="142"/>
      <c r="C12" s="142"/>
      <c r="D12" s="142"/>
      <c r="E12" s="142"/>
      <c r="F12" s="142"/>
      <c r="G12" s="142"/>
      <c r="H12" s="142"/>
      <c r="I12" s="142"/>
      <c r="J12" s="143" t="s">
        <v>279</v>
      </c>
    </row>
    <row r="13" spans="2:13" ht="16.5" thickTop="1" thickBot="1" x14ac:dyDescent="0.3">
      <c r="B13" s="142"/>
      <c r="C13" s="192"/>
      <c r="D13" s="193"/>
      <c r="E13" s="193"/>
      <c r="F13" s="193"/>
      <c r="G13" s="193"/>
      <c r="H13" s="193"/>
      <c r="I13" s="193"/>
      <c r="J13" s="194"/>
    </row>
    <row r="14" spans="2:13" ht="96" thickTop="1" thickBot="1" x14ac:dyDescent="0.3">
      <c r="B14" s="144" t="s">
        <v>280</v>
      </c>
      <c r="C14" s="145" t="s">
        <v>281</v>
      </c>
      <c r="D14" s="146" t="s">
        <v>282</v>
      </c>
      <c r="E14" s="146" t="s">
        <v>283</v>
      </c>
      <c r="F14" s="146" t="s">
        <v>284</v>
      </c>
      <c r="G14" s="146" t="s">
        <v>285</v>
      </c>
      <c r="H14" s="146" t="s">
        <v>286</v>
      </c>
      <c r="I14" s="146" t="s">
        <v>287</v>
      </c>
      <c r="J14" s="146" t="s">
        <v>290</v>
      </c>
      <c r="K14" s="171" t="s">
        <v>298</v>
      </c>
    </row>
    <row r="15" spans="2:13" ht="15.75" thickTop="1" x14ac:dyDescent="0.25">
      <c r="B15" s="172">
        <v>2013</v>
      </c>
      <c r="C15" s="164">
        <v>7931.01</v>
      </c>
      <c r="D15" s="164">
        <v>0</v>
      </c>
      <c r="E15" s="164">
        <f>C15+D15</f>
        <v>7931.01</v>
      </c>
      <c r="F15" s="164">
        <f>C15*0.2</f>
        <v>1586.2020000000002</v>
      </c>
      <c r="G15" s="164">
        <f>D15*0.75</f>
        <v>0</v>
      </c>
      <c r="H15" s="165"/>
      <c r="I15" s="164">
        <f>F15+G15</f>
        <v>1586.2020000000002</v>
      </c>
      <c r="J15" s="166">
        <v>5716.68</v>
      </c>
      <c r="K15" s="148">
        <f>J15/12</f>
        <v>476.39000000000004</v>
      </c>
      <c r="L15" s="189" t="s">
        <v>302</v>
      </c>
      <c r="M15" s="190"/>
    </row>
    <row r="16" spans="2:13" x14ac:dyDescent="0.25">
      <c r="B16" s="173">
        <v>2014</v>
      </c>
      <c r="C16" s="153">
        <v>23029.82</v>
      </c>
      <c r="D16" s="153">
        <v>0</v>
      </c>
      <c r="E16" s="153">
        <f>C16+D16</f>
        <v>23029.82</v>
      </c>
      <c r="F16" s="153">
        <f>C16*0.2</f>
        <v>4605.9639999999999</v>
      </c>
      <c r="G16" s="153">
        <f>D16*0.75</f>
        <v>0</v>
      </c>
      <c r="H16" s="154"/>
      <c r="I16" s="153">
        <f>F16+G16</f>
        <v>4605.9639999999999</v>
      </c>
      <c r="J16" s="167">
        <v>6295.66</v>
      </c>
      <c r="K16" s="152">
        <f>J16/12</f>
        <v>524.63833333333332</v>
      </c>
      <c r="L16" s="189"/>
      <c r="M16" s="190"/>
    </row>
    <row r="17" spans="2:13" ht="15.75" thickBot="1" x14ac:dyDescent="0.3">
      <c r="B17" s="174">
        <v>2015</v>
      </c>
      <c r="C17" s="155">
        <v>24327.69</v>
      </c>
      <c r="D17" s="155">
        <v>0</v>
      </c>
      <c r="E17" s="155">
        <f>C17+D17</f>
        <v>24327.69</v>
      </c>
      <c r="F17" s="155">
        <f>C17*0.2</f>
        <v>4865.5379999999996</v>
      </c>
      <c r="G17" s="155">
        <f>D17*0.75</f>
        <v>0</v>
      </c>
      <c r="H17" s="156"/>
      <c r="I17" s="155">
        <f>F17+G17</f>
        <v>4865.5379999999996</v>
      </c>
      <c r="J17" s="168">
        <v>7123.24</v>
      </c>
      <c r="K17" s="163">
        <f>J17/12</f>
        <v>593.60333333333335</v>
      </c>
      <c r="L17" s="189"/>
      <c r="M17" s="190"/>
    </row>
    <row r="18" spans="2:13" ht="15.75" thickTop="1" x14ac:dyDescent="0.25"/>
    <row r="19" spans="2:13" x14ac:dyDescent="0.25">
      <c r="B19" s="187" t="s">
        <v>299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</row>
    <row r="20" spans="2:13" x14ac:dyDescent="0.25">
      <c r="B20" s="187" t="s">
        <v>300</v>
      </c>
      <c r="C20" s="187"/>
      <c r="D20" s="187"/>
      <c r="E20" s="187"/>
      <c r="F20" s="187"/>
      <c r="G20" s="187"/>
      <c r="H20" s="187"/>
      <c r="I20" s="187"/>
      <c r="J20" s="187"/>
      <c r="K20" s="187"/>
      <c r="L20" s="187"/>
    </row>
    <row r="21" spans="2:13" x14ac:dyDescent="0.25">
      <c r="B21" s="187" t="s">
        <v>303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</row>
    <row r="22" spans="2:13" x14ac:dyDescent="0.25">
      <c r="B22" s="187" t="s">
        <v>304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</row>
  </sheetData>
  <mergeCells count="10">
    <mergeCell ref="B21:L21"/>
    <mergeCell ref="K6:L8"/>
    <mergeCell ref="L15:M17"/>
    <mergeCell ref="B22:L22"/>
    <mergeCell ref="B2:I2"/>
    <mergeCell ref="C4:I4"/>
    <mergeCell ref="B11:J11"/>
    <mergeCell ref="C13:J13"/>
    <mergeCell ref="B19:L19"/>
    <mergeCell ref="B20:L20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opLeftCell="A28" workbookViewId="0">
      <selection activeCell="K52" sqref="K52"/>
    </sheetView>
  </sheetViews>
  <sheetFormatPr defaultRowHeight="15" x14ac:dyDescent="0.25"/>
  <cols>
    <col min="1" max="1" width="29.85546875" bestFit="1" customWidth="1"/>
    <col min="4" max="4" width="11.5703125" customWidth="1"/>
    <col min="6" max="6" width="10.28515625" bestFit="1" customWidth="1"/>
    <col min="7" max="7" width="10.5703125" bestFit="1" customWidth="1"/>
    <col min="8" max="8" width="11" bestFit="1" customWidth="1"/>
    <col min="11" max="11" width="29.85546875" bestFit="1" customWidth="1"/>
  </cols>
  <sheetData>
    <row r="1" spans="1:18" x14ac:dyDescent="0.25">
      <c r="A1" s="195" t="s">
        <v>185</v>
      </c>
      <c r="B1" s="196"/>
      <c r="C1" s="196"/>
      <c r="D1" s="196"/>
      <c r="E1" s="196"/>
      <c r="F1" s="196"/>
      <c r="G1" s="195"/>
      <c r="H1" s="67"/>
      <c r="I1" s="68"/>
      <c r="J1" s="69"/>
      <c r="K1" s="195" t="s">
        <v>186</v>
      </c>
      <c r="L1" s="196"/>
      <c r="M1" s="196"/>
      <c r="N1" s="196"/>
      <c r="O1" s="196"/>
      <c r="P1" s="196"/>
      <c r="Q1" s="199" t="s">
        <v>187</v>
      </c>
      <c r="R1" s="199"/>
    </row>
    <row r="2" spans="1:18" x14ac:dyDescent="0.25">
      <c r="A2" s="197"/>
      <c r="B2" s="198"/>
      <c r="C2" s="198"/>
      <c r="D2" s="198"/>
      <c r="E2" s="198"/>
      <c r="F2" s="198"/>
      <c r="G2" s="197"/>
      <c r="H2" s="70" t="s">
        <v>188</v>
      </c>
      <c r="I2" s="68"/>
      <c r="J2" s="69"/>
      <c r="K2" s="197"/>
      <c r="L2" s="198"/>
      <c r="M2" s="198"/>
      <c r="N2" s="198"/>
      <c r="O2" s="198"/>
      <c r="P2" s="198"/>
      <c r="Q2" s="199"/>
      <c r="R2" s="199"/>
    </row>
    <row r="3" spans="1:18" x14ac:dyDescent="0.25">
      <c r="A3" s="200" t="s">
        <v>189</v>
      </c>
      <c r="B3" s="200" t="s">
        <v>190</v>
      </c>
      <c r="C3" s="201" t="s">
        <v>191</v>
      </c>
      <c r="D3" s="201"/>
      <c r="E3" s="201">
        <v>2014</v>
      </c>
      <c r="F3" s="201"/>
      <c r="G3" s="201">
        <v>2015</v>
      </c>
      <c r="H3" s="201"/>
      <c r="I3" s="71"/>
      <c r="J3" s="69"/>
      <c r="K3" s="200" t="s">
        <v>189</v>
      </c>
      <c r="L3" s="200" t="s">
        <v>190</v>
      </c>
      <c r="M3" s="201" t="s">
        <v>192</v>
      </c>
      <c r="N3" s="201"/>
      <c r="O3" s="201">
        <v>2014</v>
      </c>
      <c r="P3" s="201"/>
      <c r="Q3" s="201">
        <v>2015</v>
      </c>
      <c r="R3" s="201"/>
    </row>
    <row r="4" spans="1:18" x14ac:dyDescent="0.25">
      <c r="A4" s="200"/>
      <c r="B4" s="200"/>
      <c r="C4" s="72" t="s">
        <v>193</v>
      </c>
      <c r="D4" s="72" t="s">
        <v>174</v>
      </c>
      <c r="E4" s="72" t="s">
        <v>193</v>
      </c>
      <c r="F4" s="72" t="s">
        <v>174</v>
      </c>
      <c r="G4" s="72" t="s">
        <v>193</v>
      </c>
      <c r="H4" s="72" t="s">
        <v>174</v>
      </c>
      <c r="I4" s="73"/>
      <c r="J4" s="69"/>
      <c r="K4" s="200"/>
      <c r="L4" s="200"/>
      <c r="M4" s="72" t="s">
        <v>193</v>
      </c>
      <c r="N4" s="72" t="s">
        <v>174</v>
      </c>
      <c r="O4" s="72" t="s">
        <v>193</v>
      </c>
      <c r="P4" s="72" t="s">
        <v>174</v>
      </c>
      <c r="Q4" s="72" t="s">
        <v>193</v>
      </c>
      <c r="R4" s="72" t="s">
        <v>174</v>
      </c>
    </row>
    <row r="5" spans="1:18" x14ac:dyDescent="0.25">
      <c r="A5" s="3" t="s">
        <v>221</v>
      </c>
      <c r="B5" s="74">
        <v>1</v>
      </c>
      <c r="C5" s="75">
        <f t="shared" ref="C5:C10" si="0">(B37/2)+B37*4</f>
        <v>67.5</v>
      </c>
      <c r="D5" s="76">
        <f t="shared" ref="D5:D12" si="1">C5*C37</f>
        <v>3118.5</v>
      </c>
      <c r="E5" s="77">
        <f>E37*1.05</f>
        <v>189</v>
      </c>
      <c r="F5" s="76">
        <f t="shared" ref="F5:F12" si="2">E5*C37</f>
        <v>8731.8000000000011</v>
      </c>
      <c r="G5" s="78">
        <f t="shared" ref="G5:G10" si="3">E5*1.05</f>
        <v>198.45000000000002</v>
      </c>
      <c r="H5" s="76">
        <f t="shared" ref="H5:H12" si="4">G5*C37</f>
        <v>9168.3900000000012</v>
      </c>
      <c r="I5" s="69"/>
      <c r="J5" s="69"/>
      <c r="K5" s="3" t="s">
        <v>194</v>
      </c>
      <c r="L5" s="79">
        <v>1</v>
      </c>
      <c r="M5" s="75">
        <f t="shared" ref="M5:M14" si="5">C5</f>
        <v>67.5</v>
      </c>
      <c r="N5" s="80">
        <f t="shared" ref="N5:N14" si="6">M5*M29</f>
        <v>1038.1500000000001</v>
      </c>
      <c r="O5" s="81">
        <f t="shared" ref="O5:O12" si="7">E5</f>
        <v>189</v>
      </c>
      <c r="P5" s="80">
        <f t="shared" ref="P5:P14" si="8">(O5*M29)</f>
        <v>2906.82</v>
      </c>
      <c r="Q5" s="82">
        <f t="shared" ref="Q5:Q14" si="9">O5*1.05</f>
        <v>198.45000000000002</v>
      </c>
      <c r="R5" s="80">
        <f t="shared" ref="R5:R14" si="10">Q5*M29</f>
        <v>3052.1610000000005</v>
      </c>
    </row>
    <row r="6" spans="1:18" x14ac:dyDescent="0.25">
      <c r="A6" s="3" t="s">
        <v>195</v>
      </c>
      <c r="B6" s="74">
        <v>1</v>
      </c>
      <c r="C6" s="75">
        <f t="shared" si="0"/>
        <v>67.5</v>
      </c>
      <c r="D6" s="76">
        <f t="shared" si="1"/>
        <v>1317.8143125000001</v>
      </c>
      <c r="E6" s="77">
        <f>E38*1.05</f>
        <v>189</v>
      </c>
      <c r="F6" s="76">
        <f t="shared" si="2"/>
        <v>3689.8800750000005</v>
      </c>
      <c r="G6" s="78">
        <f t="shared" si="3"/>
        <v>198.45000000000002</v>
      </c>
      <c r="H6" s="76">
        <f t="shared" si="4"/>
        <v>3874.3740787500005</v>
      </c>
      <c r="I6" s="69"/>
      <c r="J6" s="69"/>
      <c r="K6" s="3" t="s">
        <v>195</v>
      </c>
      <c r="L6" s="79">
        <v>1</v>
      </c>
      <c r="M6" s="75">
        <f t="shared" si="5"/>
        <v>67.5</v>
      </c>
      <c r="N6" s="80">
        <f t="shared" si="6"/>
        <v>612.22500000000002</v>
      </c>
      <c r="O6" s="81">
        <f t="shared" si="7"/>
        <v>189</v>
      </c>
      <c r="P6" s="80">
        <f t="shared" si="8"/>
        <v>1714.23</v>
      </c>
      <c r="Q6" s="82">
        <f t="shared" si="9"/>
        <v>198.45000000000002</v>
      </c>
      <c r="R6" s="80">
        <f t="shared" si="10"/>
        <v>1799.9415000000001</v>
      </c>
    </row>
    <row r="7" spans="1:18" x14ac:dyDescent="0.25">
      <c r="A7" s="3" t="s">
        <v>196</v>
      </c>
      <c r="B7" s="74">
        <v>1</v>
      </c>
      <c r="C7" s="75">
        <f t="shared" si="0"/>
        <v>135</v>
      </c>
      <c r="D7" s="76">
        <f t="shared" si="1"/>
        <v>1598.2312499999998</v>
      </c>
      <c r="E7" s="77">
        <f>SUM(E39:F39)*1.05</f>
        <v>441</v>
      </c>
      <c r="F7" s="76">
        <f t="shared" si="2"/>
        <v>5220.8887500000001</v>
      </c>
      <c r="G7" s="78">
        <f t="shared" si="3"/>
        <v>463.05</v>
      </c>
      <c r="H7" s="76">
        <f t="shared" si="4"/>
        <v>5481.9331874999998</v>
      </c>
      <c r="I7" s="69"/>
      <c r="J7" s="69"/>
      <c r="K7" s="3" t="s">
        <v>197</v>
      </c>
      <c r="L7" s="79">
        <v>1</v>
      </c>
      <c r="M7" s="75">
        <f t="shared" si="5"/>
        <v>135</v>
      </c>
      <c r="N7" s="80">
        <f t="shared" si="6"/>
        <v>742.5</v>
      </c>
      <c r="O7" s="81">
        <f t="shared" si="7"/>
        <v>441</v>
      </c>
      <c r="P7" s="80">
        <f t="shared" si="8"/>
        <v>2425.5</v>
      </c>
      <c r="Q7" s="82">
        <f t="shared" si="9"/>
        <v>463.05</v>
      </c>
      <c r="R7" s="80">
        <f t="shared" si="10"/>
        <v>2546.7750000000001</v>
      </c>
    </row>
    <row r="8" spans="1:18" x14ac:dyDescent="0.25">
      <c r="A8" s="3" t="s">
        <v>198</v>
      </c>
      <c r="B8" s="74">
        <v>1</v>
      </c>
      <c r="C8" s="75">
        <f t="shared" si="0"/>
        <v>27</v>
      </c>
      <c r="D8" s="76">
        <f t="shared" si="1"/>
        <v>232.46999999999997</v>
      </c>
      <c r="E8" s="77">
        <f>E40*1.05</f>
        <v>75.600000000000009</v>
      </c>
      <c r="F8" s="76">
        <f t="shared" si="2"/>
        <v>650.91600000000005</v>
      </c>
      <c r="G8" s="78">
        <f t="shared" si="3"/>
        <v>79.38000000000001</v>
      </c>
      <c r="H8" s="76">
        <f t="shared" si="4"/>
        <v>683.46180000000004</v>
      </c>
      <c r="I8" s="69"/>
      <c r="J8" s="69"/>
      <c r="K8" s="3" t="s">
        <v>199</v>
      </c>
      <c r="L8" s="79">
        <v>1</v>
      </c>
      <c r="M8" s="75">
        <f t="shared" si="5"/>
        <v>27</v>
      </c>
      <c r="N8" s="80">
        <f t="shared" si="6"/>
        <v>108</v>
      </c>
      <c r="O8" s="81">
        <f t="shared" si="7"/>
        <v>75.600000000000009</v>
      </c>
      <c r="P8" s="80">
        <f t="shared" si="8"/>
        <v>302.40000000000003</v>
      </c>
      <c r="Q8" s="82">
        <f t="shared" si="9"/>
        <v>79.38000000000001</v>
      </c>
      <c r="R8" s="80">
        <f t="shared" si="10"/>
        <v>317.52000000000004</v>
      </c>
    </row>
    <row r="9" spans="1:18" x14ac:dyDescent="0.25">
      <c r="A9" s="3" t="s">
        <v>200</v>
      </c>
      <c r="B9" s="74">
        <v>1</v>
      </c>
      <c r="C9" s="75">
        <f t="shared" si="0"/>
        <v>45</v>
      </c>
      <c r="D9" s="76">
        <f t="shared" si="1"/>
        <v>387.45</v>
      </c>
      <c r="E9" s="77">
        <f>E41*1.05</f>
        <v>126</v>
      </c>
      <c r="F9" s="76">
        <f t="shared" si="2"/>
        <v>1084.8599999999999</v>
      </c>
      <c r="G9" s="78">
        <f t="shared" si="3"/>
        <v>132.30000000000001</v>
      </c>
      <c r="H9" s="76">
        <f t="shared" si="4"/>
        <v>1139.1030000000001</v>
      </c>
      <c r="I9" s="69"/>
      <c r="J9" s="69"/>
      <c r="K9" s="3" t="s">
        <v>201</v>
      </c>
      <c r="L9" s="79">
        <v>1</v>
      </c>
      <c r="M9" s="75">
        <f t="shared" si="5"/>
        <v>45</v>
      </c>
      <c r="N9" s="80">
        <f t="shared" si="6"/>
        <v>180</v>
      </c>
      <c r="O9" s="81">
        <f t="shared" si="7"/>
        <v>126</v>
      </c>
      <c r="P9" s="80">
        <f t="shared" si="8"/>
        <v>504</v>
      </c>
      <c r="Q9" s="82">
        <f t="shared" si="9"/>
        <v>132.30000000000001</v>
      </c>
      <c r="R9" s="80">
        <f t="shared" si="10"/>
        <v>529.20000000000005</v>
      </c>
    </row>
    <row r="10" spans="1:18" x14ac:dyDescent="0.25">
      <c r="A10" s="3" t="s">
        <v>202</v>
      </c>
      <c r="B10" s="74">
        <v>1</v>
      </c>
      <c r="C10" s="75">
        <f t="shared" si="0"/>
        <v>67.5</v>
      </c>
      <c r="D10" s="76">
        <f t="shared" si="1"/>
        <v>799.11562499999991</v>
      </c>
      <c r="E10" s="77">
        <f>SUM(E42:F42)*1.05</f>
        <v>220.5</v>
      </c>
      <c r="F10" s="76">
        <f t="shared" si="2"/>
        <v>2610.444375</v>
      </c>
      <c r="G10" s="78">
        <f t="shared" si="3"/>
        <v>231.52500000000001</v>
      </c>
      <c r="H10" s="76">
        <f t="shared" si="4"/>
        <v>2740.9665937499999</v>
      </c>
      <c r="I10" s="69"/>
      <c r="J10" s="69"/>
      <c r="K10" s="3" t="s">
        <v>203</v>
      </c>
      <c r="L10" s="79">
        <v>1</v>
      </c>
      <c r="M10" s="75">
        <f t="shared" si="5"/>
        <v>67.5</v>
      </c>
      <c r="N10" s="80">
        <f t="shared" si="6"/>
        <v>371.25</v>
      </c>
      <c r="O10" s="81">
        <f t="shared" si="7"/>
        <v>220.5</v>
      </c>
      <c r="P10" s="80">
        <f t="shared" si="8"/>
        <v>1212.75</v>
      </c>
      <c r="Q10" s="82">
        <f t="shared" si="9"/>
        <v>231.52500000000001</v>
      </c>
      <c r="R10" s="80">
        <f t="shared" si="10"/>
        <v>1273.3875</v>
      </c>
    </row>
    <row r="11" spans="1:18" x14ac:dyDescent="0.25">
      <c r="A11" s="3" t="s">
        <v>222</v>
      </c>
      <c r="B11" s="74">
        <v>1</v>
      </c>
      <c r="C11" s="75">
        <v>1</v>
      </c>
      <c r="D11" s="76">
        <f t="shared" si="1"/>
        <v>118.38750000000002</v>
      </c>
      <c r="E11" s="77">
        <v>4</v>
      </c>
      <c r="F11" s="76">
        <f t="shared" si="2"/>
        <v>473.55000000000007</v>
      </c>
      <c r="G11" s="78">
        <v>5</v>
      </c>
      <c r="H11" s="76">
        <f t="shared" si="4"/>
        <v>591.93750000000011</v>
      </c>
      <c r="I11" s="69"/>
      <c r="J11" s="69"/>
      <c r="K11" s="3" t="s">
        <v>222</v>
      </c>
      <c r="L11" s="79">
        <v>1</v>
      </c>
      <c r="M11" s="75">
        <f t="shared" si="5"/>
        <v>1</v>
      </c>
      <c r="N11" s="80">
        <f t="shared" si="6"/>
        <v>55</v>
      </c>
      <c r="O11" s="81">
        <f t="shared" si="7"/>
        <v>4</v>
      </c>
      <c r="P11" s="80">
        <f t="shared" si="8"/>
        <v>220</v>
      </c>
      <c r="Q11" s="82">
        <f t="shared" si="9"/>
        <v>4.2</v>
      </c>
      <c r="R11" s="80">
        <f t="shared" si="10"/>
        <v>231</v>
      </c>
    </row>
    <row r="12" spans="1:18" x14ac:dyDescent="0.25">
      <c r="A12" s="3" t="s">
        <v>220</v>
      </c>
      <c r="B12" s="74">
        <v>1</v>
      </c>
      <c r="C12" s="75">
        <v>1</v>
      </c>
      <c r="D12" s="76">
        <f t="shared" si="1"/>
        <v>64.575000000000003</v>
      </c>
      <c r="E12" s="77">
        <v>4</v>
      </c>
      <c r="F12" s="76">
        <f t="shared" si="2"/>
        <v>258.3</v>
      </c>
      <c r="G12" s="78">
        <v>5</v>
      </c>
      <c r="H12" s="76">
        <f t="shared" si="4"/>
        <v>322.875</v>
      </c>
      <c r="I12" s="69"/>
      <c r="J12" s="69"/>
      <c r="K12" s="3" t="s">
        <v>220</v>
      </c>
      <c r="L12" s="79">
        <v>1</v>
      </c>
      <c r="M12" s="75">
        <f t="shared" si="5"/>
        <v>1</v>
      </c>
      <c r="N12" s="80">
        <f t="shared" si="6"/>
        <v>30</v>
      </c>
      <c r="O12" s="81">
        <f t="shared" si="7"/>
        <v>4</v>
      </c>
      <c r="P12" s="80">
        <f t="shared" si="8"/>
        <v>120</v>
      </c>
      <c r="Q12" s="82">
        <f t="shared" si="9"/>
        <v>4.2</v>
      </c>
      <c r="R12" s="80">
        <f t="shared" si="10"/>
        <v>126</v>
      </c>
    </row>
    <row r="13" spans="1:18" x14ac:dyDescent="0.25">
      <c r="A13" s="83" t="s">
        <v>205</v>
      </c>
      <c r="B13" s="74">
        <v>1</v>
      </c>
      <c r="C13" s="75">
        <f>(B45/2)+B45*4</f>
        <v>36</v>
      </c>
      <c r="D13" s="3">
        <f>C13*C45</f>
        <v>154.97999999999999</v>
      </c>
      <c r="E13" s="74">
        <f>C13*1.05</f>
        <v>37.800000000000004</v>
      </c>
      <c r="F13" s="3">
        <f>E13*C45</f>
        <v>162.72900000000001</v>
      </c>
      <c r="G13" s="74">
        <f>E13*1.05</f>
        <v>39.690000000000005</v>
      </c>
      <c r="H13" s="3">
        <f>G13*C45</f>
        <v>170.86545000000001</v>
      </c>
      <c r="I13" s="69"/>
      <c r="J13" s="69"/>
      <c r="K13" s="83" t="s">
        <v>205</v>
      </c>
      <c r="L13" s="74">
        <v>1</v>
      </c>
      <c r="M13" s="75">
        <f t="shared" si="5"/>
        <v>36</v>
      </c>
      <c r="N13" s="80">
        <f t="shared" si="6"/>
        <v>72</v>
      </c>
      <c r="O13" s="81">
        <f>O37+P37</f>
        <v>100</v>
      </c>
      <c r="P13" s="80">
        <f t="shared" si="8"/>
        <v>200</v>
      </c>
      <c r="Q13" s="82">
        <f t="shared" si="9"/>
        <v>105</v>
      </c>
      <c r="R13" s="80">
        <f t="shared" si="10"/>
        <v>210</v>
      </c>
    </row>
    <row r="14" spans="1:18" x14ac:dyDescent="0.25">
      <c r="A14" s="83" t="s">
        <v>206</v>
      </c>
      <c r="B14" s="74">
        <v>1</v>
      </c>
      <c r="C14" s="75">
        <f>(B46/2)+B46*4</f>
        <v>36</v>
      </c>
      <c r="D14" s="3">
        <f>C14*C46</f>
        <v>139.482</v>
      </c>
      <c r="E14" s="74">
        <f>C14*1.05</f>
        <v>37.800000000000004</v>
      </c>
      <c r="F14" s="3">
        <f>E14*C46</f>
        <v>146.45610000000002</v>
      </c>
      <c r="G14" s="74">
        <f>E14*1.05</f>
        <v>39.690000000000005</v>
      </c>
      <c r="H14" s="3">
        <f>G14*C46</f>
        <v>153.77890500000001</v>
      </c>
      <c r="I14" s="69"/>
      <c r="J14" s="69"/>
      <c r="K14" s="83" t="s">
        <v>206</v>
      </c>
      <c r="L14" s="74">
        <v>1</v>
      </c>
      <c r="M14" s="75">
        <f t="shared" si="5"/>
        <v>36</v>
      </c>
      <c r="N14" s="80">
        <f t="shared" si="6"/>
        <v>64.8</v>
      </c>
      <c r="O14" s="81">
        <f>O38+P38</f>
        <v>100</v>
      </c>
      <c r="P14" s="80">
        <f t="shared" si="8"/>
        <v>180</v>
      </c>
      <c r="Q14" s="82">
        <f t="shared" si="9"/>
        <v>105</v>
      </c>
      <c r="R14" s="80">
        <f t="shared" si="10"/>
        <v>189</v>
      </c>
    </row>
    <row r="15" spans="1:18" x14ac:dyDescent="0.25">
      <c r="A15" s="3"/>
      <c r="B15" s="3"/>
      <c r="C15" s="3"/>
      <c r="D15" s="3"/>
      <c r="E15" s="3"/>
      <c r="F15" s="3"/>
      <c r="G15" s="3"/>
      <c r="H15" s="3"/>
      <c r="I15" s="69"/>
      <c r="J15" s="69"/>
      <c r="K15" s="3"/>
      <c r="L15" s="3"/>
      <c r="M15" s="3"/>
      <c r="N15" s="3"/>
      <c r="O15" s="3"/>
      <c r="P15" s="3"/>
      <c r="Q15" s="3"/>
      <c r="R15" s="3"/>
    </row>
    <row r="16" spans="1:18" x14ac:dyDescent="0.25">
      <c r="A16" s="3"/>
      <c r="B16" s="3"/>
      <c r="C16" s="3"/>
      <c r="D16" s="3"/>
      <c r="E16" s="3"/>
      <c r="F16" s="3"/>
      <c r="G16" s="3"/>
      <c r="H16" s="3"/>
      <c r="I16" s="69"/>
      <c r="J16" s="69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3"/>
      <c r="B17" s="3"/>
      <c r="C17" s="3"/>
      <c r="D17" s="3"/>
      <c r="E17" s="3"/>
      <c r="F17" s="3"/>
      <c r="G17" s="3"/>
      <c r="H17" s="3"/>
      <c r="I17" s="69"/>
      <c r="J17" s="69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/>
      <c r="B18" s="3"/>
      <c r="C18" s="3"/>
      <c r="D18" s="3"/>
      <c r="E18" s="3"/>
      <c r="F18" s="3"/>
      <c r="G18" s="3"/>
      <c r="H18" s="3"/>
      <c r="I18" s="69"/>
      <c r="J18" s="69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69" t="s">
        <v>18</v>
      </c>
      <c r="B19" s="69"/>
      <c r="C19" s="84">
        <f t="shared" ref="C19:H19" si="11">SUM(C5:C14)</f>
        <v>483.5</v>
      </c>
      <c r="D19" s="85">
        <f t="shared" si="11"/>
        <v>7931.0056874999991</v>
      </c>
      <c r="E19" s="86">
        <f t="shared" si="11"/>
        <v>1324.6999999999998</v>
      </c>
      <c r="F19" s="87">
        <f t="shared" si="11"/>
        <v>23029.8243</v>
      </c>
      <c r="G19" s="88">
        <f t="shared" si="11"/>
        <v>1392.5350000000003</v>
      </c>
      <c r="H19" s="87">
        <f t="shared" si="11"/>
        <v>24327.685515000001</v>
      </c>
      <c r="I19" s="89"/>
      <c r="J19" s="69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3"/>
      <c r="L20" s="3"/>
      <c r="M20" s="3"/>
      <c r="N20" s="3"/>
      <c r="O20" s="3"/>
      <c r="P20" s="3"/>
      <c r="Q20" s="3"/>
      <c r="R20" s="3"/>
    </row>
    <row r="21" spans="1:18" ht="11.25" customHeight="1" x14ac:dyDescent="0.2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204" t="s">
        <v>207</v>
      </c>
      <c r="B22" s="204"/>
      <c r="C22" s="204"/>
      <c r="D22" s="204"/>
      <c r="E22" s="69"/>
      <c r="F22" s="69"/>
      <c r="G22" s="69"/>
      <c r="H22" s="69"/>
      <c r="I22" s="69"/>
      <c r="J22" s="69"/>
      <c r="K22" s="3"/>
      <c r="L22" s="3"/>
      <c r="M22" s="3"/>
      <c r="N22" s="3"/>
      <c r="O22" s="3"/>
      <c r="P22" s="3"/>
      <c r="Q22" s="3"/>
      <c r="R22" s="3"/>
    </row>
    <row r="23" spans="1:18" ht="33" customHeight="1" x14ac:dyDescent="0.25">
      <c r="A23" s="204"/>
      <c r="B23" s="204"/>
      <c r="C23" s="204"/>
      <c r="D23" s="204"/>
      <c r="E23" s="69"/>
      <c r="F23" s="69"/>
      <c r="G23" s="69"/>
      <c r="H23" s="69"/>
      <c r="I23" s="69"/>
      <c r="J23" s="69"/>
      <c r="K23" s="3"/>
      <c r="L23" s="3"/>
      <c r="M23" s="3"/>
      <c r="N23" s="3"/>
      <c r="O23" s="3"/>
      <c r="P23" s="3"/>
      <c r="Q23" s="3"/>
      <c r="R23" s="3"/>
    </row>
    <row r="24" spans="1:18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3"/>
      <c r="L24" s="3"/>
      <c r="M24" s="3"/>
      <c r="N24" s="3"/>
      <c r="O24" s="3"/>
      <c r="P24" s="3"/>
      <c r="Q24" s="3"/>
      <c r="R24" s="3"/>
    </row>
    <row r="25" spans="1:18" x14ac:dyDescent="0.25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90" t="s">
        <v>18</v>
      </c>
      <c r="L25" s="3"/>
      <c r="M25" s="91">
        <f>SUM(M5:M13)</f>
        <v>447.5</v>
      </c>
      <c r="N25" s="92">
        <f>SUM(N5:N12)</f>
        <v>3137.125</v>
      </c>
      <c r="O25" s="93">
        <f>SUM(O5:O14)</f>
        <v>1449.1</v>
      </c>
      <c r="P25" s="92">
        <f>SUM(P5:P12)</f>
        <v>9405.7000000000007</v>
      </c>
      <c r="Q25" s="93">
        <f>SUM(Q5:Q14)</f>
        <v>1521.5550000000003</v>
      </c>
      <c r="R25" s="92">
        <f>SUM(R5:R12)</f>
        <v>9875.9850000000024</v>
      </c>
    </row>
    <row r="26" spans="1:18" x14ac:dyDescent="0.25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</row>
    <row r="27" spans="1:18" x14ac:dyDescent="0.25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202" t="s">
        <v>208</v>
      </c>
      <c r="L27" s="202"/>
      <c r="M27" s="202"/>
      <c r="N27" s="202"/>
      <c r="O27" s="202"/>
      <c r="P27" s="202"/>
      <c r="Q27" s="202"/>
      <c r="R27" s="69"/>
    </row>
    <row r="28" spans="1:18" x14ac:dyDescent="0.25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94" t="s">
        <v>209</v>
      </c>
      <c r="L28" s="94" t="s">
        <v>210</v>
      </c>
      <c r="M28" s="95" t="s">
        <v>211</v>
      </c>
      <c r="N28" s="96" t="s">
        <v>212</v>
      </c>
      <c r="O28" s="97" t="s">
        <v>213</v>
      </c>
      <c r="P28" s="98" t="s">
        <v>214</v>
      </c>
      <c r="Q28" s="97" t="s">
        <v>215</v>
      </c>
      <c r="R28" s="69"/>
    </row>
    <row r="29" spans="1:18" x14ac:dyDescent="0.25">
      <c r="A29" s="69"/>
      <c r="B29" s="69"/>
      <c r="C29" s="69"/>
      <c r="D29" s="69"/>
      <c r="E29" s="69"/>
      <c r="F29" s="69"/>
      <c r="G29" s="69"/>
      <c r="H29" s="69"/>
      <c r="I29" s="69"/>
      <c r="J29" s="99"/>
      <c r="K29" s="100" t="s">
        <v>194</v>
      </c>
      <c r="L29" s="101">
        <v>15</v>
      </c>
      <c r="M29" s="102">
        <v>15.38</v>
      </c>
      <c r="N29" s="102">
        <f t="shared" ref="N29:N36" si="12">L29*M29</f>
        <v>230.70000000000002</v>
      </c>
      <c r="O29" s="103">
        <f t="shared" ref="O29:O34" si="13">L29*12</f>
        <v>180</v>
      </c>
      <c r="P29" s="104"/>
      <c r="Q29" s="105">
        <f>O29*M29</f>
        <v>2768.4</v>
      </c>
      <c r="R29" s="69"/>
    </row>
    <row r="30" spans="1:18" x14ac:dyDescent="0.25">
      <c r="A30" s="69"/>
      <c r="B30" s="69"/>
      <c r="C30" s="69"/>
      <c r="D30" s="69"/>
      <c r="E30" s="69"/>
      <c r="F30" s="69"/>
      <c r="G30" s="69"/>
      <c r="H30" s="69"/>
      <c r="I30" s="69"/>
      <c r="J30" s="99"/>
      <c r="K30" s="100" t="s">
        <v>195</v>
      </c>
      <c r="L30" s="101">
        <v>15</v>
      </c>
      <c r="M30" s="102">
        <v>9.07</v>
      </c>
      <c r="N30" s="102">
        <f t="shared" si="12"/>
        <v>136.05000000000001</v>
      </c>
      <c r="O30" s="103">
        <f t="shared" si="13"/>
        <v>180</v>
      </c>
      <c r="P30" s="104"/>
      <c r="Q30" s="105">
        <f>O30*M30</f>
        <v>1632.6000000000001</v>
      </c>
      <c r="R30" s="69"/>
    </row>
    <row r="31" spans="1:18" x14ac:dyDescent="0.25">
      <c r="A31" s="69"/>
      <c r="B31" s="69"/>
      <c r="C31" s="69"/>
      <c r="D31" s="69"/>
      <c r="E31" s="69"/>
      <c r="F31" s="69"/>
      <c r="G31" s="69"/>
      <c r="H31" s="69"/>
      <c r="I31" s="69"/>
      <c r="J31" s="99"/>
      <c r="K31" s="100" t="s">
        <v>197</v>
      </c>
      <c r="L31" s="101">
        <v>30</v>
      </c>
      <c r="M31" s="102">
        <v>5.5</v>
      </c>
      <c r="N31" s="102">
        <f t="shared" si="12"/>
        <v>165</v>
      </c>
      <c r="O31" s="103">
        <f t="shared" si="13"/>
        <v>360</v>
      </c>
      <c r="P31" s="104">
        <v>30</v>
      </c>
      <c r="Q31" s="105">
        <f>(O31+P31)*M31</f>
        <v>2145</v>
      </c>
      <c r="R31" s="69"/>
    </row>
    <row r="32" spans="1:18" x14ac:dyDescent="0.25">
      <c r="A32" s="69"/>
      <c r="B32" s="69"/>
      <c r="C32" s="69"/>
      <c r="D32" s="69"/>
      <c r="E32" s="69"/>
      <c r="F32" s="69"/>
      <c r="G32" s="69"/>
      <c r="H32" s="69"/>
      <c r="I32" s="69"/>
      <c r="J32" s="99"/>
      <c r="K32" s="100" t="s">
        <v>199</v>
      </c>
      <c r="L32" s="101">
        <v>6</v>
      </c>
      <c r="M32" s="102">
        <v>4</v>
      </c>
      <c r="N32" s="102">
        <f t="shared" si="12"/>
        <v>24</v>
      </c>
      <c r="O32" s="103">
        <f t="shared" si="13"/>
        <v>72</v>
      </c>
      <c r="P32" s="104"/>
      <c r="Q32" s="105">
        <f>N32*12</f>
        <v>288</v>
      </c>
      <c r="R32" s="69"/>
    </row>
    <row r="33" spans="1:18" x14ac:dyDescent="0.25">
      <c r="A33" s="106"/>
      <c r="B33" s="106"/>
      <c r="C33" s="106"/>
      <c r="D33" s="106"/>
      <c r="E33" s="106"/>
      <c r="F33" s="106"/>
      <c r="G33" s="106"/>
      <c r="H33" s="69"/>
      <c r="I33" s="69"/>
      <c r="J33" s="99"/>
      <c r="K33" s="100" t="s">
        <v>201</v>
      </c>
      <c r="L33" s="101">
        <v>10</v>
      </c>
      <c r="M33" s="102">
        <v>4</v>
      </c>
      <c r="N33" s="102">
        <f t="shared" si="12"/>
        <v>40</v>
      </c>
      <c r="O33" s="103">
        <f t="shared" si="13"/>
        <v>120</v>
      </c>
      <c r="P33" s="104"/>
      <c r="Q33" s="105">
        <f>N33*12</f>
        <v>480</v>
      </c>
      <c r="R33" s="69"/>
    </row>
    <row r="34" spans="1:18" x14ac:dyDescent="0.25">
      <c r="A34" s="69"/>
      <c r="B34" s="69"/>
      <c r="C34" s="69"/>
      <c r="D34" s="69"/>
      <c r="E34" s="69"/>
      <c r="F34" s="69"/>
      <c r="G34" s="69"/>
      <c r="H34" s="69"/>
      <c r="I34" s="69"/>
      <c r="J34" s="99"/>
      <c r="K34" s="100" t="s">
        <v>203</v>
      </c>
      <c r="L34" s="101">
        <v>15</v>
      </c>
      <c r="M34" s="102">
        <v>5.5</v>
      </c>
      <c r="N34" s="102">
        <f t="shared" si="12"/>
        <v>82.5</v>
      </c>
      <c r="O34" s="103">
        <f t="shared" si="13"/>
        <v>180</v>
      </c>
      <c r="P34" s="104">
        <v>14</v>
      </c>
      <c r="Q34" s="105">
        <f>(P34+O34)*M34</f>
        <v>1067</v>
      </c>
      <c r="R34" s="69"/>
    </row>
    <row r="35" spans="1:18" x14ac:dyDescent="0.25">
      <c r="A35" s="202" t="s">
        <v>216</v>
      </c>
      <c r="B35" s="202"/>
      <c r="C35" s="202"/>
      <c r="D35" s="202"/>
      <c r="E35" s="202"/>
      <c r="F35" s="202"/>
      <c r="G35" s="202"/>
      <c r="H35" s="69"/>
      <c r="I35" s="69"/>
      <c r="J35" s="99"/>
      <c r="K35" s="100" t="s">
        <v>204</v>
      </c>
      <c r="L35" s="101"/>
      <c r="M35" s="102">
        <v>55</v>
      </c>
      <c r="N35" s="102">
        <f t="shared" si="12"/>
        <v>0</v>
      </c>
      <c r="O35" s="103">
        <v>3</v>
      </c>
      <c r="P35" s="107"/>
      <c r="Q35" s="105">
        <f>O35*M35</f>
        <v>165</v>
      </c>
      <c r="R35" s="69"/>
    </row>
    <row r="36" spans="1:18" x14ac:dyDescent="0.25">
      <c r="A36" s="94" t="s">
        <v>209</v>
      </c>
      <c r="B36" s="95" t="s">
        <v>210</v>
      </c>
      <c r="C36" s="95" t="s">
        <v>217</v>
      </c>
      <c r="D36" s="108" t="s">
        <v>218</v>
      </c>
      <c r="E36" s="109" t="s">
        <v>213</v>
      </c>
      <c r="F36" s="107" t="s">
        <v>219</v>
      </c>
      <c r="G36" s="109" t="s">
        <v>215</v>
      </c>
      <c r="H36" s="69"/>
      <c r="I36" s="69"/>
      <c r="J36" s="99"/>
      <c r="K36" s="100" t="s">
        <v>220</v>
      </c>
      <c r="L36" s="101"/>
      <c r="M36" s="102">
        <v>30</v>
      </c>
      <c r="N36" s="102">
        <f t="shared" si="12"/>
        <v>0</v>
      </c>
      <c r="O36" s="103">
        <v>3</v>
      </c>
      <c r="P36" s="107"/>
      <c r="Q36" s="105">
        <f>O36*M36</f>
        <v>90</v>
      </c>
      <c r="R36" s="69"/>
    </row>
    <row r="37" spans="1:18" x14ac:dyDescent="0.25">
      <c r="A37" s="100" t="s">
        <v>194</v>
      </c>
      <c r="B37" s="101">
        <v>15</v>
      </c>
      <c r="C37" s="110">
        <v>46.2</v>
      </c>
      <c r="D37" s="110">
        <f t="shared" ref="D37:D46" si="14">B37*C37</f>
        <v>693</v>
      </c>
      <c r="E37" s="103">
        <f t="shared" ref="E37:E42" si="15">B37*12</f>
        <v>180</v>
      </c>
      <c r="F37" s="104"/>
      <c r="G37" s="111">
        <f>E37*C37</f>
        <v>8316</v>
      </c>
      <c r="H37" s="69"/>
      <c r="I37" s="69"/>
      <c r="J37" s="69"/>
      <c r="K37" s="100" t="s">
        <v>205</v>
      </c>
      <c r="L37" s="101">
        <v>8</v>
      </c>
      <c r="M37" s="102">
        <v>2</v>
      </c>
      <c r="N37" s="102">
        <f>M37*L37</f>
        <v>16</v>
      </c>
      <c r="O37" s="103">
        <f>L37*12</f>
        <v>96</v>
      </c>
      <c r="P37" s="107">
        <v>4</v>
      </c>
      <c r="Q37" s="105">
        <f>(O37+P37)*M37</f>
        <v>200</v>
      </c>
      <c r="R37" s="69"/>
    </row>
    <row r="38" spans="1:18" x14ac:dyDescent="0.25">
      <c r="A38" s="100" t="s">
        <v>195</v>
      </c>
      <c r="B38" s="101">
        <v>15</v>
      </c>
      <c r="C38" s="110">
        <f t="shared" ref="C38:C46" si="16">(M30*1.23)*1.75</f>
        <v>19.523175000000002</v>
      </c>
      <c r="D38" s="110">
        <f t="shared" si="14"/>
        <v>292.84762500000005</v>
      </c>
      <c r="E38" s="103">
        <f t="shared" si="15"/>
        <v>180</v>
      </c>
      <c r="F38" s="104"/>
      <c r="G38" s="111">
        <f>E38*C38</f>
        <v>3514.1715000000004</v>
      </c>
      <c r="H38" s="69"/>
      <c r="I38" s="69"/>
      <c r="J38" s="69"/>
      <c r="K38" s="100" t="s">
        <v>206</v>
      </c>
      <c r="L38" s="101">
        <v>8</v>
      </c>
      <c r="M38" s="102">
        <v>1.8</v>
      </c>
      <c r="N38" s="102">
        <f>M38*L38</f>
        <v>14.4</v>
      </c>
      <c r="O38" s="103">
        <f>L38*12</f>
        <v>96</v>
      </c>
      <c r="P38" s="107">
        <v>4</v>
      </c>
      <c r="Q38" s="105">
        <f>(O38+P38)*M38</f>
        <v>180</v>
      </c>
      <c r="R38" s="69"/>
    </row>
    <row r="39" spans="1:18" x14ac:dyDescent="0.25">
      <c r="A39" s="100" t="s">
        <v>197</v>
      </c>
      <c r="B39" s="101">
        <v>30</v>
      </c>
      <c r="C39" s="110">
        <f t="shared" si="16"/>
        <v>11.838749999999999</v>
      </c>
      <c r="D39" s="110">
        <f t="shared" si="14"/>
        <v>355.16249999999997</v>
      </c>
      <c r="E39" s="103">
        <f t="shared" si="15"/>
        <v>360</v>
      </c>
      <c r="F39" s="104">
        <v>60</v>
      </c>
      <c r="G39" s="111">
        <f>(E39+F39)*C39</f>
        <v>4972.2749999999996</v>
      </c>
      <c r="H39" s="69"/>
      <c r="I39" s="69"/>
      <c r="J39" s="69"/>
      <c r="K39" s="100"/>
      <c r="L39" s="101"/>
      <c r="M39" s="102"/>
      <c r="N39" s="102"/>
      <c r="O39" s="103"/>
      <c r="P39" s="107"/>
      <c r="Q39" s="98"/>
      <c r="R39" s="69"/>
    </row>
    <row r="40" spans="1:18" x14ac:dyDescent="0.25">
      <c r="A40" s="100" t="s">
        <v>199</v>
      </c>
      <c r="B40" s="101">
        <v>6</v>
      </c>
      <c r="C40" s="110">
        <f t="shared" si="16"/>
        <v>8.61</v>
      </c>
      <c r="D40" s="110">
        <f t="shared" si="14"/>
        <v>51.66</v>
      </c>
      <c r="E40" s="103">
        <f t="shared" si="15"/>
        <v>72</v>
      </c>
      <c r="F40" s="104"/>
      <c r="G40" s="111">
        <f>D40*12</f>
        <v>619.91999999999996</v>
      </c>
      <c r="H40" s="69"/>
      <c r="I40" s="69"/>
      <c r="J40" s="69"/>
      <c r="K40" s="100"/>
      <c r="L40" s="101"/>
      <c r="M40" s="102"/>
      <c r="N40" s="102"/>
      <c r="O40" s="103"/>
      <c r="P40" s="107"/>
      <c r="Q40" s="98"/>
      <c r="R40" s="69"/>
    </row>
    <row r="41" spans="1:18" x14ac:dyDescent="0.25">
      <c r="A41" s="100" t="s">
        <v>201</v>
      </c>
      <c r="B41" s="101">
        <v>10</v>
      </c>
      <c r="C41" s="110">
        <f t="shared" si="16"/>
        <v>8.61</v>
      </c>
      <c r="D41" s="110">
        <f t="shared" si="14"/>
        <v>86.1</v>
      </c>
      <c r="E41" s="103">
        <f t="shared" si="15"/>
        <v>120</v>
      </c>
      <c r="F41" s="104"/>
      <c r="G41" s="111">
        <f>D41*12</f>
        <v>1033.1999999999998</v>
      </c>
      <c r="H41" s="69"/>
      <c r="I41" s="69"/>
      <c r="J41" s="69"/>
      <c r="K41" s="100"/>
      <c r="L41" s="101"/>
      <c r="M41" s="102"/>
      <c r="N41" s="112"/>
      <c r="O41" s="103"/>
      <c r="P41" s="107"/>
      <c r="Q41" s="98"/>
      <c r="R41" s="69"/>
    </row>
    <row r="42" spans="1:18" x14ac:dyDescent="0.25">
      <c r="A42" s="100" t="s">
        <v>203</v>
      </c>
      <c r="B42" s="101">
        <v>15</v>
      </c>
      <c r="C42" s="110">
        <f t="shared" si="16"/>
        <v>11.838749999999999</v>
      </c>
      <c r="D42" s="110">
        <f t="shared" si="14"/>
        <v>177.58124999999998</v>
      </c>
      <c r="E42" s="103">
        <f t="shared" si="15"/>
        <v>180</v>
      </c>
      <c r="F42" s="104">
        <v>30</v>
      </c>
      <c r="G42" s="111">
        <f>(F42+E42)*C42</f>
        <v>2486.1374999999998</v>
      </c>
      <c r="H42" s="69"/>
      <c r="I42" s="69"/>
      <c r="J42" s="69"/>
      <c r="K42" s="100"/>
      <c r="L42" s="101"/>
      <c r="M42" s="102"/>
      <c r="N42" s="112"/>
      <c r="O42" s="103"/>
      <c r="P42" s="107"/>
      <c r="Q42" s="98"/>
      <c r="R42" s="69"/>
    </row>
    <row r="43" spans="1:18" x14ac:dyDescent="0.25">
      <c r="A43" s="100" t="s">
        <v>222</v>
      </c>
      <c r="B43" s="101"/>
      <c r="C43" s="110">
        <f t="shared" si="16"/>
        <v>118.38750000000002</v>
      </c>
      <c r="D43" s="110">
        <f t="shared" si="14"/>
        <v>0</v>
      </c>
      <c r="E43" s="103">
        <v>4</v>
      </c>
      <c r="F43" s="107"/>
      <c r="G43" s="111">
        <f>E43*C43</f>
        <v>473.55000000000007</v>
      </c>
      <c r="H43" s="69"/>
      <c r="I43" s="69"/>
      <c r="J43" s="69"/>
      <c r="K43" s="113" t="s">
        <v>18</v>
      </c>
      <c r="L43" s="113"/>
      <c r="M43" s="113"/>
      <c r="N43" s="102">
        <f>SUM(N29:N38)</f>
        <v>708.65</v>
      </c>
      <c r="O43" s="103">
        <f>SUM(O29:O34)</f>
        <v>1092</v>
      </c>
      <c r="P43" s="104"/>
      <c r="Q43" s="98">
        <f>SUM(Q29:Q34)</f>
        <v>8381</v>
      </c>
      <c r="R43" s="69"/>
    </row>
    <row r="44" spans="1:18" x14ac:dyDescent="0.25">
      <c r="A44" s="100" t="s">
        <v>220</v>
      </c>
      <c r="B44" s="101"/>
      <c r="C44" s="110">
        <f t="shared" si="16"/>
        <v>64.575000000000003</v>
      </c>
      <c r="D44" s="110">
        <f t="shared" si="14"/>
        <v>0</v>
      </c>
      <c r="E44" s="103">
        <v>4</v>
      </c>
      <c r="F44" s="107"/>
      <c r="G44" s="111">
        <f>E44*C44</f>
        <v>258.3</v>
      </c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</row>
    <row r="45" spans="1:18" x14ac:dyDescent="0.25">
      <c r="A45" s="100" t="s">
        <v>205</v>
      </c>
      <c r="B45" s="101">
        <v>8</v>
      </c>
      <c r="C45" s="110">
        <f t="shared" si="16"/>
        <v>4.3049999999999997</v>
      </c>
      <c r="D45" s="110">
        <f t="shared" si="14"/>
        <v>34.44</v>
      </c>
      <c r="E45" s="114"/>
      <c r="F45" s="98"/>
      <c r="G45" s="111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</row>
    <row r="46" spans="1:18" x14ac:dyDescent="0.25">
      <c r="A46" s="100" t="s">
        <v>206</v>
      </c>
      <c r="B46" s="101">
        <v>8</v>
      </c>
      <c r="C46" s="110">
        <f t="shared" si="16"/>
        <v>3.8744999999999998</v>
      </c>
      <c r="D46" s="110">
        <f t="shared" si="14"/>
        <v>30.995999999999999</v>
      </c>
      <c r="E46" s="114"/>
      <c r="F46" s="98"/>
      <c r="G46" s="111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</row>
    <row r="47" spans="1:18" x14ac:dyDescent="0.25">
      <c r="A47" s="100"/>
      <c r="B47" s="101"/>
      <c r="C47" s="102"/>
      <c r="D47" s="102"/>
      <c r="E47" s="114"/>
      <c r="F47" s="98"/>
      <c r="G47" s="111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</row>
    <row r="48" spans="1:18" x14ac:dyDescent="0.25">
      <c r="A48" s="100"/>
      <c r="B48" s="101"/>
      <c r="C48" s="102"/>
      <c r="D48" s="102"/>
      <c r="E48" s="114"/>
      <c r="F48" s="98"/>
      <c r="G48" s="111"/>
      <c r="H48" s="69"/>
      <c r="I48" s="69"/>
      <c r="J48" s="69"/>
      <c r="K48" s="203"/>
      <c r="L48" s="203"/>
      <c r="M48" s="203"/>
      <c r="N48" s="203"/>
      <c r="O48" s="203"/>
      <c r="P48" s="203"/>
      <c r="Q48" s="203"/>
      <c r="R48" s="69"/>
    </row>
    <row r="49" spans="1:18" x14ac:dyDescent="0.25">
      <c r="A49" s="113" t="s">
        <v>18</v>
      </c>
      <c r="B49" s="113"/>
      <c r="C49" s="102"/>
      <c r="D49" s="102">
        <f>SUM(D37:D45)</f>
        <v>1690.791375</v>
      </c>
      <c r="E49" s="114">
        <f>SUM(E37:E42)</f>
        <v>1092</v>
      </c>
      <c r="F49" s="115"/>
      <c r="G49" s="111">
        <f>SUM(G37:G42)</f>
        <v>20941.703999999998</v>
      </c>
      <c r="H49" s="69"/>
      <c r="I49" s="69"/>
      <c r="J49" s="69"/>
      <c r="K49" s="203"/>
      <c r="L49" s="203"/>
      <c r="M49" s="203"/>
      <c r="N49" s="203"/>
      <c r="O49" s="203"/>
      <c r="P49" s="203"/>
      <c r="Q49" s="203"/>
      <c r="R49" s="69"/>
    </row>
    <row r="50" spans="1:18" x14ac:dyDescent="0.25">
      <c r="A50" s="116"/>
      <c r="B50" s="116"/>
      <c r="C50" s="116"/>
      <c r="D50" s="116"/>
      <c r="E50" s="116"/>
      <c r="F50" s="116"/>
      <c r="G50" s="116"/>
      <c r="H50" s="69"/>
      <c r="I50" s="69"/>
      <c r="J50" s="69"/>
      <c r="K50" s="203"/>
      <c r="L50" s="203"/>
      <c r="M50" s="203"/>
      <c r="N50" s="203"/>
      <c r="O50" s="203"/>
      <c r="P50" s="203"/>
      <c r="Q50" s="203"/>
      <c r="R50" s="69"/>
    </row>
    <row r="51" spans="1:18" x14ac:dyDescent="0.25">
      <c r="A51" s="69"/>
      <c r="B51" s="69"/>
      <c r="C51" s="69"/>
      <c r="D51" s="69"/>
      <c r="E51" s="69"/>
      <c r="F51" s="69"/>
      <c r="G51" s="69"/>
      <c r="H51" s="69"/>
      <c r="I51" s="69"/>
      <c r="J51" s="69"/>
      <c r="K51" s="203"/>
      <c r="L51" s="203"/>
      <c r="M51" s="203"/>
      <c r="N51" s="203"/>
      <c r="O51" s="203"/>
      <c r="P51" s="203"/>
      <c r="Q51" s="203"/>
      <c r="R51" s="69"/>
    </row>
    <row r="52" spans="1:18" x14ac:dyDescent="0.25">
      <c r="A52" s="69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</row>
    <row r="53" spans="1:18" x14ac:dyDescent="0.25">
      <c r="A53" s="69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</row>
    <row r="54" spans="1:18" x14ac:dyDescent="0.25">
      <c r="A54" s="69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</row>
    <row r="55" spans="1:18" x14ac:dyDescent="0.25">
      <c r="A55" s="69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</row>
  </sheetData>
  <mergeCells count="18">
    <mergeCell ref="A35:G35"/>
    <mergeCell ref="K48:Q51"/>
    <mergeCell ref="L3:L4"/>
    <mergeCell ref="M3:N3"/>
    <mergeCell ref="O3:P3"/>
    <mergeCell ref="Q3:R3"/>
    <mergeCell ref="A22:D23"/>
    <mergeCell ref="K27:Q27"/>
    <mergeCell ref="A1:F2"/>
    <mergeCell ref="G1:G2"/>
    <mergeCell ref="K1:P2"/>
    <mergeCell ref="Q1:R2"/>
    <mergeCell ref="A3:A4"/>
    <mergeCell ref="B3:B4"/>
    <mergeCell ref="C3:D3"/>
    <mergeCell ref="E3:F3"/>
    <mergeCell ref="G3:H3"/>
    <mergeCell ref="K3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zoomScale="90" zoomScaleNormal="90" workbookViewId="0">
      <selection activeCell="G23" sqref="G23"/>
    </sheetView>
  </sheetViews>
  <sheetFormatPr defaultRowHeight="15" x14ac:dyDescent="0.25"/>
  <cols>
    <col min="4" max="4" width="14.42578125" customWidth="1"/>
    <col min="10" max="10" width="26.85546875" bestFit="1" customWidth="1"/>
    <col min="11" max="11" width="21.85546875" bestFit="1" customWidth="1"/>
    <col min="16" max="16" width="12.28515625" bestFit="1" customWidth="1"/>
    <col min="18" max="18" width="20.28515625" bestFit="1" customWidth="1"/>
  </cols>
  <sheetData>
    <row r="1" spans="1:18" x14ac:dyDescent="0.25">
      <c r="A1" s="195" t="s">
        <v>0</v>
      </c>
      <c r="B1" s="196"/>
      <c r="C1" s="196"/>
      <c r="D1" s="1">
        <v>2013</v>
      </c>
      <c r="J1" s="208" t="s">
        <v>26</v>
      </c>
      <c r="K1" s="208"/>
      <c r="L1" s="208"/>
      <c r="M1" s="10" t="s">
        <v>25</v>
      </c>
      <c r="N1" s="13" t="s">
        <v>35</v>
      </c>
      <c r="O1">
        <v>9.9</v>
      </c>
      <c r="P1" s="9"/>
      <c r="Q1" s="17" t="s">
        <v>36</v>
      </c>
      <c r="R1" s="7"/>
    </row>
    <row r="2" spans="1:18" x14ac:dyDescent="0.25">
      <c r="A2" s="206" t="s">
        <v>1</v>
      </c>
      <c r="B2" s="206"/>
      <c r="C2" s="206"/>
      <c r="D2" s="2"/>
      <c r="J2" s="7" t="s">
        <v>31</v>
      </c>
      <c r="M2" s="11"/>
      <c r="N2" s="8"/>
      <c r="O2" s="11">
        <v>9.9</v>
      </c>
      <c r="P2" s="14"/>
      <c r="Q2" s="14"/>
      <c r="R2" s="14" t="s">
        <v>37</v>
      </c>
    </row>
    <row r="3" spans="1:18" x14ac:dyDescent="0.25">
      <c r="A3" s="205" t="s">
        <v>2</v>
      </c>
      <c r="B3" s="205"/>
      <c r="C3" s="205"/>
      <c r="D3" s="3"/>
      <c r="J3" t="s">
        <v>308</v>
      </c>
      <c r="K3" t="s">
        <v>19</v>
      </c>
      <c r="L3">
        <v>178.86</v>
      </c>
      <c r="M3" s="11"/>
      <c r="N3" s="8"/>
      <c r="O3" s="11">
        <v>11</v>
      </c>
      <c r="P3" s="14" t="s">
        <v>38</v>
      </c>
      <c r="Q3" s="14">
        <v>340</v>
      </c>
      <c r="R3" s="14" t="s">
        <v>39</v>
      </c>
    </row>
    <row r="4" spans="1:18" x14ac:dyDescent="0.25">
      <c r="A4" s="205" t="s">
        <v>3</v>
      </c>
      <c r="B4" s="205"/>
      <c r="C4" s="205"/>
      <c r="D4" s="3"/>
      <c r="K4" s="7"/>
      <c r="M4" s="12">
        <f>L3</f>
        <v>178.86</v>
      </c>
      <c r="N4" s="8"/>
      <c r="O4" s="11">
        <v>7.5</v>
      </c>
      <c r="P4" s="15" t="s">
        <v>40</v>
      </c>
      <c r="Q4" s="15">
        <v>510</v>
      </c>
      <c r="R4" s="15" t="s">
        <v>41</v>
      </c>
    </row>
    <row r="5" spans="1:18" x14ac:dyDescent="0.25">
      <c r="A5" s="4" t="s">
        <v>4</v>
      </c>
      <c r="B5" s="4"/>
      <c r="C5" s="4"/>
      <c r="D5" s="4"/>
      <c r="J5" s="7" t="s">
        <v>32</v>
      </c>
      <c r="M5" s="11"/>
      <c r="N5" s="8"/>
      <c r="O5" s="11">
        <v>2.6</v>
      </c>
      <c r="P5" s="14" t="s">
        <v>42</v>
      </c>
      <c r="Q5" s="14">
        <v>800</v>
      </c>
      <c r="R5" s="14" t="s">
        <v>43</v>
      </c>
    </row>
    <row r="6" spans="1:18" x14ac:dyDescent="0.25">
      <c r="A6" s="205" t="s">
        <v>2</v>
      </c>
      <c r="B6" s="205"/>
      <c r="C6" s="205"/>
      <c r="D6" s="3"/>
      <c r="J6" t="s">
        <v>27</v>
      </c>
      <c r="K6" t="s">
        <v>33</v>
      </c>
      <c r="L6">
        <v>60.83</v>
      </c>
      <c r="M6" s="11"/>
      <c r="N6" s="8"/>
      <c r="O6" s="11">
        <v>20.14</v>
      </c>
      <c r="P6" s="14" t="s">
        <v>44</v>
      </c>
      <c r="Q6" s="14">
        <v>70</v>
      </c>
      <c r="R6" s="14" t="s">
        <v>45</v>
      </c>
    </row>
    <row r="7" spans="1:18" x14ac:dyDescent="0.25">
      <c r="A7" s="205" t="s">
        <v>5</v>
      </c>
      <c r="B7" s="205"/>
      <c r="C7" s="205"/>
      <c r="D7" s="3"/>
      <c r="M7" s="12">
        <v>60.83</v>
      </c>
      <c r="N7" s="8"/>
      <c r="O7" s="11">
        <v>20.84</v>
      </c>
      <c r="P7" s="14" t="s">
        <v>46</v>
      </c>
      <c r="Q7" s="14">
        <v>40</v>
      </c>
      <c r="R7" s="14" t="s">
        <v>47</v>
      </c>
    </row>
    <row r="8" spans="1:18" x14ac:dyDescent="0.25">
      <c r="A8" s="205" t="s">
        <v>6</v>
      </c>
      <c r="B8" s="205"/>
      <c r="C8" s="205"/>
      <c r="D8" s="5">
        <f>M4</f>
        <v>178.86</v>
      </c>
      <c r="M8" s="11"/>
      <c r="N8" s="8"/>
      <c r="O8" s="11">
        <v>11.8</v>
      </c>
      <c r="P8" s="14" t="s">
        <v>48</v>
      </c>
      <c r="Q8" s="14">
        <v>79.8</v>
      </c>
      <c r="R8" s="14" t="s">
        <v>49</v>
      </c>
    </row>
    <row r="9" spans="1:18" x14ac:dyDescent="0.25">
      <c r="A9" s="205" t="s">
        <v>7</v>
      </c>
      <c r="B9" s="205"/>
      <c r="C9" s="205"/>
      <c r="D9" s="3"/>
      <c r="J9" s="208" t="s">
        <v>28</v>
      </c>
      <c r="K9" s="208"/>
      <c r="L9" s="208"/>
      <c r="M9" s="216"/>
      <c r="N9" s="8"/>
      <c r="O9" s="11">
        <v>11.8</v>
      </c>
      <c r="P9" s="14" t="s">
        <v>50</v>
      </c>
      <c r="Q9" s="14">
        <v>25</v>
      </c>
      <c r="R9" s="14" t="s">
        <v>51</v>
      </c>
    </row>
    <row r="10" spans="1:18" x14ac:dyDescent="0.25">
      <c r="A10" s="205" t="s">
        <v>8</v>
      </c>
      <c r="B10" s="205"/>
      <c r="C10" s="205"/>
      <c r="D10" s="3">
        <v>60.83</v>
      </c>
      <c r="M10" s="11"/>
      <c r="N10" s="8"/>
      <c r="O10" s="11">
        <v>11.8</v>
      </c>
      <c r="P10" s="14" t="s">
        <v>52</v>
      </c>
      <c r="Q10" s="14">
        <v>200</v>
      </c>
      <c r="R10" s="14" t="s">
        <v>53</v>
      </c>
    </row>
    <row r="11" spans="1:18" x14ac:dyDescent="0.25">
      <c r="A11" s="205" t="s">
        <v>9</v>
      </c>
      <c r="B11" s="205"/>
      <c r="C11" s="205"/>
      <c r="D11" s="3"/>
      <c r="J11" t="s">
        <v>30</v>
      </c>
      <c r="K11" t="s">
        <v>29</v>
      </c>
      <c r="L11">
        <v>60.83</v>
      </c>
      <c r="M11" s="11"/>
      <c r="N11" s="8"/>
      <c r="O11" s="11">
        <v>11.8</v>
      </c>
      <c r="P11" s="15" t="s">
        <v>54</v>
      </c>
      <c r="Q11" s="15">
        <v>437.04</v>
      </c>
      <c r="R11" s="15" t="s">
        <v>55</v>
      </c>
    </row>
    <row r="12" spans="1:18" x14ac:dyDescent="0.25">
      <c r="A12" s="206" t="s">
        <v>10</v>
      </c>
      <c r="B12" s="206"/>
      <c r="C12" s="206"/>
      <c r="D12" s="4"/>
      <c r="M12" s="12">
        <v>60.83</v>
      </c>
      <c r="N12" s="8"/>
      <c r="O12" s="11">
        <v>11.8</v>
      </c>
      <c r="P12" s="14" t="s">
        <v>56</v>
      </c>
      <c r="Q12" s="14">
        <v>135.30000000000001</v>
      </c>
      <c r="R12" s="14" t="s">
        <v>57</v>
      </c>
    </row>
    <row r="13" spans="1:18" x14ac:dyDescent="0.25">
      <c r="A13" s="205" t="s">
        <v>11</v>
      </c>
      <c r="B13" s="205"/>
      <c r="C13" s="205"/>
      <c r="D13" s="3"/>
      <c r="M13" s="11"/>
      <c r="N13" s="8"/>
      <c r="O13">
        <v>14.8</v>
      </c>
      <c r="P13" s="16" t="s">
        <v>25</v>
      </c>
      <c r="Q13" s="7">
        <f>SUM(Q3:Q12)</f>
        <v>2637.1400000000003</v>
      </c>
    </row>
    <row r="14" spans="1:18" x14ac:dyDescent="0.25">
      <c r="A14" s="205" t="s">
        <v>12</v>
      </c>
      <c r="B14" s="205"/>
      <c r="C14" s="205"/>
      <c r="D14" s="3"/>
      <c r="J14" s="208" t="s">
        <v>34</v>
      </c>
      <c r="K14" s="208"/>
      <c r="L14" s="208"/>
      <c r="M14" s="216"/>
      <c r="N14" s="8"/>
      <c r="O14">
        <v>9.75</v>
      </c>
      <c r="P14" s="9"/>
    </row>
    <row r="15" spans="1:18" x14ac:dyDescent="0.25">
      <c r="A15" s="205" t="s">
        <v>13</v>
      </c>
      <c r="B15" s="205"/>
      <c r="C15" s="205"/>
      <c r="D15" s="3">
        <v>60.83</v>
      </c>
      <c r="J15" t="s">
        <v>309</v>
      </c>
      <c r="K15" s="62">
        <f>O43</f>
        <v>537.75</v>
      </c>
      <c r="M15" s="11"/>
      <c r="N15" s="8"/>
      <c r="O15">
        <v>7.04</v>
      </c>
      <c r="P15" s="9"/>
    </row>
    <row r="16" spans="1:18" x14ac:dyDescent="0.25">
      <c r="A16" s="205" t="s">
        <v>14</v>
      </c>
      <c r="B16" s="205"/>
      <c r="C16" s="205"/>
      <c r="D16" s="3"/>
      <c r="J16" t="s">
        <v>310</v>
      </c>
      <c r="K16">
        <v>808.11</v>
      </c>
      <c r="M16" s="11"/>
      <c r="N16" s="8"/>
      <c r="O16">
        <v>8.5500000000000007</v>
      </c>
      <c r="P16" s="9"/>
    </row>
    <row r="17" spans="1:16" x14ac:dyDescent="0.25">
      <c r="A17" s="205" t="s">
        <v>15</v>
      </c>
      <c r="B17" s="205"/>
      <c r="C17" s="205"/>
      <c r="D17" s="3"/>
      <c r="J17" s="61" t="s">
        <v>162</v>
      </c>
      <c r="K17">
        <v>50</v>
      </c>
      <c r="M17" s="11"/>
      <c r="N17" s="8"/>
      <c r="O17">
        <v>9.4499999999999993</v>
      </c>
      <c r="P17" s="9"/>
    </row>
    <row r="18" spans="1:16" x14ac:dyDescent="0.25">
      <c r="A18" s="206" t="s">
        <v>16</v>
      </c>
      <c r="B18" s="206"/>
      <c r="C18" s="206"/>
      <c r="D18" s="6">
        <f>M19</f>
        <v>1395.8600000000001</v>
      </c>
      <c r="M18" s="11"/>
      <c r="N18" s="8"/>
      <c r="O18">
        <v>10.92</v>
      </c>
      <c r="P18" s="9"/>
    </row>
    <row r="19" spans="1:16" x14ac:dyDescent="0.25">
      <c r="A19" s="206" t="s">
        <v>17</v>
      </c>
      <c r="B19" s="206"/>
      <c r="C19" s="206"/>
      <c r="D19" s="6">
        <f>Q13</f>
        <v>2637.1400000000003</v>
      </c>
      <c r="M19" s="12">
        <f>K15+K16+K17</f>
        <v>1395.8600000000001</v>
      </c>
      <c r="N19" s="8"/>
      <c r="O19">
        <v>4.12</v>
      </c>
      <c r="P19" s="9"/>
    </row>
    <row r="20" spans="1:16" x14ac:dyDescent="0.25">
      <c r="A20" s="207" t="s">
        <v>18</v>
      </c>
      <c r="B20" s="207"/>
      <c r="C20" s="207"/>
      <c r="D20" s="3">
        <f>SUM(D2:D19)</f>
        <v>4333.5200000000004</v>
      </c>
      <c r="M20" s="11"/>
      <c r="N20" s="8"/>
      <c r="O20">
        <v>10</v>
      </c>
      <c r="P20" s="9"/>
    </row>
    <row r="21" spans="1:16" x14ac:dyDescent="0.25">
      <c r="M21" s="11"/>
      <c r="N21" s="8"/>
      <c r="O21">
        <v>3.3</v>
      </c>
      <c r="P21" s="9"/>
    </row>
    <row r="22" spans="1:16" x14ac:dyDescent="0.25">
      <c r="M22" s="11"/>
      <c r="N22" s="8"/>
      <c r="O22">
        <v>3.3</v>
      </c>
      <c r="P22" s="9"/>
    </row>
    <row r="23" spans="1:16" x14ac:dyDescent="0.25">
      <c r="A23" s="195" t="s">
        <v>163</v>
      </c>
      <c r="B23" s="196"/>
      <c r="C23" s="196"/>
      <c r="D23" s="196"/>
      <c r="M23" s="11"/>
      <c r="O23">
        <v>16.899999999999999</v>
      </c>
      <c r="P23" s="9"/>
    </row>
    <row r="24" spans="1:16" x14ac:dyDescent="0.25">
      <c r="A24" s="197"/>
      <c r="B24" s="198"/>
      <c r="C24" s="198"/>
      <c r="D24" s="198"/>
      <c r="M24" s="11"/>
      <c r="O24">
        <v>21.25</v>
      </c>
      <c r="P24" s="9"/>
    </row>
    <row r="25" spans="1:16" x14ac:dyDescent="0.25">
      <c r="A25" s="209" t="s">
        <v>0</v>
      </c>
      <c r="B25" s="209"/>
      <c r="C25" s="209"/>
      <c r="D25" s="63">
        <v>2013</v>
      </c>
      <c r="M25" s="11"/>
      <c r="O25">
        <v>10.4</v>
      </c>
      <c r="P25" s="9"/>
    </row>
    <row r="26" spans="1:16" x14ac:dyDescent="0.25">
      <c r="A26" s="206" t="s">
        <v>164</v>
      </c>
      <c r="B26" s="206"/>
      <c r="C26" s="206"/>
      <c r="D26" s="3"/>
      <c r="M26" s="11"/>
      <c r="O26">
        <v>12.35</v>
      </c>
      <c r="P26" s="9"/>
    </row>
    <row r="27" spans="1:16" x14ac:dyDescent="0.25">
      <c r="A27" s="205" t="s">
        <v>165</v>
      </c>
      <c r="B27" s="205"/>
      <c r="C27" s="205"/>
      <c r="D27" s="3"/>
      <c r="M27" s="11"/>
      <c r="O27">
        <v>23.5</v>
      </c>
      <c r="P27" s="9"/>
    </row>
    <row r="28" spans="1:16" x14ac:dyDescent="0.25">
      <c r="A28" s="209" t="s">
        <v>166</v>
      </c>
      <c r="B28" s="209"/>
      <c r="C28" s="209"/>
      <c r="D28" s="63">
        <f>D20</f>
        <v>4333.5200000000004</v>
      </c>
      <c r="M28" s="11"/>
      <c r="O28">
        <v>12.6</v>
      </c>
      <c r="P28" s="9"/>
    </row>
    <row r="29" spans="1:16" x14ac:dyDescent="0.25">
      <c r="A29" s="205" t="s">
        <v>15</v>
      </c>
      <c r="B29" s="205"/>
      <c r="C29" s="205"/>
      <c r="D29" s="3"/>
      <c r="M29" s="11"/>
      <c r="O29">
        <v>8.1</v>
      </c>
      <c r="P29" s="9"/>
    </row>
    <row r="30" spans="1:16" x14ac:dyDescent="0.25">
      <c r="A30" s="206" t="s">
        <v>167</v>
      </c>
      <c r="B30" s="206"/>
      <c r="C30" s="206"/>
      <c r="D30" s="3"/>
      <c r="M30" s="11"/>
      <c r="O30">
        <v>36</v>
      </c>
      <c r="P30" s="9"/>
    </row>
    <row r="31" spans="1:16" x14ac:dyDescent="0.25">
      <c r="A31" s="205" t="s">
        <v>168</v>
      </c>
      <c r="B31" s="205"/>
      <c r="C31" s="205"/>
      <c r="D31" s="3"/>
      <c r="M31" s="11"/>
      <c r="O31">
        <v>28.56</v>
      </c>
      <c r="P31" s="9"/>
    </row>
    <row r="32" spans="1:16" x14ac:dyDescent="0.25">
      <c r="A32" s="205" t="s">
        <v>169</v>
      </c>
      <c r="B32" s="205"/>
      <c r="C32" s="205"/>
      <c r="D32" s="3"/>
      <c r="M32" s="11"/>
      <c r="O32">
        <v>21.6</v>
      </c>
      <c r="P32" s="9"/>
    </row>
    <row r="33" spans="1:16" x14ac:dyDescent="0.25">
      <c r="A33" s="3" t="s">
        <v>170</v>
      </c>
      <c r="B33" s="3"/>
      <c r="C33" s="3"/>
      <c r="D33" s="3"/>
      <c r="M33" s="11"/>
      <c r="O33">
        <v>7.68</v>
      </c>
      <c r="P33" s="9"/>
    </row>
    <row r="34" spans="1:16" x14ac:dyDescent="0.25">
      <c r="A34" s="3" t="s">
        <v>171</v>
      </c>
      <c r="B34" s="3"/>
      <c r="C34" s="3"/>
      <c r="D34" s="3"/>
      <c r="M34" s="11"/>
      <c r="O34">
        <v>5.4</v>
      </c>
      <c r="P34" s="9"/>
    </row>
    <row r="35" spans="1:16" x14ac:dyDescent="0.25">
      <c r="A35" s="207" t="s">
        <v>18</v>
      </c>
      <c r="B35" s="207"/>
      <c r="C35" s="207"/>
      <c r="D35" s="3">
        <f>SUM(D26:D34)</f>
        <v>4333.5200000000004</v>
      </c>
      <c r="M35" s="11"/>
      <c r="O35">
        <v>11.42</v>
      </c>
      <c r="P35" s="9"/>
    </row>
    <row r="36" spans="1:16" x14ac:dyDescent="0.25">
      <c r="M36" s="11"/>
      <c r="O36">
        <v>4.08</v>
      </c>
      <c r="P36" s="9"/>
    </row>
    <row r="37" spans="1:16" x14ac:dyDescent="0.25">
      <c r="M37" s="11"/>
      <c r="P37" s="9"/>
    </row>
    <row r="38" spans="1:16" x14ac:dyDescent="0.25">
      <c r="N38" t="s">
        <v>20</v>
      </c>
      <c r="O38">
        <v>52</v>
      </c>
    </row>
    <row r="39" spans="1:16" x14ac:dyDescent="0.25">
      <c r="N39" t="s">
        <v>21</v>
      </c>
      <c r="O39">
        <v>12.35</v>
      </c>
    </row>
    <row r="40" spans="1:16" x14ac:dyDescent="0.25">
      <c r="N40" t="s">
        <v>22</v>
      </c>
      <c r="O40">
        <v>15.3</v>
      </c>
    </row>
    <row r="41" spans="1:16" x14ac:dyDescent="0.25">
      <c r="N41" t="s">
        <v>23</v>
      </c>
      <c r="O41">
        <v>12.9</v>
      </c>
    </row>
    <row r="42" spans="1:16" x14ac:dyDescent="0.25">
      <c r="N42" t="s">
        <v>24</v>
      </c>
      <c r="O42">
        <v>3.25</v>
      </c>
    </row>
    <row r="43" spans="1:16" x14ac:dyDescent="0.25">
      <c r="N43" s="7" t="s">
        <v>25</v>
      </c>
      <c r="O43" s="7">
        <f>SUM(O1:O42)</f>
        <v>537.75</v>
      </c>
    </row>
  </sheetData>
  <mergeCells count="32">
    <mergeCell ref="J9:M9"/>
    <mergeCell ref="J14:M14"/>
    <mergeCell ref="A30:C30"/>
    <mergeCell ref="A31:C31"/>
    <mergeCell ref="A32:C32"/>
    <mergeCell ref="A35:C35"/>
    <mergeCell ref="A23:D24"/>
    <mergeCell ref="A25:C25"/>
    <mergeCell ref="A26:C26"/>
    <mergeCell ref="A27:C27"/>
    <mergeCell ref="A28:C28"/>
    <mergeCell ref="A29:C29"/>
    <mergeCell ref="A8:C8"/>
    <mergeCell ref="A9:C9"/>
    <mergeCell ref="A10:C10"/>
    <mergeCell ref="A11:C11"/>
    <mergeCell ref="A12:C12"/>
    <mergeCell ref="A13:C13"/>
    <mergeCell ref="A20:C20"/>
    <mergeCell ref="J1:L1"/>
    <mergeCell ref="A14:C14"/>
    <mergeCell ref="A15:C15"/>
    <mergeCell ref="A16:C16"/>
    <mergeCell ref="A17:C17"/>
    <mergeCell ref="A18:C18"/>
    <mergeCell ref="A19:C19"/>
    <mergeCell ref="A7:C7"/>
    <mergeCell ref="A1:C1"/>
    <mergeCell ref="A2:C2"/>
    <mergeCell ref="A3:C3"/>
    <mergeCell ref="A4:C4"/>
    <mergeCell ref="A6:C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opLeftCell="A28" zoomScale="80" zoomScaleNormal="80" workbookViewId="0">
      <selection activeCell="B11" sqref="B11"/>
    </sheetView>
  </sheetViews>
  <sheetFormatPr defaultRowHeight="15" x14ac:dyDescent="0.25"/>
  <cols>
    <col min="1" max="1" width="16.5703125" bestFit="1" customWidth="1"/>
    <col min="2" max="2" width="88" bestFit="1" customWidth="1"/>
    <col min="3" max="4" width="20.85546875" bestFit="1" customWidth="1"/>
    <col min="5" max="5" width="27.5703125" bestFit="1" customWidth="1"/>
  </cols>
  <sheetData>
    <row r="1" spans="1:5" x14ac:dyDescent="0.25">
      <c r="A1" s="119" t="s">
        <v>305</v>
      </c>
      <c r="B1" s="7"/>
    </row>
    <row r="2" spans="1:5" x14ac:dyDescent="0.25">
      <c r="A2" s="47" t="s">
        <v>58</v>
      </c>
      <c r="B2" s="48" t="s">
        <v>59</v>
      </c>
      <c r="C2" s="49" t="s">
        <v>60</v>
      </c>
      <c r="D2" s="49" t="s">
        <v>61</v>
      </c>
      <c r="E2" s="50" t="s">
        <v>184</v>
      </c>
    </row>
    <row r="3" spans="1:5" s="183" customFormat="1" ht="15.75" x14ac:dyDescent="0.25">
      <c r="A3" s="179">
        <v>61</v>
      </c>
      <c r="B3" s="180" t="s">
        <v>234</v>
      </c>
      <c r="C3" s="181">
        <v>3137.13</v>
      </c>
      <c r="D3" s="181">
        <v>9405.7000000000007</v>
      </c>
      <c r="E3" s="182">
        <v>9875.99</v>
      </c>
    </row>
    <row r="4" spans="1:5" x14ac:dyDescent="0.25">
      <c r="A4" s="175"/>
      <c r="B4" s="176"/>
      <c r="C4" s="177"/>
      <c r="D4" s="177"/>
      <c r="E4" s="178"/>
    </row>
    <row r="5" spans="1:5" ht="15.75" x14ac:dyDescent="0.25">
      <c r="A5" s="51">
        <v>62</v>
      </c>
      <c r="B5" s="52" t="s">
        <v>62</v>
      </c>
      <c r="C5" s="53">
        <f>C6+C7+C16+C22+C27+C32</f>
        <v>1844.85</v>
      </c>
      <c r="D5" s="53">
        <f>D6+D7+D16+D22+D27+D32</f>
        <v>4496.24</v>
      </c>
      <c r="E5" s="54">
        <f>E6+E7+E16+E22+E27+E32</f>
        <v>4496.24</v>
      </c>
    </row>
    <row r="6" spans="1:5" ht="15.75" x14ac:dyDescent="0.25">
      <c r="A6" s="18" t="s">
        <v>63</v>
      </c>
      <c r="B6" s="19" t="s">
        <v>64</v>
      </c>
      <c r="C6" s="20">
        <v>0</v>
      </c>
      <c r="D6" s="20">
        <v>0</v>
      </c>
      <c r="E6" s="21">
        <v>0</v>
      </c>
    </row>
    <row r="7" spans="1:5" ht="15.75" x14ac:dyDescent="0.25">
      <c r="A7" s="22" t="s">
        <v>65</v>
      </c>
      <c r="B7" s="23" t="s">
        <v>66</v>
      </c>
      <c r="C7" s="24">
        <f>C8+C9+C10+C11+C12+C13+C14+C15</f>
        <v>325</v>
      </c>
      <c r="D7" s="24">
        <f>D8+D9+D10+D11+D12+D13+D14+D15</f>
        <v>848.6</v>
      </c>
      <c r="E7" s="24">
        <f>E8+E9+E10+E11+E12+E13+E14+E15</f>
        <v>848.6</v>
      </c>
    </row>
    <row r="8" spans="1:5" ht="15.75" x14ac:dyDescent="0.25">
      <c r="A8" s="25" t="s">
        <v>67</v>
      </c>
      <c r="B8" s="28" t="s">
        <v>225</v>
      </c>
      <c r="C8" s="217">
        <f>55*5</f>
        <v>275</v>
      </c>
      <c r="D8" s="217">
        <f>55*12</f>
        <v>660</v>
      </c>
      <c r="E8" s="217">
        <f>55*12</f>
        <v>660</v>
      </c>
    </row>
    <row r="9" spans="1:5" ht="15.75" x14ac:dyDescent="0.25">
      <c r="A9" s="27" t="s">
        <v>68</v>
      </c>
      <c r="B9" s="28" t="s">
        <v>69</v>
      </c>
      <c r="C9" s="29">
        <v>50</v>
      </c>
      <c r="D9" s="29">
        <f>50+138.6</f>
        <v>188.6</v>
      </c>
      <c r="E9" s="29">
        <f>50+138.6</f>
        <v>188.6</v>
      </c>
    </row>
    <row r="10" spans="1:5" ht="15.75" x14ac:dyDescent="0.25">
      <c r="A10" s="27" t="s">
        <v>70</v>
      </c>
      <c r="B10" s="28" t="s">
        <v>71</v>
      </c>
      <c r="C10" s="29">
        <v>0</v>
      </c>
      <c r="D10" s="29">
        <v>0</v>
      </c>
      <c r="E10" s="29">
        <v>0</v>
      </c>
    </row>
    <row r="11" spans="1:5" ht="15.75" x14ac:dyDescent="0.25">
      <c r="A11" s="27" t="s">
        <v>72</v>
      </c>
      <c r="B11" s="28" t="s">
        <v>73</v>
      </c>
      <c r="C11" s="29">
        <v>0</v>
      </c>
      <c r="D11" s="29">
        <v>0</v>
      </c>
      <c r="E11" s="29">
        <v>0</v>
      </c>
    </row>
    <row r="12" spans="1:5" ht="15.75" x14ac:dyDescent="0.25">
      <c r="A12" s="27" t="s">
        <v>74</v>
      </c>
      <c r="B12" s="28" t="s">
        <v>75</v>
      </c>
      <c r="C12" s="29">
        <v>0</v>
      </c>
      <c r="D12" s="29">
        <v>0</v>
      </c>
      <c r="E12" s="29">
        <v>0</v>
      </c>
    </row>
    <row r="13" spans="1:5" ht="15.75" x14ac:dyDescent="0.25">
      <c r="A13" s="25" t="s">
        <v>76</v>
      </c>
      <c r="B13" s="28" t="s">
        <v>77</v>
      </c>
      <c r="C13" s="26">
        <v>0</v>
      </c>
      <c r="D13" s="26">
        <v>0</v>
      </c>
      <c r="E13" s="26">
        <v>0</v>
      </c>
    </row>
    <row r="14" spans="1:5" ht="15.75" x14ac:dyDescent="0.25">
      <c r="A14" s="25" t="s">
        <v>78</v>
      </c>
      <c r="B14" s="28" t="s">
        <v>79</v>
      </c>
      <c r="C14" s="26">
        <v>0</v>
      </c>
      <c r="D14" s="26">
        <v>0</v>
      </c>
      <c r="E14" s="26">
        <v>0</v>
      </c>
    </row>
    <row r="15" spans="1:5" ht="15.75" x14ac:dyDescent="0.25">
      <c r="A15" s="27" t="s">
        <v>80</v>
      </c>
      <c r="B15" s="28" t="s">
        <v>81</v>
      </c>
      <c r="C15" s="29">
        <v>0</v>
      </c>
      <c r="D15" s="29">
        <v>0</v>
      </c>
      <c r="E15" s="29">
        <v>0</v>
      </c>
    </row>
    <row r="16" spans="1:5" ht="15.75" x14ac:dyDescent="0.25">
      <c r="A16" s="22" t="s">
        <v>82</v>
      </c>
      <c r="B16" s="23" t="s">
        <v>83</v>
      </c>
      <c r="C16" s="24">
        <f>C17+C18+C19+C20+C21</f>
        <v>0</v>
      </c>
      <c r="D16" s="24">
        <f>D17+D18+D19+D20+D21</f>
        <v>0</v>
      </c>
      <c r="E16" s="24">
        <f>E17+E18+E19+E20+E21</f>
        <v>0</v>
      </c>
    </row>
    <row r="17" spans="1:5" ht="15.75" x14ac:dyDescent="0.25">
      <c r="A17" s="27" t="s">
        <v>84</v>
      </c>
      <c r="B17" s="28" t="s">
        <v>85</v>
      </c>
      <c r="C17" s="29">
        <v>0</v>
      </c>
      <c r="D17" s="29">
        <v>0</v>
      </c>
      <c r="E17" s="29">
        <v>0</v>
      </c>
    </row>
    <row r="18" spans="1:5" ht="15.75" x14ac:dyDescent="0.25">
      <c r="A18" s="27" t="s">
        <v>86</v>
      </c>
      <c r="B18" s="28" t="s">
        <v>87</v>
      </c>
      <c r="C18" s="29">
        <v>0</v>
      </c>
      <c r="D18" s="29">
        <v>0</v>
      </c>
      <c r="E18" s="29">
        <v>0</v>
      </c>
    </row>
    <row r="19" spans="1:5" ht="15.75" x14ac:dyDescent="0.25">
      <c r="A19" s="27" t="s">
        <v>88</v>
      </c>
      <c r="B19" s="28" t="s">
        <v>89</v>
      </c>
      <c r="C19" s="29">
        <v>0</v>
      </c>
      <c r="D19" s="29">
        <v>0</v>
      </c>
      <c r="E19" s="29">
        <v>0</v>
      </c>
    </row>
    <row r="20" spans="1:5" ht="15.75" x14ac:dyDescent="0.25">
      <c r="A20" s="27" t="s">
        <v>90</v>
      </c>
      <c r="B20" s="28" t="s">
        <v>91</v>
      </c>
      <c r="C20" s="29">
        <v>0</v>
      </c>
      <c r="D20" s="29">
        <v>0</v>
      </c>
      <c r="E20" s="29">
        <v>0</v>
      </c>
    </row>
    <row r="21" spans="1:5" ht="15.75" x14ac:dyDescent="0.25">
      <c r="A21" s="27" t="s">
        <v>92</v>
      </c>
      <c r="B21" s="28" t="s">
        <v>81</v>
      </c>
      <c r="C21" s="29">
        <v>0</v>
      </c>
      <c r="D21" s="29">
        <v>0</v>
      </c>
      <c r="E21" s="29">
        <v>0</v>
      </c>
    </row>
    <row r="22" spans="1:5" ht="15.75" x14ac:dyDescent="0.25">
      <c r="A22" s="22" t="s">
        <v>93</v>
      </c>
      <c r="B22" s="23" t="s">
        <v>94</v>
      </c>
      <c r="C22" s="24">
        <f>C23+C24+C25+C26</f>
        <v>711.75</v>
      </c>
      <c r="D22" s="24">
        <f>D23+D24+D25+D26</f>
        <v>1708.2</v>
      </c>
      <c r="E22" s="24">
        <f>E23+E24+E25+E26</f>
        <v>1708.2</v>
      </c>
    </row>
    <row r="23" spans="1:5" ht="15.75" x14ac:dyDescent="0.25">
      <c r="A23" s="27" t="s">
        <v>95</v>
      </c>
      <c r="B23" s="28" t="s">
        <v>312</v>
      </c>
      <c r="C23" s="29">
        <f>26.95*5</f>
        <v>134.75</v>
      </c>
      <c r="D23" s="29">
        <f>26.95*12</f>
        <v>323.39999999999998</v>
      </c>
      <c r="E23" s="29">
        <f>26.95*12</f>
        <v>323.39999999999998</v>
      </c>
    </row>
    <row r="24" spans="1:5" ht="15.75" x14ac:dyDescent="0.25">
      <c r="A24" s="25" t="s">
        <v>96</v>
      </c>
      <c r="B24" s="55" t="s">
        <v>97</v>
      </c>
      <c r="C24" s="26">
        <f>100*5</f>
        <v>500</v>
      </c>
      <c r="D24" s="26">
        <f>100*12</f>
        <v>1200</v>
      </c>
      <c r="E24" s="26">
        <f>100*12</f>
        <v>1200</v>
      </c>
    </row>
    <row r="25" spans="1:5" ht="15.75" x14ac:dyDescent="0.25">
      <c r="A25" s="27" t="s">
        <v>98</v>
      </c>
      <c r="B25" s="28" t="s">
        <v>311</v>
      </c>
      <c r="C25" s="29">
        <f>15.4*5</f>
        <v>77</v>
      </c>
      <c r="D25" s="29">
        <f>15.4*12</f>
        <v>184.8</v>
      </c>
      <c r="E25" s="29">
        <f>15.4*12</f>
        <v>184.8</v>
      </c>
    </row>
    <row r="26" spans="1:5" ht="15.75" x14ac:dyDescent="0.25">
      <c r="A26" s="27" t="s">
        <v>99</v>
      </c>
      <c r="B26" s="28" t="s">
        <v>81</v>
      </c>
      <c r="C26" s="29">
        <v>0</v>
      </c>
      <c r="D26" s="29">
        <v>0</v>
      </c>
      <c r="E26" s="29">
        <v>0</v>
      </c>
    </row>
    <row r="27" spans="1:5" ht="15.75" x14ac:dyDescent="0.25">
      <c r="A27" s="22" t="s">
        <v>100</v>
      </c>
      <c r="B27" s="23" t="s">
        <v>101</v>
      </c>
      <c r="C27" s="24">
        <f>C28+C29+C30+C31</f>
        <v>0</v>
      </c>
      <c r="D27" s="24">
        <f>D28+D29+D30+D31</f>
        <v>0</v>
      </c>
      <c r="E27" s="24">
        <f>E28+E29+E30+E31</f>
        <v>0</v>
      </c>
    </row>
    <row r="28" spans="1:5" ht="15.75" x14ac:dyDescent="0.25">
      <c r="A28" s="25" t="s">
        <v>102</v>
      </c>
      <c r="B28" s="28" t="s">
        <v>103</v>
      </c>
      <c r="C28" s="26">
        <v>0</v>
      </c>
      <c r="D28" s="26">
        <v>0</v>
      </c>
      <c r="E28" s="26">
        <v>0</v>
      </c>
    </row>
    <row r="29" spans="1:5" ht="15.75" x14ac:dyDescent="0.25">
      <c r="A29" s="27" t="s">
        <v>104</v>
      </c>
      <c r="B29" s="28" t="s">
        <v>105</v>
      </c>
      <c r="C29" s="29">
        <v>0</v>
      </c>
      <c r="D29" s="29">
        <v>0</v>
      </c>
      <c r="E29" s="29">
        <v>0</v>
      </c>
    </row>
    <row r="30" spans="1:5" ht="15.75" x14ac:dyDescent="0.25">
      <c r="A30" s="27" t="s">
        <v>106</v>
      </c>
      <c r="B30" s="28" t="s">
        <v>107</v>
      </c>
      <c r="C30" s="29">
        <v>0</v>
      </c>
      <c r="D30" s="29">
        <v>0</v>
      </c>
      <c r="E30" s="29">
        <v>0</v>
      </c>
    </row>
    <row r="31" spans="1:5" ht="15.75" x14ac:dyDescent="0.25">
      <c r="A31" s="27" t="s">
        <v>108</v>
      </c>
      <c r="B31" s="28" t="s">
        <v>81</v>
      </c>
      <c r="C31" s="29">
        <v>0</v>
      </c>
      <c r="D31" s="29">
        <v>0</v>
      </c>
      <c r="E31" s="29">
        <v>0</v>
      </c>
    </row>
    <row r="32" spans="1:5" ht="15.75" x14ac:dyDescent="0.25">
      <c r="A32" s="22" t="s">
        <v>109</v>
      </c>
      <c r="B32" s="23" t="s">
        <v>110</v>
      </c>
      <c r="C32" s="24">
        <f>C33+C34+C35+C36+C37+C38+C39+C40</f>
        <v>808.1</v>
      </c>
      <c r="D32" s="24">
        <f>D33+D34+D35+D36+D37+D38+D39+D40</f>
        <v>1939.44</v>
      </c>
      <c r="E32" s="24">
        <f>E33+E34+E35+E36+E37+E38+E39+E40</f>
        <v>1939.44</v>
      </c>
    </row>
    <row r="33" spans="1:5" ht="15.75" x14ac:dyDescent="0.25">
      <c r="A33" s="27" t="s">
        <v>111</v>
      </c>
      <c r="B33" s="30" t="s">
        <v>112</v>
      </c>
      <c r="C33" s="29">
        <f>130.9*5</f>
        <v>654.5</v>
      </c>
      <c r="D33" s="29">
        <f>130.9*12</f>
        <v>1570.8000000000002</v>
      </c>
      <c r="E33" s="29">
        <f>130.9*12</f>
        <v>1570.8000000000002</v>
      </c>
    </row>
    <row r="34" spans="1:5" ht="15.75" x14ac:dyDescent="0.25">
      <c r="A34" s="27" t="s">
        <v>113</v>
      </c>
      <c r="B34" s="28" t="s">
        <v>313</v>
      </c>
      <c r="C34" s="29">
        <f>30.72*5</f>
        <v>153.6</v>
      </c>
      <c r="D34" s="29">
        <f>30.72*12</f>
        <v>368.64</v>
      </c>
      <c r="E34" s="29">
        <f>30.72*12</f>
        <v>368.64</v>
      </c>
    </row>
    <row r="35" spans="1:5" ht="15.75" x14ac:dyDescent="0.25">
      <c r="A35" s="27" t="s">
        <v>114</v>
      </c>
      <c r="B35" s="120" t="s">
        <v>115</v>
      </c>
      <c r="C35" s="121">
        <v>0</v>
      </c>
      <c r="D35" s="121">
        <v>0</v>
      </c>
      <c r="E35" s="121">
        <v>0</v>
      </c>
    </row>
    <row r="36" spans="1:5" ht="15.75" x14ac:dyDescent="0.25">
      <c r="A36" s="27" t="s">
        <v>116</v>
      </c>
      <c r="B36" s="28" t="s">
        <v>117</v>
      </c>
      <c r="C36" s="29">
        <v>0</v>
      </c>
      <c r="D36" s="29">
        <v>0</v>
      </c>
      <c r="E36" s="29">
        <v>0</v>
      </c>
    </row>
    <row r="37" spans="1:5" ht="15.75" x14ac:dyDescent="0.25">
      <c r="A37" s="27" t="s">
        <v>118</v>
      </c>
      <c r="B37" s="28" t="s">
        <v>119</v>
      </c>
      <c r="C37" s="29">
        <v>0</v>
      </c>
      <c r="D37" s="29">
        <v>0</v>
      </c>
      <c r="E37" s="29">
        <v>0</v>
      </c>
    </row>
    <row r="38" spans="1:5" ht="15.75" x14ac:dyDescent="0.25">
      <c r="A38" s="27" t="s">
        <v>120</v>
      </c>
      <c r="B38" s="28" t="s">
        <v>121</v>
      </c>
      <c r="C38" s="29">
        <v>0</v>
      </c>
      <c r="D38" s="29">
        <v>0</v>
      </c>
      <c r="E38" s="29">
        <v>0</v>
      </c>
    </row>
    <row r="39" spans="1:5" ht="15.75" x14ac:dyDescent="0.25">
      <c r="A39" s="25" t="s">
        <v>122</v>
      </c>
      <c r="B39" s="28" t="s">
        <v>123</v>
      </c>
      <c r="C39" s="26">
        <v>0</v>
      </c>
      <c r="D39" s="26">
        <v>0</v>
      </c>
      <c r="E39" s="26">
        <v>0</v>
      </c>
    </row>
    <row r="40" spans="1:5" ht="15.75" x14ac:dyDescent="0.25">
      <c r="A40" s="27" t="s">
        <v>124</v>
      </c>
      <c r="B40" s="28" t="s">
        <v>125</v>
      </c>
      <c r="C40" s="29">
        <v>0</v>
      </c>
      <c r="D40" s="29">
        <v>0</v>
      </c>
      <c r="E40" s="29">
        <v>0</v>
      </c>
    </row>
    <row r="41" spans="1:5" ht="15.75" x14ac:dyDescent="0.25">
      <c r="A41" s="31"/>
      <c r="B41" s="32"/>
      <c r="C41" s="33"/>
      <c r="D41" s="33"/>
      <c r="E41" s="33"/>
    </row>
    <row r="42" spans="1:5" ht="15.75" x14ac:dyDescent="0.25">
      <c r="A42" s="34"/>
      <c r="B42" s="34"/>
      <c r="C42" s="35"/>
      <c r="D42" s="35"/>
      <c r="E42" s="35"/>
    </row>
    <row r="43" spans="1:5" x14ac:dyDescent="0.25">
      <c r="A43" s="56" t="s">
        <v>58</v>
      </c>
      <c r="B43" s="56" t="s">
        <v>59</v>
      </c>
      <c r="C43" s="57" t="s">
        <v>126</v>
      </c>
      <c r="D43" s="57" t="s">
        <v>126</v>
      </c>
      <c r="E43" s="57" t="s">
        <v>126</v>
      </c>
    </row>
    <row r="44" spans="1:5" ht="15.75" x14ac:dyDescent="0.25">
      <c r="A44" s="36">
        <v>63</v>
      </c>
      <c r="B44" s="37" t="s">
        <v>127</v>
      </c>
      <c r="C44" s="38">
        <f>C45+C46+C48+C50+C53</f>
        <v>853.40000000000009</v>
      </c>
      <c r="D44" s="38">
        <f>D45+D46+D48+D50+D53</f>
        <v>2048.16</v>
      </c>
      <c r="E44" s="38">
        <f>E45+E46+E48+E50+E53</f>
        <v>2048.16</v>
      </c>
    </row>
    <row r="45" spans="1:5" ht="15.75" x14ac:dyDescent="0.25">
      <c r="A45" s="39" t="s">
        <v>128</v>
      </c>
      <c r="B45" s="23" t="s">
        <v>129</v>
      </c>
      <c r="C45" s="40">
        <v>0</v>
      </c>
      <c r="D45" s="40">
        <v>0</v>
      </c>
      <c r="E45" s="40">
        <v>0</v>
      </c>
    </row>
    <row r="46" spans="1:5" ht="15.75" x14ac:dyDescent="0.25">
      <c r="A46" s="22" t="s">
        <v>130</v>
      </c>
      <c r="B46" s="23" t="s">
        <v>131</v>
      </c>
      <c r="C46" s="24">
        <f>C47</f>
        <v>0</v>
      </c>
      <c r="D46" s="24">
        <f>D47</f>
        <v>0</v>
      </c>
      <c r="E46" s="24">
        <f>E47</f>
        <v>0</v>
      </c>
    </row>
    <row r="47" spans="1:5" ht="15.75" x14ac:dyDescent="0.25">
      <c r="A47" s="25" t="s">
        <v>132</v>
      </c>
      <c r="B47" s="28" t="s">
        <v>133</v>
      </c>
      <c r="C47" s="29">
        <v>0</v>
      </c>
      <c r="D47" s="29">
        <v>0</v>
      </c>
      <c r="E47" s="29">
        <v>0</v>
      </c>
    </row>
    <row r="48" spans="1:5" ht="15.75" x14ac:dyDescent="0.25">
      <c r="A48" s="22" t="s">
        <v>134</v>
      </c>
      <c r="B48" s="23" t="s">
        <v>135</v>
      </c>
      <c r="C48" s="24">
        <f>C49</f>
        <v>728.40000000000009</v>
      </c>
      <c r="D48" s="24">
        <f>D49</f>
        <v>1748.16</v>
      </c>
      <c r="E48" s="24">
        <f>E49</f>
        <v>1748.16</v>
      </c>
    </row>
    <row r="49" spans="1:5" ht="15.75" x14ac:dyDescent="0.25">
      <c r="A49" s="25"/>
      <c r="B49" s="28" t="s">
        <v>314</v>
      </c>
      <c r="C49" s="26">
        <f>145.68*5</f>
        <v>728.40000000000009</v>
      </c>
      <c r="D49" s="26">
        <f>145.68*12</f>
        <v>1748.16</v>
      </c>
      <c r="E49" s="26">
        <f>145.68*12</f>
        <v>1748.16</v>
      </c>
    </row>
    <row r="50" spans="1:5" ht="15.75" x14ac:dyDescent="0.25">
      <c r="A50" s="22" t="s">
        <v>136</v>
      </c>
      <c r="B50" s="41" t="s">
        <v>137</v>
      </c>
      <c r="C50" s="24">
        <f>C51+C52</f>
        <v>125</v>
      </c>
      <c r="D50" s="24">
        <f>D51+D52</f>
        <v>300</v>
      </c>
      <c r="E50" s="24">
        <f>E51+E52</f>
        <v>300</v>
      </c>
    </row>
    <row r="51" spans="1:5" ht="15.75" x14ac:dyDescent="0.25">
      <c r="A51" s="25" t="s">
        <v>138</v>
      </c>
      <c r="B51" s="58" t="s">
        <v>139</v>
      </c>
      <c r="C51" s="26">
        <f>25*5</f>
        <v>125</v>
      </c>
      <c r="D51" s="26">
        <f>25*12</f>
        <v>300</v>
      </c>
      <c r="E51" s="26">
        <f>25*12</f>
        <v>300</v>
      </c>
    </row>
    <row r="52" spans="1:5" ht="15.75" x14ac:dyDescent="0.25">
      <c r="A52" s="25" t="s">
        <v>140</v>
      </c>
      <c r="B52" s="58" t="s">
        <v>277</v>
      </c>
      <c r="C52" s="26">
        <v>0</v>
      </c>
      <c r="D52" s="26">
        <v>0</v>
      </c>
      <c r="E52" s="26">
        <v>0</v>
      </c>
    </row>
    <row r="53" spans="1:5" ht="15.75" x14ac:dyDescent="0.25">
      <c r="A53" s="22" t="s">
        <v>141</v>
      </c>
      <c r="B53" s="23" t="s">
        <v>142</v>
      </c>
      <c r="C53" s="24">
        <f>C54+C55</f>
        <v>0</v>
      </c>
      <c r="D53" s="24">
        <f>D54+D55</f>
        <v>0</v>
      </c>
      <c r="E53" s="24">
        <f>E54+E55</f>
        <v>0</v>
      </c>
    </row>
    <row r="54" spans="1:5" ht="15.75" x14ac:dyDescent="0.25">
      <c r="A54" s="27" t="s">
        <v>143</v>
      </c>
      <c r="B54" s="28" t="s">
        <v>144</v>
      </c>
      <c r="C54" s="29">
        <v>0</v>
      </c>
      <c r="D54" s="29">
        <v>0</v>
      </c>
      <c r="E54" s="29">
        <v>0</v>
      </c>
    </row>
    <row r="55" spans="1:5" ht="15.75" x14ac:dyDescent="0.25">
      <c r="A55" s="27" t="s">
        <v>145</v>
      </c>
      <c r="B55" s="28" t="s">
        <v>146</v>
      </c>
      <c r="C55" s="29">
        <v>0</v>
      </c>
      <c r="D55" s="29">
        <v>0</v>
      </c>
      <c r="E55" s="29">
        <v>0</v>
      </c>
    </row>
    <row r="56" spans="1:5" ht="15.75" x14ac:dyDescent="0.25">
      <c r="A56" s="42"/>
      <c r="B56" s="43"/>
      <c r="C56" s="33"/>
      <c r="D56" s="33"/>
      <c r="E56" s="33"/>
    </row>
    <row r="57" spans="1:5" ht="15.75" x14ac:dyDescent="0.25">
      <c r="A57" s="34"/>
      <c r="B57" s="34"/>
      <c r="C57" s="35"/>
      <c r="D57" s="35"/>
      <c r="E57" s="35"/>
    </row>
    <row r="58" spans="1:5" x14ac:dyDescent="0.25">
      <c r="A58" s="56" t="s">
        <v>58</v>
      </c>
      <c r="B58" s="56" t="s">
        <v>59</v>
      </c>
      <c r="C58" s="57" t="s">
        <v>126</v>
      </c>
      <c r="D58" s="57" t="s">
        <v>126</v>
      </c>
      <c r="E58" s="57" t="s">
        <v>126</v>
      </c>
    </row>
    <row r="59" spans="1:5" ht="15.75" x14ac:dyDescent="0.25">
      <c r="A59" s="36">
        <v>64</v>
      </c>
      <c r="B59" s="37" t="s">
        <v>147</v>
      </c>
      <c r="C59" s="38">
        <f>C60+C61+C65</f>
        <v>300.52</v>
      </c>
      <c r="D59" s="38">
        <f>D60+D61+D65</f>
        <v>0</v>
      </c>
      <c r="E59" s="38">
        <f>E60+E61+E65</f>
        <v>0</v>
      </c>
    </row>
    <row r="60" spans="1:5" ht="15.75" x14ac:dyDescent="0.25">
      <c r="A60" s="27" t="s">
        <v>148</v>
      </c>
      <c r="B60" s="28" t="s">
        <v>149</v>
      </c>
      <c r="C60" s="24">
        <v>0</v>
      </c>
      <c r="D60" s="24">
        <v>0</v>
      </c>
      <c r="E60" s="24">
        <v>0</v>
      </c>
    </row>
    <row r="61" spans="1:5" ht="15.75" x14ac:dyDescent="0.25">
      <c r="A61" s="22" t="s">
        <v>150</v>
      </c>
      <c r="B61" s="23" t="s">
        <v>151</v>
      </c>
      <c r="C61" s="24">
        <f>C63+C64</f>
        <v>239.69</v>
      </c>
      <c r="D61" s="24">
        <f>D63+D64</f>
        <v>0</v>
      </c>
      <c r="E61" s="24">
        <f>E63+E64</f>
        <v>0</v>
      </c>
    </row>
    <row r="62" spans="1:5" ht="15.75" x14ac:dyDescent="0.25">
      <c r="A62" s="27"/>
      <c r="B62" s="28" t="s">
        <v>152</v>
      </c>
      <c r="C62" s="29"/>
      <c r="D62" s="29"/>
      <c r="E62" s="29"/>
    </row>
    <row r="63" spans="1:5" ht="15.75" x14ac:dyDescent="0.25">
      <c r="A63" s="27"/>
      <c r="B63" s="55" t="s">
        <v>153</v>
      </c>
      <c r="C63" s="29">
        <f>'13- gastos de depreciação e amo'!F6</f>
        <v>178.86</v>
      </c>
      <c r="D63" s="29">
        <v>0</v>
      </c>
      <c r="E63" s="29">
        <v>0</v>
      </c>
    </row>
    <row r="64" spans="1:5" ht="15.75" x14ac:dyDescent="0.25">
      <c r="A64" s="27"/>
      <c r="B64" s="59" t="s">
        <v>154</v>
      </c>
      <c r="C64" s="29">
        <f>'13- gastos de depreciação e amo'!F7</f>
        <v>60.83</v>
      </c>
      <c r="D64" s="29">
        <v>0</v>
      </c>
      <c r="E64" s="29">
        <v>0</v>
      </c>
    </row>
    <row r="65" spans="1:5" ht="15.75" x14ac:dyDescent="0.25">
      <c r="A65" s="22" t="s">
        <v>155</v>
      </c>
      <c r="B65" s="23" t="s">
        <v>156</v>
      </c>
      <c r="C65" s="24">
        <f>C66</f>
        <v>60.83</v>
      </c>
      <c r="D65" s="24">
        <f>D66</f>
        <v>0</v>
      </c>
      <c r="E65" s="24">
        <f>E66</f>
        <v>0</v>
      </c>
    </row>
    <row r="66" spans="1:5" ht="15.75" x14ac:dyDescent="0.25">
      <c r="A66" s="60"/>
      <c r="B66" s="60" t="s">
        <v>157</v>
      </c>
      <c r="C66" s="29">
        <f>'13- gastos de depreciação e amo'!F10</f>
        <v>60.83</v>
      </c>
      <c r="D66" s="29">
        <v>0</v>
      </c>
      <c r="E66" s="29">
        <v>0</v>
      </c>
    </row>
    <row r="67" spans="1:5" ht="15.75" x14ac:dyDescent="0.25">
      <c r="A67" s="27"/>
      <c r="B67" s="28"/>
      <c r="C67" s="29"/>
      <c r="D67" s="29"/>
      <c r="E67" s="29"/>
    </row>
    <row r="68" spans="1:5" ht="15.75" x14ac:dyDescent="0.25">
      <c r="A68" s="27"/>
      <c r="B68" s="28"/>
      <c r="C68" s="29"/>
      <c r="D68" s="29"/>
      <c r="E68" s="29"/>
    </row>
    <row r="69" spans="1:5" ht="15.75" x14ac:dyDescent="0.25">
      <c r="A69" s="27"/>
      <c r="B69" s="27"/>
      <c r="C69" s="29"/>
      <c r="D69" s="29"/>
      <c r="E69" s="29"/>
    </row>
    <row r="70" spans="1:5" ht="15.75" x14ac:dyDescent="0.25">
      <c r="A70" s="44"/>
      <c r="B70" s="45" t="s">
        <v>158</v>
      </c>
      <c r="C70" s="38">
        <f>'9-venda bens 10-cons mercd'!D19+'15,2 Demonst Resultados Previs.'!B6</f>
        <v>7931.0056874999991</v>
      </c>
      <c r="D70" s="46">
        <f>'9-venda bens 10-cons mercd'!F19</f>
        <v>23029.8243</v>
      </c>
      <c r="E70" s="46">
        <f>'9-venda bens 10-cons mercd'!H19</f>
        <v>24327.685515000001</v>
      </c>
    </row>
    <row r="71" spans="1:5" ht="15.75" x14ac:dyDescent="0.25">
      <c r="A71" s="44"/>
      <c r="B71" s="45" t="s">
        <v>159</v>
      </c>
      <c r="C71" s="38">
        <f>C77+C78+C79</f>
        <v>2998.77</v>
      </c>
      <c r="D71" s="46">
        <f>D77+D78+D79</f>
        <v>6544.4</v>
      </c>
      <c r="E71" s="46">
        <f>E77+E78+E79</f>
        <v>6544.4</v>
      </c>
    </row>
    <row r="72" spans="1:5" ht="15.75" x14ac:dyDescent="0.25">
      <c r="A72" s="44"/>
      <c r="B72" s="45" t="s">
        <v>160</v>
      </c>
      <c r="C72" s="38">
        <f>C70-C71</f>
        <v>4932.2356874999987</v>
      </c>
      <c r="D72" s="46">
        <f>D70-D71</f>
        <v>16485.424299999999</v>
      </c>
      <c r="E72" s="46">
        <f>E70-E71</f>
        <v>17783.285515000003</v>
      </c>
    </row>
    <row r="73" spans="1:5" ht="15.75" x14ac:dyDescent="0.25">
      <c r="A73" s="34"/>
      <c r="B73" s="34"/>
      <c r="C73" s="35"/>
      <c r="D73" s="35"/>
      <c r="E73" s="35"/>
    </row>
    <row r="74" spans="1:5" ht="15.75" x14ac:dyDescent="0.25">
      <c r="A74" s="34">
        <v>71</v>
      </c>
      <c r="B74" s="34"/>
      <c r="C74" s="35">
        <f>'9-venda bens 10-cons mercd'!D19</f>
        <v>7931.0056874999991</v>
      </c>
      <c r="D74" s="35">
        <f>'9-venda bens 10-cons mercd'!F19</f>
        <v>23029.8243</v>
      </c>
      <c r="E74" s="35">
        <f>'9-venda bens 10-cons mercd'!H19</f>
        <v>24327.685515000001</v>
      </c>
    </row>
    <row r="75" spans="1:5" ht="15.75" x14ac:dyDescent="0.25">
      <c r="A75" s="34">
        <v>75</v>
      </c>
      <c r="B75" s="34"/>
      <c r="C75" s="35">
        <v>0</v>
      </c>
      <c r="D75" s="35">
        <v>0</v>
      </c>
      <c r="E75" s="35">
        <v>0</v>
      </c>
    </row>
    <row r="76" spans="1:5" ht="15.75" x14ac:dyDescent="0.25">
      <c r="A76" s="34">
        <v>61</v>
      </c>
      <c r="B76" s="34"/>
      <c r="C76" s="35">
        <f>C3</f>
        <v>3137.13</v>
      </c>
      <c r="D76" s="35">
        <f>D3</f>
        <v>9405.7000000000007</v>
      </c>
      <c r="E76" s="35">
        <f>E3</f>
        <v>9875.99</v>
      </c>
    </row>
    <row r="77" spans="1:5" ht="15.75" x14ac:dyDescent="0.25">
      <c r="A77" s="34">
        <v>62</v>
      </c>
      <c r="B77" s="34"/>
      <c r="C77" s="35">
        <f>C5</f>
        <v>1844.85</v>
      </c>
      <c r="D77" s="35">
        <f>D5</f>
        <v>4496.24</v>
      </c>
      <c r="E77" s="35">
        <f>E5</f>
        <v>4496.24</v>
      </c>
    </row>
    <row r="78" spans="1:5" ht="15.75" x14ac:dyDescent="0.25">
      <c r="A78" s="34">
        <v>63</v>
      </c>
      <c r="B78" s="34"/>
      <c r="C78" s="35">
        <f>C44</f>
        <v>853.40000000000009</v>
      </c>
      <c r="D78" s="35">
        <f>D44</f>
        <v>2048.16</v>
      </c>
      <c r="E78" s="35">
        <f>E44</f>
        <v>2048.16</v>
      </c>
    </row>
    <row r="79" spans="1:5" ht="15.75" x14ac:dyDescent="0.25">
      <c r="A79" s="34">
        <v>64</v>
      </c>
      <c r="B79" s="34"/>
      <c r="C79" s="35">
        <f>C59</f>
        <v>300.52</v>
      </c>
      <c r="D79" s="35">
        <f>D59</f>
        <v>0</v>
      </c>
      <c r="E79" s="35">
        <f>E59</f>
        <v>0</v>
      </c>
    </row>
    <row r="80" spans="1:5" ht="15.75" x14ac:dyDescent="0.25">
      <c r="A80" s="34" t="s">
        <v>161</v>
      </c>
      <c r="B80" s="34"/>
      <c r="C80" s="35">
        <f>(C74+C75)-C76-C77-C78-C79</f>
        <v>1795.105687499999</v>
      </c>
      <c r="D80" s="35">
        <f>(D74+D75)-D76-D77-D78-D79</f>
        <v>7079.7242999999999</v>
      </c>
      <c r="E80" s="35">
        <f>(E74+E75)-E76-E77-E78-E79</f>
        <v>7907.2955150000016</v>
      </c>
    </row>
    <row r="81" spans="1:5" ht="15.75" x14ac:dyDescent="0.25">
      <c r="A81" s="34"/>
      <c r="B81" s="118" t="s">
        <v>306</v>
      </c>
      <c r="C81" s="35">
        <f>(C80*0)+(C80*0)</f>
        <v>0</v>
      </c>
      <c r="D81" s="35">
        <f>(D80*0)+(D80*0)</f>
        <v>0</v>
      </c>
      <c r="E81" s="35">
        <f>(E80*0)+(E80*0)</f>
        <v>0</v>
      </c>
    </row>
    <row r="82" spans="1:5" ht="15.75" x14ac:dyDescent="0.25">
      <c r="A82" s="34">
        <v>81</v>
      </c>
      <c r="B82" s="34"/>
      <c r="C82" s="184">
        <f>C80-C81</f>
        <v>1795.105687499999</v>
      </c>
      <c r="D82" s="35">
        <f>D80-D81</f>
        <v>7079.7242999999999</v>
      </c>
      <c r="E82" s="35">
        <f>E80-E81</f>
        <v>7907.2955150000016</v>
      </c>
    </row>
    <row r="86" spans="1:5" x14ac:dyDescent="0.25">
      <c r="B86" s="117" t="s">
        <v>223</v>
      </c>
    </row>
    <row r="87" spans="1:5" x14ac:dyDescent="0.25">
      <c r="B87" s="117" t="s">
        <v>224</v>
      </c>
    </row>
    <row r="88" spans="1:5" x14ac:dyDescent="0.25">
      <c r="B88" s="117" t="s">
        <v>246</v>
      </c>
    </row>
    <row r="90" spans="1:5" x14ac:dyDescent="0.25">
      <c r="B90" s="169" t="s">
        <v>291</v>
      </c>
    </row>
    <row r="91" spans="1:5" x14ac:dyDescent="0.25">
      <c r="B91" s="169" t="s">
        <v>292</v>
      </c>
    </row>
    <row r="92" spans="1:5" x14ac:dyDescent="0.25">
      <c r="B92" s="170" t="s">
        <v>293</v>
      </c>
    </row>
    <row r="93" spans="1:5" x14ac:dyDescent="0.25">
      <c r="B93" s="170" t="s">
        <v>294</v>
      </c>
    </row>
    <row r="94" spans="1:5" x14ac:dyDescent="0.25">
      <c r="B94" s="170" t="s">
        <v>295</v>
      </c>
    </row>
    <row r="95" spans="1:5" x14ac:dyDescent="0.25">
      <c r="B95" s="170" t="s">
        <v>296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J9" sqref="J9"/>
    </sheetView>
  </sheetViews>
  <sheetFormatPr defaultRowHeight="15" x14ac:dyDescent="0.25"/>
  <cols>
    <col min="2" max="2" width="9.28515625" customWidth="1"/>
    <col min="3" max="3" width="14.28515625" bestFit="1" customWidth="1"/>
  </cols>
  <sheetData>
    <row r="1" spans="1:6" x14ac:dyDescent="0.25">
      <c r="A1" s="211" t="s">
        <v>172</v>
      </c>
      <c r="B1" s="211"/>
      <c r="C1" s="211"/>
      <c r="D1" s="211"/>
      <c r="E1" s="211"/>
      <c r="F1" s="211"/>
    </row>
    <row r="2" spans="1:6" x14ac:dyDescent="0.25">
      <c r="A2" s="211"/>
      <c r="B2" s="211"/>
      <c r="C2" s="211"/>
      <c r="D2" s="211"/>
      <c r="E2" s="211"/>
      <c r="F2" s="211"/>
    </row>
    <row r="3" spans="1:6" x14ac:dyDescent="0.25">
      <c r="A3" s="64" t="s">
        <v>149</v>
      </c>
      <c r="B3" s="64"/>
      <c r="C3" s="64" t="s">
        <v>173</v>
      </c>
      <c r="D3" s="64" t="s">
        <v>174</v>
      </c>
      <c r="E3" s="64" t="s">
        <v>175</v>
      </c>
      <c r="F3" s="64" t="s">
        <v>176</v>
      </c>
    </row>
    <row r="4" spans="1:6" x14ac:dyDescent="0.25">
      <c r="A4" s="210"/>
      <c r="B4" s="210"/>
      <c r="C4" s="3"/>
      <c r="D4" s="3"/>
      <c r="E4" s="3"/>
      <c r="F4" s="3"/>
    </row>
    <row r="5" spans="1:6" x14ac:dyDescent="0.25">
      <c r="A5" s="205" t="s">
        <v>177</v>
      </c>
      <c r="B5" s="205"/>
      <c r="C5" s="210"/>
      <c r="D5" s="210"/>
      <c r="E5" s="210"/>
      <c r="F5" s="210"/>
    </row>
    <row r="6" spans="1:6" x14ac:dyDescent="0.25">
      <c r="A6" s="210" t="s">
        <v>179</v>
      </c>
      <c r="B6" s="210"/>
      <c r="C6" s="3" t="s">
        <v>180</v>
      </c>
      <c r="D6" s="3">
        <f>'7.1 inv e financ'!D8</f>
        <v>178.86</v>
      </c>
      <c r="E6" s="65">
        <v>1</v>
      </c>
      <c r="F6" s="3">
        <f>D6*E6</f>
        <v>178.86</v>
      </c>
    </row>
    <row r="7" spans="1:6" x14ac:dyDescent="0.25">
      <c r="A7" s="210" t="s">
        <v>181</v>
      </c>
      <c r="B7" s="210"/>
      <c r="C7" s="3" t="s">
        <v>182</v>
      </c>
      <c r="D7" s="3">
        <f>'7.1 inv e financ'!D10</f>
        <v>60.83</v>
      </c>
      <c r="E7" s="65">
        <v>1</v>
      </c>
      <c r="F7" s="3">
        <f>D7*E7</f>
        <v>60.83</v>
      </c>
    </row>
    <row r="8" spans="1:6" x14ac:dyDescent="0.25">
      <c r="A8" s="210"/>
      <c r="B8" s="210"/>
      <c r="C8" s="3"/>
      <c r="D8" s="3"/>
      <c r="E8" s="3"/>
      <c r="F8" s="3"/>
    </row>
    <row r="9" spans="1:6" x14ac:dyDescent="0.25">
      <c r="A9" s="205" t="s">
        <v>178</v>
      </c>
      <c r="B9" s="205"/>
      <c r="C9" s="210"/>
      <c r="D9" s="210"/>
      <c r="E9" s="210"/>
      <c r="F9" s="210"/>
    </row>
    <row r="10" spans="1:6" x14ac:dyDescent="0.25">
      <c r="A10" s="210" t="s">
        <v>183</v>
      </c>
      <c r="B10" s="210"/>
      <c r="C10" s="3" t="s">
        <v>180</v>
      </c>
      <c r="D10" s="3">
        <f>'7.1 inv e financ'!D15</f>
        <v>60.83</v>
      </c>
      <c r="E10" s="65">
        <v>1</v>
      </c>
      <c r="F10" s="3">
        <f>D10*E10</f>
        <v>60.83</v>
      </c>
    </row>
    <row r="11" spans="1:6" x14ac:dyDescent="0.25">
      <c r="A11" s="210"/>
      <c r="B11" s="210"/>
      <c r="C11" s="3"/>
      <c r="D11" s="3"/>
      <c r="E11" s="3"/>
      <c r="F11" s="3"/>
    </row>
    <row r="12" spans="1:6" x14ac:dyDescent="0.25">
      <c r="A12" s="210"/>
      <c r="B12" s="210"/>
      <c r="C12" s="3"/>
      <c r="D12" s="3"/>
      <c r="E12" s="3"/>
      <c r="F12" s="3"/>
    </row>
    <row r="13" spans="1:6" x14ac:dyDescent="0.25">
      <c r="A13" s="212" t="s">
        <v>18</v>
      </c>
      <c r="B13" s="212"/>
      <c r="C13" s="3"/>
      <c r="D13" s="3"/>
      <c r="E13" s="3"/>
      <c r="F13" s="66">
        <f>F6+F7+F10</f>
        <v>300.52</v>
      </c>
    </row>
  </sheetData>
  <mergeCells count="13">
    <mergeCell ref="A12:B12"/>
    <mergeCell ref="A13:B13"/>
    <mergeCell ref="A6:B6"/>
    <mergeCell ref="A7:B7"/>
    <mergeCell ref="A10:B10"/>
    <mergeCell ref="A11:B11"/>
    <mergeCell ref="A9:B9"/>
    <mergeCell ref="C9:F9"/>
    <mergeCell ref="A1:F2"/>
    <mergeCell ref="A4:B4"/>
    <mergeCell ref="A5:B5"/>
    <mergeCell ref="C5:F5"/>
    <mergeCell ref="A8:B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F19" sqref="F19"/>
    </sheetView>
  </sheetViews>
  <sheetFormatPr defaultRowHeight="15" x14ac:dyDescent="0.25"/>
  <cols>
    <col min="1" max="1" width="56.5703125" bestFit="1" customWidth="1"/>
    <col min="2" max="2" width="10.42578125" bestFit="1" customWidth="1"/>
    <col min="3" max="4" width="19.7109375" bestFit="1" customWidth="1"/>
  </cols>
  <sheetData>
    <row r="1" spans="1:4" ht="15.75" x14ac:dyDescent="0.25">
      <c r="A1" s="124" t="s">
        <v>226</v>
      </c>
      <c r="B1" s="35"/>
      <c r="C1" s="35"/>
      <c r="D1" s="35"/>
    </row>
    <row r="2" spans="1:4" ht="15.75" x14ac:dyDescent="0.25">
      <c r="A2" s="124" t="s">
        <v>227</v>
      </c>
      <c r="B2" s="35"/>
      <c r="C2" s="35"/>
      <c r="D2" s="35"/>
    </row>
    <row r="3" spans="1:4" ht="15.75" x14ac:dyDescent="0.25">
      <c r="A3" s="124"/>
      <c r="B3" s="35"/>
      <c r="C3" s="35"/>
      <c r="D3" s="35" t="s">
        <v>228</v>
      </c>
    </row>
    <row r="4" spans="1:4" ht="15.75" x14ac:dyDescent="0.25">
      <c r="A4" s="125" t="s">
        <v>229</v>
      </c>
      <c r="B4" s="122">
        <v>2013</v>
      </c>
      <c r="C4" s="122">
        <v>2014</v>
      </c>
      <c r="D4" s="122">
        <v>2015</v>
      </c>
    </row>
    <row r="5" spans="1:4" ht="15.75" x14ac:dyDescent="0.25">
      <c r="A5" s="126" t="s">
        <v>230</v>
      </c>
      <c r="B5" s="29">
        <f>'9-venda bens 10-cons mercd'!D19</f>
        <v>7931.0056874999991</v>
      </c>
      <c r="C5" s="29">
        <f>'9-venda bens 10-cons mercd'!F19</f>
        <v>23029.8243</v>
      </c>
      <c r="D5" s="29">
        <f>'9-venda bens 10-cons mercd'!H19</f>
        <v>24327.685515000001</v>
      </c>
    </row>
    <row r="6" spans="1:4" ht="15.75" x14ac:dyDescent="0.25">
      <c r="A6" s="126" t="s">
        <v>231</v>
      </c>
      <c r="B6" s="121">
        <v>0</v>
      </c>
      <c r="C6" s="29">
        <v>0</v>
      </c>
      <c r="D6" s="29">
        <v>0</v>
      </c>
    </row>
    <row r="7" spans="1:4" ht="15.75" x14ac:dyDescent="0.25">
      <c r="A7" s="126" t="s">
        <v>232</v>
      </c>
      <c r="B7" s="29">
        <v>0</v>
      </c>
      <c r="C7" s="29">
        <v>0</v>
      </c>
      <c r="D7" s="29">
        <v>0</v>
      </c>
    </row>
    <row r="8" spans="1:4" ht="15.75" x14ac:dyDescent="0.25">
      <c r="A8" s="126" t="s">
        <v>233</v>
      </c>
      <c r="B8" s="29">
        <v>0</v>
      </c>
      <c r="C8" s="29">
        <v>0</v>
      </c>
      <c r="D8" s="29">
        <v>0</v>
      </c>
    </row>
    <row r="9" spans="1:4" ht="15.75" x14ac:dyDescent="0.25">
      <c r="A9" s="218" t="s">
        <v>234</v>
      </c>
      <c r="B9" s="29">
        <v>3137.13</v>
      </c>
      <c r="C9" s="29">
        <v>9405.7000000000007</v>
      </c>
      <c r="D9" s="29">
        <v>9875.99</v>
      </c>
    </row>
    <row r="10" spans="1:4" ht="15.75" x14ac:dyDescent="0.25">
      <c r="A10" s="126" t="s">
        <v>62</v>
      </c>
      <c r="B10" s="29">
        <f>'11- Fornec serv extern'!C5</f>
        <v>1844.85</v>
      </c>
      <c r="C10" s="29">
        <f>'11- Fornec serv extern'!D5</f>
        <v>4496.24</v>
      </c>
      <c r="D10" s="29">
        <f>'11- Fornec serv extern'!E5</f>
        <v>4496.24</v>
      </c>
    </row>
    <row r="11" spans="1:4" ht="15.75" x14ac:dyDescent="0.25">
      <c r="A11" s="126" t="s">
        <v>235</v>
      </c>
      <c r="B11" s="29">
        <f>'11- Fornec serv extern'!C44</f>
        <v>853.40000000000009</v>
      </c>
      <c r="C11" s="29">
        <f>'11- Fornec serv extern'!D44</f>
        <v>2048.16</v>
      </c>
      <c r="D11" s="29">
        <f>'11- Fornec serv extern'!E44</f>
        <v>2048.16</v>
      </c>
    </row>
    <row r="12" spans="1:4" ht="15.75" x14ac:dyDescent="0.25">
      <c r="A12" s="126" t="s">
        <v>236</v>
      </c>
      <c r="B12" s="29">
        <v>0</v>
      </c>
      <c r="C12" s="29">
        <v>0</v>
      </c>
      <c r="D12" s="29">
        <v>0</v>
      </c>
    </row>
    <row r="13" spans="1:4" ht="15.75" x14ac:dyDescent="0.25">
      <c r="A13" s="126" t="s">
        <v>237</v>
      </c>
      <c r="B13" s="29">
        <v>0</v>
      </c>
      <c r="C13" s="29">
        <v>0</v>
      </c>
      <c r="D13" s="29">
        <v>0</v>
      </c>
    </row>
    <row r="14" spans="1:4" ht="15.75" x14ac:dyDescent="0.25">
      <c r="A14" s="126" t="s">
        <v>238</v>
      </c>
      <c r="B14" s="29">
        <v>0</v>
      </c>
      <c r="C14" s="29">
        <v>0</v>
      </c>
      <c r="D14" s="29">
        <v>0</v>
      </c>
    </row>
    <row r="15" spans="1:4" ht="15.75" x14ac:dyDescent="0.25">
      <c r="A15" s="126" t="s">
        <v>239</v>
      </c>
      <c r="B15" s="29">
        <v>0</v>
      </c>
      <c r="C15" s="29">
        <v>0</v>
      </c>
      <c r="D15" s="29">
        <v>0</v>
      </c>
    </row>
    <row r="16" spans="1:4" ht="15.75" x14ac:dyDescent="0.25">
      <c r="A16" s="128" t="s">
        <v>240</v>
      </c>
      <c r="B16" s="29">
        <f>B5+B6+B7+B8-B9-B10-B11-B12-B13-+B14-B15</f>
        <v>2095.625687499999</v>
      </c>
      <c r="C16" s="29">
        <f>C5+C6+C7+C8-C9-C10-C11-C12-C13+C14-C15</f>
        <v>7079.7242999999999</v>
      </c>
      <c r="D16" s="29">
        <f>D5+D6+D7+D8-D9-D10-D11-D12-D13+D14-D15</f>
        <v>7907.2955150000016</v>
      </c>
    </row>
    <row r="17" spans="1:4" ht="15.75" x14ac:dyDescent="0.25">
      <c r="A17" s="126" t="s">
        <v>241</v>
      </c>
      <c r="B17" s="29">
        <f>'13- gastos de depreciação e amo'!F13</f>
        <v>300.52</v>
      </c>
      <c r="C17" s="29">
        <v>0</v>
      </c>
      <c r="D17" s="29">
        <v>0</v>
      </c>
    </row>
    <row r="18" spans="1:4" ht="24" customHeight="1" x14ac:dyDescent="0.25">
      <c r="A18" s="128" t="s">
        <v>242</v>
      </c>
      <c r="B18" s="29">
        <f>B16-B17</f>
        <v>1795.105687499999</v>
      </c>
      <c r="C18" s="29">
        <f>C16-C17</f>
        <v>7079.7242999999999</v>
      </c>
      <c r="D18" s="29">
        <f>D16-D17</f>
        <v>7907.2955150000016</v>
      </c>
    </row>
    <row r="19" spans="1:4" ht="15.75" x14ac:dyDescent="0.25">
      <c r="A19" s="126" t="s">
        <v>243</v>
      </c>
      <c r="B19" s="29">
        <v>0</v>
      </c>
      <c r="C19" s="29">
        <v>0</v>
      </c>
      <c r="D19" s="29">
        <v>0</v>
      </c>
    </row>
    <row r="20" spans="1:4" ht="15.75" x14ac:dyDescent="0.25">
      <c r="A20" s="123" t="s">
        <v>244</v>
      </c>
      <c r="B20" s="29">
        <f>B18-B19</f>
        <v>1795.105687499999</v>
      </c>
      <c r="C20" s="29">
        <f>C18-C19</f>
        <v>7079.7242999999999</v>
      </c>
      <c r="D20" s="29">
        <f>D18-D19</f>
        <v>7907.2955150000016</v>
      </c>
    </row>
    <row r="21" spans="1:4" ht="15.75" x14ac:dyDescent="0.25">
      <c r="A21" s="138" t="s">
        <v>297</v>
      </c>
      <c r="B21" s="139">
        <f>(B20*0)+(B20*0)</f>
        <v>0</v>
      </c>
      <c r="C21" s="139">
        <f>(C20*0)+(C20*0)</f>
        <v>0</v>
      </c>
      <c r="D21" s="139">
        <f>(D20*0)+(D18*0)</f>
        <v>0</v>
      </c>
    </row>
    <row r="22" spans="1:4" ht="15.75" x14ac:dyDescent="0.25">
      <c r="A22" s="123" t="s">
        <v>245</v>
      </c>
      <c r="B22" s="29">
        <f>B20-B21</f>
        <v>1795.105687499999</v>
      </c>
      <c r="C22" s="29">
        <f>C20-C21</f>
        <v>7079.7242999999999</v>
      </c>
      <c r="D22" s="29">
        <f>D20-D21</f>
        <v>7907.2955150000016</v>
      </c>
    </row>
    <row r="24" spans="1:4" x14ac:dyDescent="0.25">
      <c r="A24" s="138" t="s">
        <v>307</v>
      </c>
    </row>
    <row r="28" spans="1:4" x14ac:dyDescent="0.25">
      <c r="A28" s="170"/>
    </row>
    <row r="29" spans="1:4" x14ac:dyDescent="0.25">
      <c r="A29" s="170"/>
    </row>
    <row r="30" spans="1:4" x14ac:dyDescent="0.25">
      <c r="A30" s="170"/>
    </row>
    <row r="31" spans="1:4" x14ac:dyDescent="0.25">
      <c r="A31" s="170"/>
    </row>
    <row r="33" spans="1:1" x14ac:dyDescent="0.25">
      <c r="A33" s="170"/>
    </row>
    <row r="34" spans="1:1" x14ac:dyDescent="0.25">
      <c r="A34" s="170"/>
    </row>
    <row r="35" spans="1:1" x14ac:dyDescent="0.25">
      <c r="A35" s="170"/>
    </row>
    <row r="36" spans="1:1" x14ac:dyDescent="0.25">
      <c r="A36" s="170"/>
    </row>
    <row r="37" spans="1:1" x14ac:dyDescent="0.25">
      <c r="A37" s="170"/>
    </row>
    <row r="38" spans="1:1" x14ac:dyDescent="0.25">
      <c r="A38" s="17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19" zoomScale="90" zoomScaleNormal="90" workbookViewId="0">
      <selection activeCell="I11" sqref="I11"/>
    </sheetView>
  </sheetViews>
  <sheetFormatPr defaultRowHeight="15" x14ac:dyDescent="0.25"/>
  <cols>
    <col min="1" max="1" width="56" style="134" customWidth="1"/>
    <col min="2" max="2" width="28" style="134" bestFit="1" customWidth="1"/>
    <col min="3" max="3" width="15.140625" style="134" customWidth="1"/>
    <col min="4" max="4" width="17.140625" style="134" customWidth="1"/>
    <col min="5" max="16384" width="9.140625" style="134"/>
  </cols>
  <sheetData>
    <row r="1" spans="1:7" ht="15.75" x14ac:dyDescent="0.25">
      <c r="A1" s="124" t="s">
        <v>247</v>
      </c>
      <c r="B1" s="35"/>
      <c r="C1" s="35"/>
      <c r="D1" s="35"/>
    </row>
    <row r="2" spans="1:7" ht="15.75" x14ac:dyDescent="0.25">
      <c r="A2" s="124" t="s">
        <v>227</v>
      </c>
      <c r="B2" s="35"/>
      <c r="C2" s="35"/>
      <c r="D2" s="35"/>
    </row>
    <row r="3" spans="1:7" ht="15.75" x14ac:dyDescent="0.25">
      <c r="A3" s="124"/>
      <c r="B3" s="35"/>
      <c r="C3" s="35"/>
      <c r="D3" s="35" t="s">
        <v>228</v>
      </c>
    </row>
    <row r="4" spans="1:7" ht="15.75" x14ac:dyDescent="0.25">
      <c r="A4" s="135" t="s">
        <v>248</v>
      </c>
      <c r="B4" s="122">
        <v>2013</v>
      </c>
      <c r="C4" s="122">
        <v>2014</v>
      </c>
      <c r="D4" s="122">
        <v>2015</v>
      </c>
    </row>
    <row r="5" spans="1:7" ht="15.75" x14ac:dyDescent="0.25">
      <c r="A5" s="128" t="s">
        <v>249</v>
      </c>
      <c r="B5" s="24">
        <f>B6+B7+B8+B9</f>
        <v>0</v>
      </c>
      <c r="C5" s="24">
        <f>C6+C7+C8+C9</f>
        <v>0</v>
      </c>
      <c r="D5" s="24">
        <f>D6+D7+D8+D9</f>
        <v>0</v>
      </c>
    </row>
    <row r="6" spans="1:7" ht="15.75" x14ac:dyDescent="0.25">
      <c r="A6" s="126" t="s">
        <v>151</v>
      </c>
      <c r="B6" s="121">
        <f>(178.86+64.23)-(178.86+64.23)</f>
        <v>0</v>
      </c>
      <c r="C6" s="121">
        <v>0</v>
      </c>
      <c r="D6" s="121">
        <v>0</v>
      </c>
    </row>
    <row r="7" spans="1:7" ht="15.75" x14ac:dyDescent="0.25">
      <c r="A7" s="126" t="s">
        <v>156</v>
      </c>
      <c r="B7" s="121">
        <f>(60.83)-(60.83)</f>
        <v>0</v>
      </c>
      <c r="C7" s="121">
        <v>0</v>
      </c>
      <c r="D7" s="121">
        <v>0</v>
      </c>
    </row>
    <row r="8" spans="1:7" ht="15.75" x14ac:dyDescent="0.25">
      <c r="A8" s="126" t="s">
        <v>250</v>
      </c>
      <c r="B8" s="121">
        <v>0</v>
      </c>
      <c r="C8" s="121">
        <v>0</v>
      </c>
      <c r="D8" s="121">
        <v>0</v>
      </c>
    </row>
    <row r="9" spans="1:7" ht="15.75" x14ac:dyDescent="0.25">
      <c r="A9" s="126" t="s">
        <v>251</v>
      </c>
      <c r="B9" s="121">
        <v>0</v>
      </c>
      <c r="C9" s="121">
        <v>0</v>
      </c>
      <c r="D9" s="121">
        <v>0</v>
      </c>
    </row>
    <row r="10" spans="1:7" ht="15.75" x14ac:dyDescent="0.25">
      <c r="A10" s="128" t="s">
        <v>252</v>
      </c>
      <c r="B10" s="38">
        <f>B11+B12+B13+B14+B15+B16</f>
        <v>1940.7856874999991</v>
      </c>
      <c r="C10" s="38">
        <f>SUM(C11:C16)</f>
        <v>9020.5099874999996</v>
      </c>
      <c r="D10" s="38">
        <f>D11+D12+D13+D14+D15+D16</f>
        <v>15132.699815000002</v>
      </c>
    </row>
    <row r="11" spans="1:7" ht="15.75" x14ac:dyDescent="0.25">
      <c r="A11" s="127" t="s">
        <v>253</v>
      </c>
      <c r="B11" s="121">
        <v>0</v>
      </c>
      <c r="C11" s="121">
        <v>0</v>
      </c>
      <c r="D11" s="121">
        <v>0</v>
      </c>
    </row>
    <row r="12" spans="1:7" ht="15.75" x14ac:dyDescent="0.25">
      <c r="A12" s="126" t="s">
        <v>254</v>
      </c>
      <c r="B12" s="121">
        <v>0</v>
      </c>
      <c r="C12" s="121">
        <v>0</v>
      </c>
      <c r="D12" s="121">
        <v>0</v>
      </c>
    </row>
    <row r="13" spans="1:7" ht="15.75" x14ac:dyDescent="0.25">
      <c r="A13" s="126" t="s">
        <v>255</v>
      </c>
      <c r="B13" s="121">
        <v>0</v>
      </c>
      <c r="C13" s="121">
        <v>0</v>
      </c>
      <c r="D13" s="121">
        <v>0</v>
      </c>
    </row>
    <row r="14" spans="1:7" ht="15.75" x14ac:dyDescent="0.25">
      <c r="A14" s="126" t="s">
        <v>256</v>
      </c>
      <c r="B14" s="129">
        <v>0</v>
      </c>
      <c r="C14" s="129">
        <v>0</v>
      </c>
      <c r="D14" s="129">
        <v>0</v>
      </c>
    </row>
    <row r="15" spans="1:7" ht="15.75" x14ac:dyDescent="0.25">
      <c r="A15" s="126" t="s">
        <v>257</v>
      </c>
      <c r="B15" s="129">
        <v>0</v>
      </c>
      <c r="C15" s="129">
        <v>0</v>
      </c>
      <c r="D15" s="129">
        <v>0</v>
      </c>
    </row>
    <row r="16" spans="1:7" ht="15.75" x14ac:dyDescent="0.25">
      <c r="A16" s="126" t="s">
        <v>258</v>
      </c>
      <c r="B16" s="129">
        <f>B37</f>
        <v>1940.7856874999991</v>
      </c>
      <c r="C16" s="129">
        <f>C37</f>
        <v>9020.5099874999996</v>
      </c>
      <c r="D16" s="129">
        <f>D37</f>
        <v>15132.699815000002</v>
      </c>
      <c r="E16" s="140"/>
      <c r="F16" s="186"/>
      <c r="G16" s="185"/>
    </row>
    <row r="17" spans="1:7" ht="15.75" x14ac:dyDescent="0.25">
      <c r="A17" s="123" t="s">
        <v>259</v>
      </c>
      <c r="B17" s="24">
        <f>B5+B10</f>
        <v>1940.7856874999991</v>
      </c>
      <c r="C17" s="24">
        <f>C5+C10</f>
        <v>9020.5099874999996</v>
      </c>
      <c r="D17" s="24">
        <f>D5+D10</f>
        <v>15132.699815000002</v>
      </c>
    </row>
    <row r="18" spans="1:7" ht="15.75" x14ac:dyDescent="0.25">
      <c r="A18" s="135" t="s">
        <v>260</v>
      </c>
      <c r="B18" s="121"/>
      <c r="C18" s="121"/>
      <c r="D18" s="121"/>
    </row>
    <row r="19" spans="1:7" ht="15.75" x14ac:dyDescent="0.25">
      <c r="A19" s="126" t="s">
        <v>261</v>
      </c>
      <c r="B19" s="130">
        <v>0</v>
      </c>
      <c r="C19" s="130">
        <v>0</v>
      </c>
      <c r="D19" s="130">
        <f>B19</f>
        <v>0</v>
      </c>
    </row>
    <row r="20" spans="1:7" ht="15.75" x14ac:dyDescent="0.25">
      <c r="A20" s="218" t="s">
        <v>262</v>
      </c>
      <c r="B20" s="121">
        <v>0</v>
      </c>
      <c r="C20" s="121">
        <v>0</v>
      </c>
      <c r="D20" s="121">
        <v>0</v>
      </c>
    </row>
    <row r="21" spans="1:7" ht="15.75" x14ac:dyDescent="0.25">
      <c r="A21" s="126" t="s">
        <v>263</v>
      </c>
      <c r="B21" s="121">
        <v>0</v>
      </c>
      <c r="C21" s="121">
        <f>B24*0.05</f>
        <v>89.75528437499996</v>
      </c>
      <c r="D21" s="121">
        <f>(B24*0.05)+(C24*0.05)</f>
        <v>443.74149937499999</v>
      </c>
    </row>
    <row r="22" spans="1:7" ht="15.75" x14ac:dyDescent="0.25">
      <c r="A22" s="126" t="s">
        <v>264</v>
      </c>
      <c r="B22" s="121">
        <v>0</v>
      </c>
      <c r="C22" s="121">
        <f>B24-C21</f>
        <v>1705.350403124999</v>
      </c>
      <c r="D22" s="121">
        <f>C24-D21</f>
        <v>6635.982800625</v>
      </c>
    </row>
    <row r="23" spans="1:7" ht="15.75" x14ac:dyDescent="0.25">
      <c r="A23" s="126" t="s">
        <v>265</v>
      </c>
      <c r="B23" s="121">
        <v>0</v>
      </c>
      <c r="C23" s="121">
        <v>0</v>
      </c>
      <c r="D23" s="121">
        <v>0</v>
      </c>
    </row>
    <row r="24" spans="1:7" ht="15.75" x14ac:dyDescent="0.25">
      <c r="A24" s="126" t="s">
        <v>245</v>
      </c>
      <c r="B24" s="121">
        <f>'15,2 Demonst Resultados Previs.'!B22</f>
        <v>1795.105687499999</v>
      </c>
      <c r="C24" s="121">
        <f>'15,2 Demonst Resultados Previs.'!C22</f>
        <v>7079.7242999999999</v>
      </c>
      <c r="D24" s="121">
        <f>'15,2 Demonst Resultados Previs.'!D22</f>
        <v>7907.2955150000016</v>
      </c>
    </row>
    <row r="25" spans="1:7" ht="15.75" x14ac:dyDescent="0.25">
      <c r="A25" s="123" t="s">
        <v>266</v>
      </c>
      <c r="B25" s="24">
        <f>SUM(B19:B24)</f>
        <v>1795.105687499999</v>
      </c>
      <c r="C25" s="24">
        <f>SUM(C19:C24)</f>
        <v>8874.8299874999993</v>
      </c>
      <c r="D25" s="24">
        <f>SUM(D19:D24)</f>
        <v>14987.019815000001</v>
      </c>
    </row>
    <row r="26" spans="1:7" ht="15.75" x14ac:dyDescent="0.25">
      <c r="A26" s="135" t="s">
        <v>267</v>
      </c>
      <c r="B26" s="121"/>
      <c r="C26" s="121"/>
      <c r="D26" s="121"/>
    </row>
    <row r="27" spans="1:7" ht="15.75" x14ac:dyDescent="0.25">
      <c r="A27" s="128" t="s">
        <v>268</v>
      </c>
      <c r="B27" s="24">
        <f>B28+B29+B30</f>
        <v>0</v>
      </c>
      <c r="C27" s="24">
        <f>C28+C29+C30</f>
        <v>0</v>
      </c>
      <c r="D27" s="24">
        <f>D28+D29+D30</f>
        <v>0</v>
      </c>
    </row>
    <row r="28" spans="1:7" ht="15.75" x14ac:dyDescent="0.25">
      <c r="A28" s="126" t="s">
        <v>269</v>
      </c>
      <c r="B28" s="29">
        <v>0</v>
      </c>
      <c r="C28" s="29">
        <v>0</v>
      </c>
      <c r="D28" s="29">
        <v>0</v>
      </c>
    </row>
    <row r="29" spans="1:7" ht="15.75" x14ac:dyDescent="0.25">
      <c r="A29" s="126" t="s">
        <v>270</v>
      </c>
      <c r="B29" s="29">
        <v>0</v>
      </c>
      <c r="C29" s="29">
        <v>0</v>
      </c>
      <c r="D29" s="29">
        <v>0</v>
      </c>
      <c r="G29" s="219"/>
    </row>
    <row r="30" spans="1:7" ht="15.75" x14ac:dyDescent="0.25">
      <c r="A30" s="126" t="s">
        <v>271</v>
      </c>
      <c r="B30" s="29">
        <v>0</v>
      </c>
      <c r="C30" s="29">
        <v>0</v>
      </c>
      <c r="D30" s="29">
        <v>0</v>
      </c>
    </row>
    <row r="31" spans="1:7" ht="15.75" x14ac:dyDescent="0.25">
      <c r="A31" s="128" t="s">
        <v>272</v>
      </c>
      <c r="B31" s="24">
        <f>B32+B33+B34+B35</f>
        <v>145.68</v>
      </c>
      <c r="C31" s="24">
        <f>C32+C33+C34+C35</f>
        <v>145.68</v>
      </c>
      <c r="D31" s="24">
        <f>D32+D33+D34+D35</f>
        <v>145.68</v>
      </c>
    </row>
    <row r="32" spans="1:7" ht="15.75" x14ac:dyDescent="0.25">
      <c r="A32" s="126" t="s">
        <v>273</v>
      </c>
      <c r="B32" s="29">
        <v>0</v>
      </c>
      <c r="C32" s="29">
        <v>0</v>
      </c>
      <c r="D32" s="29">
        <v>0</v>
      </c>
    </row>
    <row r="33" spans="1:4" ht="15.75" x14ac:dyDescent="0.25">
      <c r="A33" s="126" t="s">
        <v>255</v>
      </c>
      <c r="B33" s="130">
        <v>145.68</v>
      </c>
      <c r="C33" s="130">
        <v>145.68</v>
      </c>
      <c r="D33" s="130">
        <v>145.68</v>
      </c>
    </row>
    <row r="34" spans="1:4" ht="15.75" x14ac:dyDescent="0.25">
      <c r="A34" s="126" t="s">
        <v>256</v>
      </c>
      <c r="B34" s="121">
        <v>0</v>
      </c>
      <c r="C34" s="121">
        <v>0</v>
      </c>
      <c r="D34" s="121">
        <v>0</v>
      </c>
    </row>
    <row r="35" spans="1:4" ht="15.75" x14ac:dyDescent="0.25">
      <c r="A35" s="126" t="s">
        <v>274</v>
      </c>
      <c r="B35" s="29">
        <v>0</v>
      </c>
      <c r="C35" s="29">
        <v>0</v>
      </c>
      <c r="D35" s="29">
        <v>0</v>
      </c>
    </row>
    <row r="36" spans="1:4" ht="15.75" x14ac:dyDescent="0.25">
      <c r="A36" s="123" t="s">
        <v>275</v>
      </c>
      <c r="B36" s="24">
        <f>B27+B31</f>
        <v>145.68</v>
      </c>
      <c r="C36" s="24">
        <f>C27+C31</f>
        <v>145.68</v>
      </c>
      <c r="D36" s="24">
        <f>D27+D31</f>
        <v>145.68</v>
      </c>
    </row>
    <row r="37" spans="1:4" ht="15.75" x14ac:dyDescent="0.25">
      <c r="A37" s="123" t="s">
        <v>276</v>
      </c>
      <c r="B37" s="24">
        <f>B25+B36</f>
        <v>1940.7856874999991</v>
      </c>
      <c r="C37" s="24">
        <f>C25+C36</f>
        <v>9020.5099874999996</v>
      </c>
      <c r="D37" s="24">
        <f>D25+D36</f>
        <v>15132.699815000002</v>
      </c>
    </row>
    <row r="38" spans="1:4" ht="15.75" x14ac:dyDescent="0.25">
      <c r="A38" s="124"/>
      <c r="B38" s="35"/>
      <c r="C38" s="35"/>
      <c r="D38" s="35"/>
    </row>
    <row r="39" spans="1:4" ht="15.75" x14ac:dyDescent="0.25">
      <c r="A39" s="124"/>
      <c r="B39" s="35">
        <f>B17-B37</f>
        <v>0</v>
      </c>
      <c r="C39" s="35">
        <f>C17-C37</f>
        <v>0</v>
      </c>
      <c r="D39" s="35">
        <f>D17-D37</f>
        <v>0</v>
      </c>
    </row>
    <row r="40" spans="1:4" ht="15.75" x14ac:dyDescent="0.25">
      <c r="A40" s="213"/>
      <c r="B40" s="214"/>
      <c r="C40" s="214"/>
      <c r="D40" s="214"/>
    </row>
    <row r="41" spans="1:4" x14ac:dyDescent="0.25">
      <c r="A41" s="131"/>
      <c r="B41" s="132"/>
      <c r="C41" s="132"/>
      <c r="D41" s="133"/>
    </row>
    <row r="42" spans="1:4" ht="15.75" x14ac:dyDescent="0.25">
      <c r="A42" s="136"/>
      <c r="B42" s="35"/>
      <c r="C42" s="35"/>
      <c r="D42" s="35"/>
    </row>
    <row r="43" spans="1:4" ht="15.75" x14ac:dyDescent="0.25">
      <c r="A43" s="136"/>
      <c r="B43" s="35"/>
      <c r="C43" s="35"/>
      <c r="D43" s="35"/>
    </row>
    <row r="44" spans="1:4" ht="15.75" x14ac:dyDescent="0.25">
      <c r="A44" s="136"/>
      <c r="B44" s="35"/>
      <c r="C44" s="35"/>
      <c r="D44" s="35"/>
    </row>
    <row r="45" spans="1:4" ht="15.75" x14ac:dyDescent="0.25">
      <c r="A45" s="136"/>
      <c r="B45" s="35"/>
      <c r="C45" s="35"/>
      <c r="D45" s="35"/>
    </row>
    <row r="46" spans="1:4" ht="15.75" x14ac:dyDescent="0.25">
      <c r="A46" s="136"/>
      <c r="B46" s="35"/>
      <c r="C46" s="35"/>
      <c r="D46" s="35"/>
    </row>
    <row r="47" spans="1:4" ht="15.75" x14ac:dyDescent="0.25">
      <c r="A47" s="136"/>
      <c r="B47" s="35"/>
      <c r="C47" s="35"/>
      <c r="D47" s="35"/>
    </row>
    <row r="48" spans="1:4" ht="15.75" x14ac:dyDescent="0.25">
      <c r="A48" s="124"/>
      <c r="B48" s="35"/>
      <c r="C48" s="35"/>
      <c r="D48" s="35"/>
    </row>
    <row r="49" spans="1:4" x14ac:dyDescent="0.25">
      <c r="A49" s="215"/>
      <c r="B49" s="215"/>
      <c r="C49" s="215"/>
      <c r="D49" s="215"/>
    </row>
    <row r="50" spans="1:4" x14ac:dyDescent="0.25">
      <c r="A50" s="137"/>
      <c r="B50" s="137"/>
      <c r="C50" s="137"/>
      <c r="D50" s="137"/>
    </row>
    <row r="51" spans="1:4" ht="15.75" x14ac:dyDescent="0.25">
      <c r="A51" s="124"/>
      <c r="B51" s="35"/>
      <c r="C51" s="35"/>
      <c r="D51" s="35"/>
    </row>
    <row r="52" spans="1:4" ht="15.75" x14ac:dyDescent="0.25">
      <c r="A52" s="136"/>
      <c r="B52" s="35"/>
      <c r="C52" s="35"/>
      <c r="D52" s="35"/>
    </row>
    <row r="53" spans="1:4" ht="15.75" x14ac:dyDescent="0.25">
      <c r="A53" s="136"/>
      <c r="B53" s="35"/>
      <c r="C53" s="35"/>
      <c r="D53" s="35"/>
    </row>
    <row r="54" spans="1:4" ht="15.75" x14ac:dyDescent="0.25">
      <c r="A54" s="136"/>
      <c r="B54" s="35"/>
      <c r="C54" s="35"/>
      <c r="D54" s="35"/>
    </row>
  </sheetData>
  <mergeCells count="2">
    <mergeCell ref="A40:D40"/>
    <mergeCell ref="A49:D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perguntas 28-05</vt:lpstr>
      <vt:lpstr>Regras regimes</vt:lpstr>
      <vt:lpstr>9-venda bens 10-cons mercd</vt:lpstr>
      <vt:lpstr>7.1 inv e financ</vt:lpstr>
      <vt:lpstr>11- Fornec serv extern</vt:lpstr>
      <vt:lpstr>13- gastos de depreciação e amo</vt:lpstr>
      <vt:lpstr>15,2 Demonst Resultados Previs.</vt:lpstr>
      <vt:lpstr>16,2 -Balanço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Rute Paulo</dc:creator>
  <cp:lastModifiedBy>Rute Paulo</cp:lastModifiedBy>
  <cp:lastPrinted>2013-05-27T22:51:13Z</cp:lastPrinted>
  <dcterms:created xsi:type="dcterms:W3CDTF">2013-05-27T11:54:05Z</dcterms:created>
  <dcterms:modified xsi:type="dcterms:W3CDTF">2013-05-28T13:28:39Z</dcterms:modified>
</cp:coreProperties>
</file>