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tabRatio="598" firstSheet="5" activeTab="10"/>
  </bookViews>
  <sheets>
    <sheet name="Investimento" sheetId="1" r:id="rId1"/>
    <sheet name="Amortizações" sheetId="10" r:id="rId2"/>
    <sheet name="Estrutura accionista" sheetId="4" r:id="rId3"/>
    <sheet name="Pacotes" sheetId="12" r:id="rId4"/>
    <sheet name="Receitas Exploração" sheetId="6" r:id="rId5"/>
    <sheet name="Custos com Pessoal" sheetId="5" r:id="rId6"/>
    <sheet name="Despesas Exploração" sheetId="7" r:id="rId7"/>
    <sheet name="Financiamento" sheetId="15" r:id="rId8"/>
    <sheet name="ICC" sheetId="2" r:id="rId9"/>
    <sheet name="DRLP" sheetId="8" r:id="rId10"/>
    <sheet name="Cash Flow do Projecto" sheetId="9" r:id="rId11"/>
  </sheets>
  <calcPr calcId="125725"/>
</workbook>
</file>

<file path=xl/calcChain.xml><?xml version="1.0" encoding="utf-8"?>
<calcChain xmlns="http://schemas.openxmlformats.org/spreadsheetml/2006/main">
  <c r="O7" i="8"/>
  <c r="O8"/>
  <c r="O9"/>
  <c r="O10"/>
  <c r="O11"/>
  <c r="O12"/>
  <c r="O6"/>
  <c r="C12" i="15"/>
  <c r="C11"/>
  <c r="D11"/>
  <c r="B4"/>
  <c r="E11"/>
  <c r="G11" l="1"/>
  <c r="I11" s="1"/>
  <c r="H11" l="1"/>
  <c r="E12" l="1"/>
  <c r="D12" s="1"/>
  <c r="G12" l="1"/>
  <c r="I12" s="1"/>
  <c r="H12" l="1"/>
  <c r="E13" l="1"/>
  <c r="D13" s="1"/>
  <c r="G13" l="1"/>
  <c r="I13" s="1"/>
  <c r="H13" l="1"/>
  <c r="C13"/>
  <c r="E14" l="1"/>
  <c r="D14" s="1"/>
  <c r="G14" l="1"/>
  <c r="I14" s="1"/>
  <c r="H14" l="1"/>
  <c r="C14"/>
  <c r="E15" l="1"/>
  <c r="D15" s="1"/>
  <c r="G15" l="1"/>
  <c r="I15" s="1"/>
  <c r="H15" l="1"/>
  <c r="C15"/>
  <c r="E16" l="1"/>
  <c r="D16" s="1"/>
  <c r="G16" l="1"/>
  <c r="I16" s="1"/>
  <c r="H16" l="1"/>
  <c r="C16"/>
  <c r="E17" l="1"/>
  <c r="D17" s="1"/>
  <c r="G17" l="1"/>
  <c r="I17" s="1"/>
  <c r="H17" l="1"/>
  <c r="C17"/>
  <c r="E18" l="1"/>
  <c r="D18" s="1"/>
  <c r="G18" l="1"/>
  <c r="I18" s="1"/>
  <c r="J32" i="9"/>
  <c r="J5"/>
  <c r="I5"/>
  <c r="H5"/>
  <c r="E7" i="6"/>
  <c r="D5" i="9"/>
  <c r="F13" i="7"/>
  <c r="G13" s="1"/>
  <c r="H13" s="1"/>
  <c r="I13" s="1"/>
  <c r="J13" s="1"/>
  <c r="J12" s="1"/>
  <c r="J16" s="1"/>
  <c r="E13"/>
  <c r="D13"/>
  <c r="C24" i="2"/>
  <c r="C25"/>
  <c r="C26"/>
  <c r="C27"/>
  <c r="C28"/>
  <c r="C29"/>
  <c r="C23"/>
  <c r="B5" i="9"/>
  <c r="B12"/>
  <c r="B11"/>
  <c r="I27" i="1"/>
  <c r="G25"/>
  <c r="H25"/>
  <c r="I25"/>
  <c r="F25"/>
  <c r="Q41" i="6"/>
  <c r="Q43" s="1"/>
  <c r="C11" i="8" s="1"/>
  <c r="E28" i="2" s="1"/>
  <c r="T41" i="6"/>
  <c r="T43" s="1"/>
  <c r="C12" i="8" s="1"/>
  <c r="E29" i="2" s="1"/>
  <c r="E41" i="6"/>
  <c r="E43" s="1"/>
  <c r="C7" i="8" s="1"/>
  <c r="E24" i="2" s="1"/>
  <c r="H41" i="6"/>
  <c r="H43" s="1"/>
  <c r="C8" i="8" s="1"/>
  <c r="E25" i="2" s="1"/>
  <c r="K41" i="6"/>
  <c r="K43" s="1"/>
  <c r="C9" i="8" s="1"/>
  <c r="E26" i="2" s="1"/>
  <c r="N41" i="6"/>
  <c r="N43" s="1"/>
  <c r="C10" i="8" s="1"/>
  <c r="E27" i="2" s="1"/>
  <c r="B41" i="6"/>
  <c r="B43" s="1"/>
  <c r="C6" i="8" s="1"/>
  <c r="E23" i="2" s="1"/>
  <c r="H6" i="8"/>
  <c r="H7" s="1"/>
  <c r="H8" s="1"/>
  <c r="H9" s="1"/>
  <c r="H10" s="1"/>
  <c r="H11" s="1"/>
  <c r="H12" s="1"/>
  <c r="K18" i="9"/>
  <c r="K20" s="1"/>
  <c r="D12" i="7"/>
  <c r="D16" s="1"/>
  <c r="E31"/>
  <c r="E30"/>
  <c r="F30" s="1"/>
  <c r="G30" s="1"/>
  <c r="H30" s="1"/>
  <c r="I30" s="1"/>
  <c r="J30" s="1"/>
  <c r="E28"/>
  <c r="F28" s="1"/>
  <c r="G28" s="1"/>
  <c r="H28" s="1"/>
  <c r="I28" s="1"/>
  <c r="J28" s="1"/>
  <c r="E27"/>
  <c r="F27" s="1"/>
  <c r="G27" s="1"/>
  <c r="H27" s="1"/>
  <c r="I27" s="1"/>
  <c r="J27" s="1"/>
  <c r="E26"/>
  <c r="F26" s="1"/>
  <c r="G26" s="1"/>
  <c r="H26" s="1"/>
  <c r="I26" s="1"/>
  <c r="J26" s="1"/>
  <c r="E25"/>
  <c r="F25" s="1"/>
  <c r="G25" s="1"/>
  <c r="H25" s="1"/>
  <c r="I25" s="1"/>
  <c r="J25" s="1"/>
  <c r="E24"/>
  <c r="F24" s="1"/>
  <c r="G24" s="1"/>
  <c r="H24" s="1"/>
  <c r="I24" s="1"/>
  <c r="J24" s="1"/>
  <c r="E23"/>
  <c r="F23" s="1"/>
  <c r="G23" s="1"/>
  <c r="H23" s="1"/>
  <c r="I23" s="1"/>
  <c r="J23" s="1"/>
  <c r="E21"/>
  <c r="F21" s="1"/>
  <c r="G21" s="1"/>
  <c r="H21" s="1"/>
  <c r="I21" s="1"/>
  <c r="J21" s="1"/>
  <c r="E22"/>
  <c r="F22" s="1"/>
  <c r="G22" s="1"/>
  <c r="H22" s="1"/>
  <c r="I22" s="1"/>
  <c r="J22" s="1"/>
  <c r="E34"/>
  <c r="F34" s="1"/>
  <c r="G34" s="1"/>
  <c r="H34" s="1"/>
  <c r="I34" s="1"/>
  <c r="J34" s="1"/>
  <c r="E33"/>
  <c r="F33" s="1"/>
  <c r="G33" s="1"/>
  <c r="H33" s="1"/>
  <c r="I33" s="1"/>
  <c r="J33" s="1"/>
  <c r="F32"/>
  <c r="G32" s="1"/>
  <c r="H32" s="1"/>
  <c r="I32" s="1"/>
  <c r="J32" s="1"/>
  <c r="E32"/>
  <c r="E35"/>
  <c r="F35"/>
  <c r="G35"/>
  <c r="H35"/>
  <c r="I35"/>
  <c r="J35"/>
  <c r="D35"/>
  <c r="E20"/>
  <c r="F20" s="1"/>
  <c r="G20" s="1"/>
  <c r="D19"/>
  <c r="D37" s="1"/>
  <c r="K6" i="8" s="1"/>
  <c r="D23" i="2" s="1"/>
  <c r="D15" i="7"/>
  <c r="E15" s="1"/>
  <c r="E14" s="1"/>
  <c r="B6" i="4"/>
  <c r="E8" i="7"/>
  <c r="F8" s="1"/>
  <c r="G8" s="1"/>
  <c r="H8" s="1"/>
  <c r="I8" s="1"/>
  <c r="J8" s="1"/>
  <c r="E7"/>
  <c r="F7" s="1"/>
  <c r="H18" i="15" l="1"/>
  <c r="C18"/>
  <c r="G6" i="8"/>
  <c r="E19" i="7"/>
  <c r="E37" s="1"/>
  <c r="K7" i="8" s="1"/>
  <c r="D24" i="2" s="1"/>
  <c r="F31" i="7"/>
  <c r="G31" s="1"/>
  <c r="H31" s="1"/>
  <c r="I31" s="1"/>
  <c r="J31" s="1"/>
  <c r="F19"/>
  <c r="F37" s="1"/>
  <c r="K8" i="8" s="1"/>
  <c r="D25" i="2" s="1"/>
  <c r="H20" i="7"/>
  <c r="D14"/>
  <c r="E12"/>
  <c r="E16" s="1"/>
  <c r="H12"/>
  <c r="H16" s="1"/>
  <c r="F12"/>
  <c r="F16" s="1"/>
  <c r="I12"/>
  <c r="I16" s="1"/>
  <c r="G12"/>
  <c r="G16" s="1"/>
  <c r="F15"/>
  <c r="G7"/>
  <c r="F6"/>
  <c r="E6"/>
  <c r="G7" i="8" l="1"/>
  <c r="G23" i="2"/>
  <c r="H23"/>
  <c r="E19" i="15"/>
  <c r="D19" s="1"/>
  <c r="G19" i="7"/>
  <c r="G37" s="1"/>
  <c r="K9" i="8" s="1"/>
  <c r="D26" i="2" s="1"/>
  <c r="I20" i="7"/>
  <c r="H19"/>
  <c r="H37" s="1"/>
  <c r="K10" i="8" s="1"/>
  <c r="D27" i="2" s="1"/>
  <c r="G15" i="7"/>
  <c r="F14"/>
  <c r="H7"/>
  <c r="G6"/>
  <c r="G8" i="8" l="1"/>
  <c r="H24" i="2"/>
  <c r="G24"/>
  <c r="G19" i="15"/>
  <c r="I19" s="1"/>
  <c r="I19" i="7"/>
  <c r="I37" s="1"/>
  <c r="K11" i="8" s="1"/>
  <c r="D28" i="2" s="1"/>
  <c r="J20" i="7"/>
  <c r="J19" s="1"/>
  <c r="J37" s="1"/>
  <c r="K12" i="8" s="1"/>
  <c r="D29" i="2" s="1"/>
  <c r="H15" i="7"/>
  <c r="G14"/>
  <c r="I7"/>
  <c r="H6"/>
  <c r="G9" i="8" l="1"/>
  <c r="H25" i="2"/>
  <c r="G25"/>
  <c r="H19" i="15"/>
  <c r="C19"/>
  <c r="H14" i="7"/>
  <c r="I15"/>
  <c r="J7"/>
  <c r="J6" s="1"/>
  <c r="I6"/>
  <c r="G10" i="8" l="1"/>
  <c r="H26" i="2"/>
  <c r="G26"/>
  <c r="E20" i="15"/>
  <c r="D20" s="1"/>
  <c r="I14" i="7"/>
  <c r="J15"/>
  <c r="J14" s="1"/>
  <c r="G11" i="8" l="1"/>
  <c r="H27" i="2"/>
  <c r="G27"/>
  <c r="G20" i="15"/>
  <c r="I20" s="1"/>
  <c r="E5" i="7"/>
  <c r="F5" s="1"/>
  <c r="G5" s="1"/>
  <c r="E4"/>
  <c r="F4" s="1"/>
  <c r="G4" s="1"/>
  <c r="E3"/>
  <c r="F3" s="1"/>
  <c r="D2"/>
  <c r="D9" s="1"/>
  <c r="F6" i="8" s="1"/>
  <c r="I6" s="1"/>
  <c r="J4" i="10"/>
  <c r="J5"/>
  <c r="J3"/>
  <c r="J10" s="1"/>
  <c r="I12" i="9"/>
  <c r="I11"/>
  <c r="I10"/>
  <c r="I9"/>
  <c r="I8"/>
  <c r="I7"/>
  <c r="I6"/>
  <c r="J7" i="8"/>
  <c r="L7" s="1"/>
  <c r="J8"/>
  <c r="L8" s="1"/>
  <c r="J9"/>
  <c r="L9" s="1"/>
  <c r="J10"/>
  <c r="L10" s="1"/>
  <c r="J11"/>
  <c r="L11" s="1"/>
  <c r="J12"/>
  <c r="L12" s="1"/>
  <c r="J6"/>
  <c r="L6" s="1"/>
  <c r="G18" i="5"/>
  <c r="G19"/>
  <c r="G20"/>
  <c r="G21"/>
  <c r="G22"/>
  <c r="G23"/>
  <c r="E19"/>
  <c r="E21"/>
  <c r="E23" s="1"/>
  <c r="G17"/>
  <c r="C18"/>
  <c r="C19"/>
  <c r="C20"/>
  <c r="C21"/>
  <c r="C22"/>
  <c r="C23"/>
  <c r="C17"/>
  <c r="B19"/>
  <c r="B20" s="1"/>
  <c r="B21" s="1"/>
  <c r="B22" s="1"/>
  <c r="B23" s="1"/>
  <c r="B18"/>
  <c r="I5" i="10"/>
  <c r="I4"/>
  <c r="I3"/>
  <c r="I10" s="1"/>
  <c r="H9"/>
  <c r="H8"/>
  <c r="H7"/>
  <c r="H4"/>
  <c r="H5"/>
  <c r="H6"/>
  <c r="H3"/>
  <c r="G4"/>
  <c r="G5"/>
  <c r="G6"/>
  <c r="G7"/>
  <c r="G8"/>
  <c r="G9"/>
  <c r="G3"/>
  <c r="G10" s="1"/>
  <c r="F9"/>
  <c r="F8"/>
  <c r="F7"/>
  <c r="F4"/>
  <c r="F5"/>
  <c r="F6"/>
  <c r="F3"/>
  <c r="F10" s="1"/>
  <c r="E9"/>
  <c r="E8"/>
  <c r="E7"/>
  <c r="E6"/>
  <c r="E4"/>
  <c r="E5"/>
  <c r="E3"/>
  <c r="D8"/>
  <c r="D9"/>
  <c r="D7"/>
  <c r="D6"/>
  <c r="D4"/>
  <c r="D5"/>
  <c r="D3"/>
  <c r="C9"/>
  <c r="C8"/>
  <c r="C7"/>
  <c r="C6"/>
  <c r="C4"/>
  <c r="C5"/>
  <c r="C3"/>
  <c r="B7" i="9"/>
  <c r="B8"/>
  <c r="B9"/>
  <c r="B10"/>
  <c r="B4" i="10"/>
  <c r="K4" s="1"/>
  <c r="B5"/>
  <c r="B6"/>
  <c r="K6" s="1"/>
  <c r="B7"/>
  <c r="K7" s="1"/>
  <c r="B8"/>
  <c r="K8" s="1"/>
  <c r="B9"/>
  <c r="K9" s="1"/>
  <c r="B3"/>
  <c r="K3" s="1"/>
  <c r="V26" i="6"/>
  <c r="V27"/>
  <c r="V25"/>
  <c r="V22"/>
  <c r="V23"/>
  <c r="V21"/>
  <c r="V18"/>
  <c r="V19"/>
  <c r="V17"/>
  <c r="V14"/>
  <c r="V15"/>
  <c r="V13"/>
  <c r="S27"/>
  <c r="S26"/>
  <c r="S25"/>
  <c r="S22"/>
  <c r="S23"/>
  <c r="S21"/>
  <c r="S14"/>
  <c r="S15"/>
  <c r="S13"/>
  <c r="S18"/>
  <c r="S19"/>
  <c r="S17"/>
  <c r="V10"/>
  <c r="V11"/>
  <c r="V9"/>
  <c r="V29"/>
  <c r="S29"/>
  <c r="S10"/>
  <c r="S11"/>
  <c r="S9"/>
  <c r="M29"/>
  <c r="M22"/>
  <c r="M23"/>
  <c r="M21"/>
  <c r="M26"/>
  <c r="M27"/>
  <c r="M25"/>
  <c r="M18"/>
  <c r="M19"/>
  <c r="M17"/>
  <c r="N11"/>
  <c r="P9"/>
  <c r="P10"/>
  <c r="P11"/>
  <c r="P13"/>
  <c r="P14"/>
  <c r="P15"/>
  <c r="P17"/>
  <c r="P18"/>
  <c r="P19"/>
  <c r="P21"/>
  <c r="P22"/>
  <c r="P23"/>
  <c r="P25"/>
  <c r="P26"/>
  <c r="P27"/>
  <c r="P29"/>
  <c r="J17"/>
  <c r="J18"/>
  <c r="J19"/>
  <c r="J21"/>
  <c r="J22"/>
  <c r="J23"/>
  <c r="J25"/>
  <c r="J26"/>
  <c r="J27"/>
  <c r="J29"/>
  <c r="V6"/>
  <c r="V7"/>
  <c r="V5"/>
  <c r="S7"/>
  <c r="S6"/>
  <c r="S5"/>
  <c r="M14"/>
  <c r="M15"/>
  <c r="M13"/>
  <c r="V34"/>
  <c r="S34"/>
  <c r="P34"/>
  <c r="M34"/>
  <c r="J34"/>
  <c r="G34"/>
  <c r="J14"/>
  <c r="J15"/>
  <c r="J13"/>
  <c r="G29"/>
  <c r="D29"/>
  <c r="G22"/>
  <c r="G23"/>
  <c r="G21"/>
  <c r="G26"/>
  <c r="G27"/>
  <c r="G25"/>
  <c r="D26"/>
  <c r="D27"/>
  <c r="D25"/>
  <c r="G18"/>
  <c r="G19"/>
  <c r="G17"/>
  <c r="G14"/>
  <c r="G15"/>
  <c r="G13"/>
  <c r="D22"/>
  <c r="D23"/>
  <c r="D21"/>
  <c r="D18"/>
  <c r="D19"/>
  <c r="D17"/>
  <c r="D14"/>
  <c r="D15"/>
  <c r="D13"/>
  <c r="V33"/>
  <c r="V32"/>
  <c r="V31"/>
  <c r="S33"/>
  <c r="S32"/>
  <c r="S31"/>
  <c r="P33"/>
  <c r="P32"/>
  <c r="P31"/>
  <c r="M33"/>
  <c r="M32"/>
  <c r="M31"/>
  <c r="J33"/>
  <c r="J32"/>
  <c r="J31"/>
  <c r="G33"/>
  <c r="G32"/>
  <c r="G31"/>
  <c r="D33"/>
  <c r="M10"/>
  <c r="M11"/>
  <c r="M9"/>
  <c r="P7"/>
  <c r="P39" s="1"/>
  <c r="D10" i="8" s="1"/>
  <c r="P6" i="6"/>
  <c r="P5"/>
  <c r="N38" s="1"/>
  <c r="B10" i="8" s="1"/>
  <c r="M6" i="6"/>
  <c r="M7"/>
  <c r="M5"/>
  <c r="J10"/>
  <c r="J11"/>
  <c r="J9"/>
  <c r="D31"/>
  <c r="D32"/>
  <c r="D34"/>
  <c r="J6"/>
  <c r="J7"/>
  <c r="J5"/>
  <c r="G12" i="8" l="1"/>
  <c r="H28" i="2"/>
  <c r="G28"/>
  <c r="E10" i="8"/>
  <c r="F27" i="2"/>
  <c r="I27" s="1"/>
  <c r="H20" i="15"/>
  <c r="C20"/>
  <c r="S39" i="6"/>
  <c r="D11" i="8" s="1"/>
  <c r="M39" i="6"/>
  <c r="D9" i="8" s="1"/>
  <c r="V39" i="6"/>
  <c r="D12" i="8" s="1"/>
  <c r="J39" i="6"/>
  <c r="D8" i="8" s="1"/>
  <c r="N8"/>
  <c r="C10" i="10"/>
  <c r="D10"/>
  <c r="K5"/>
  <c r="K10" s="1"/>
  <c r="F2" i="7"/>
  <c r="F9" s="1"/>
  <c r="F8" i="8" s="1"/>
  <c r="I8" s="1"/>
  <c r="G3" i="7"/>
  <c r="E2"/>
  <c r="E9" s="1"/>
  <c r="F7" i="8" s="1"/>
  <c r="I7" s="1"/>
  <c r="H5" i="7"/>
  <c r="I5" s="1"/>
  <c r="J5" s="1"/>
  <c r="H4"/>
  <c r="I4" s="1"/>
  <c r="J4" s="1"/>
  <c r="B10" i="10"/>
  <c r="H10"/>
  <c r="E10"/>
  <c r="N9" i="8"/>
  <c r="N7"/>
  <c r="N6"/>
  <c r="N12"/>
  <c r="N11"/>
  <c r="N10"/>
  <c r="E10" i="9"/>
  <c r="T38" i="6"/>
  <c r="B12" i="8" s="1"/>
  <c r="Q38" i="6"/>
  <c r="B11" i="8" s="1"/>
  <c r="K38" i="6"/>
  <c r="B9" i="8" s="1"/>
  <c r="H38" i="6"/>
  <c r="B8" i="8" s="1"/>
  <c r="E8" l="1"/>
  <c r="F25" i="2"/>
  <c r="I25" s="1"/>
  <c r="E9" i="8"/>
  <c r="F26" i="2"/>
  <c r="I26" s="1"/>
  <c r="H29"/>
  <c r="G29"/>
  <c r="E12" i="8"/>
  <c r="F29" i="2"/>
  <c r="I29" s="1"/>
  <c r="E11" i="8"/>
  <c r="F28" i="2"/>
  <c r="I28" s="1"/>
  <c r="M8" i="8"/>
  <c r="M23"/>
  <c r="E9" i="2"/>
  <c r="F9" s="1"/>
  <c r="P8" i="8"/>
  <c r="Q8" s="1"/>
  <c r="E8" i="9"/>
  <c r="E12"/>
  <c r="E11"/>
  <c r="E9"/>
  <c r="H3" i="7"/>
  <c r="G2"/>
  <c r="G9" s="1"/>
  <c r="G10" i="6"/>
  <c r="D10"/>
  <c r="G6"/>
  <c r="D6"/>
  <c r="G7"/>
  <c r="G5"/>
  <c r="G11"/>
  <c r="G9"/>
  <c r="D11"/>
  <c r="D39" s="1"/>
  <c r="D6" i="8" s="1"/>
  <c r="D9" i="6"/>
  <c r="E6" i="8" l="1"/>
  <c r="M21" s="1"/>
  <c r="F6" i="9" s="1"/>
  <c r="F23" i="2"/>
  <c r="I23" s="1"/>
  <c r="G5" s="1"/>
  <c r="H5" s="1"/>
  <c r="E11"/>
  <c r="F11" s="1"/>
  <c r="E10"/>
  <c r="F10" s="1"/>
  <c r="E38" i="6"/>
  <c r="B7" i="8" s="1"/>
  <c r="E7" i="9" s="1"/>
  <c r="E6" i="2" s="1"/>
  <c r="F6" s="1"/>
  <c r="E8"/>
  <c r="F8" s="1"/>
  <c r="E7"/>
  <c r="F7" s="1"/>
  <c r="F10" i="8"/>
  <c r="I10" s="1"/>
  <c r="F9"/>
  <c r="I9" s="1"/>
  <c r="R8"/>
  <c r="F8" i="9"/>
  <c r="H2" i="7"/>
  <c r="H9" s="1"/>
  <c r="F11" i="8" s="1"/>
  <c r="I11" s="1"/>
  <c r="I3" i="7"/>
  <c r="G39" i="6"/>
  <c r="D7" i="8" s="1"/>
  <c r="E7" l="1"/>
  <c r="M22" s="1"/>
  <c r="F24" i="2"/>
  <c r="I24" s="1"/>
  <c r="M7" i="8"/>
  <c r="P7" s="1"/>
  <c r="M26"/>
  <c r="M11"/>
  <c r="P11" s="1"/>
  <c r="Q11" s="1"/>
  <c r="M25"/>
  <c r="M10"/>
  <c r="P10" s="1"/>
  <c r="M24"/>
  <c r="M9"/>
  <c r="P9" s="1"/>
  <c r="G7" i="2"/>
  <c r="H7" s="1"/>
  <c r="G8" i="9"/>
  <c r="J3" i="7"/>
  <c r="J2" s="1"/>
  <c r="J9" s="1"/>
  <c r="F12" i="8" s="1"/>
  <c r="I12" s="1"/>
  <c r="I2" i="7"/>
  <c r="I9" s="1"/>
  <c r="D7" i="6"/>
  <c r="D5"/>
  <c r="B38" s="1"/>
  <c r="B6" i="8" s="1"/>
  <c r="M6" s="1"/>
  <c r="P6" s="1"/>
  <c r="D4" i="5"/>
  <c r="D5"/>
  <c r="D14" s="1"/>
  <c r="D6"/>
  <c r="D7"/>
  <c r="D8"/>
  <c r="D9"/>
  <c r="D10"/>
  <c r="D11"/>
  <c r="D12"/>
  <c r="D13"/>
  <c r="D3"/>
  <c r="D24" i="1"/>
  <c r="E24"/>
  <c r="I24"/>
  <c r="B24"/>
  <c r="C24"/>
  <c r="G13"/>
  <c r="F11"/>
  <c r="F24" s="1"/>
  <c r="G8"/>
  <c r="G24" s="1"/>
  <c r="I7" i="2" l="1"/>
  <c r="Q7" i="8"/>
  <c r="F7" i="9" s="1"/>
  <c r="Q9" i="8"/>
  <c r="F9" i="9" s="1"/>
  <c r="R11" i="8"/>
  <c r="M27"/>
  <c r="M12"/>
  <c r="P12" s="1"/>
  <c r="Q12" s="1"/>
  <c r="Q10"/>
  <c r="F10" i="9" s="1"/>
  <c r="E6"/>
  <c r="H8" i="1"/>
  <c r="H24" s="1"/>
  <c r="R6" i="8"/>
  <c r="F11" i="9" l="1"/>
  <c r="R9" i="8"/>
  <c r="R7"/>
  <c r="G6" i="9"/>
  <c r="E5" i="2"/>
  <c r="F5" s="1"/>
  <c r="I5" s="1"/>
  <c r="C6" i="9" s="1"/>
  <c r="R10" i="8"/>
  <c r="G7" i="9"/>
  <c r="G6" i="2"/>
  <c r="H6" s="1"/>
  <c r="F12" i="9"/>
  <c r="G10"/>
  <c r="G9" i="2"/>
  <c r="H9" s="1"/>
  <c r="G9" i="9"/>
  <c r="G8" i="2"/>
  <c r="H8" s="1"/>
  <c r="D6" i="9" l="1"/>
  <c r="H6" s="1"/>
  <c r="B2" i="15"/>
  <c r="B5" s="1"/>
  <c r="I6" i="2"/>
  <c r="I8"/>
  <c r="C9" i="9" s="1"/>
  <c r="I9" i="2"/>
  <c r="G11" i="9"/>
  <c r="G10" i="2"/>
  <c r="H10" s="1"/>
  <c r="J6" i="9"/>
  <c r="R12" i="8"/>
  <c r="G12" i="9"/>
  <c r="G11" i="2"/>
  <c r="H11" l="1"/>
  <c r="I11" s="1"/>
  <c r="K6" i="9"/>
  <c r="C7"/>
  <c r="D7" s="1"/>
  <c r="C8"/>
  <c r="D8" s="1"/>
  <c r="C10"/>
  <c r="I10" i="2"/>
  <c r="D9" i="9"/>
  <c r="C11" l="1"/>
  <c r="I12" i="2"/>
  <c r="I14" s="1"/>
  <c r="C12" i="9" s="1"/>
  <c r="D12" s="1"/>
  <c r="H12" s="1"/>
  <c r="J12" s="1"/>
  <c r="H8"/>
  <c r="J8" s="1"/>
  <c r="H9"/>
  <c r="J9" s="1"/>
  <c r="H7"/>
  <c r="J7" s="1"/>
  <c r="D10"/>
  <c r="K7" l="1"/>
  <c r="K8" s="1"/>
  <c r="K9" s="1"/>
  <c r="H10"/>
  <c r="J10" s="1"/>
  <c r="D11"/>
  <c r="H11" l="1"/>
  <c r="J11" s="1"/>
  <c r="J13" s="1"/>
  <c r="K24" s="1"/>
  <c r="K10"/>
  <c r="K25" l="1"/>
  <c r="K11"/>
  <c r="K12" s="1"/>
</calcChain>
</file>

<file path=xl/sharedStrings.xml><?xml version="1.0" encoding="utf-8"?>
<sst xmlns="http://schemas.openxmlformats.org/spreadsheetml/2006/main" count="495" uniqueCount="303">
  <si>
    <t>Descrição</t>
  </si>
  <si>
    <t>Valor</t>
  </si>
  <si>
    <t>Ano 0</t>
  </si>
  <si>
    <t>Ano 1</t>
  </si>
  <si>
    <t>Ano 2</t>
  </si>
  <si>
    <t>Ano 3</t>
  </si>
  <si>
    <t>Ano 4</t>
  </si>
  <si>
    <t>Ano 5</t>
  </si>
  <si>
    <t>Ano 6</t>
  </si>
  <si>
    <t>Ano 7</t>
  </si>
  <si>
    <t>Mesa baixa bar</t>
  </si>
  <si>
    <t>Sofá duplo bar</t>
  </si>
  <si>
    <t>Sofá Individual Bar</t>
  </si>
  <si>
    <t>Cadeirão Recepção + Quartos</t>
  </si>
  <si>
    <t>Cadeira Restaurante</t>
  </si>
  <si>
    <t>Mesa alta restaurante</t>
  </si>
  <si>
    <t>Mobiliário e iluminação dos quartos e corredores (1)</t>
  </si>
  <si>
    <t>em aplique (exclui-se os cadeirões já incluidos em artigo anterior)</t>
  </si>
  <si>
    <t xml:space="preserve">Tapetes Bar </t>
  </si>
  <si>
    <t>30 tapetes, 3 berços e respectivos colchões; 60 candeeiros de mesa de cabeceira + 30 pontos luz de pé alto. Mobiliário de corredor: 8 aparadores, 10 candeeiros</t>
  </si>
  <si>
    <t>Televisores Quartos e Bar</t>
  </si>
  <si>
    <t>Telefones Quartos + Recepção + Escritório</t>
  </si>
  <si>
    <t>Sistema de som Bar + Hall + Restaurante</t>
  </si>
  <si>
    <t>TOTAIS</t>
  </si>
  <si>
    <t>Equipamento hoteleiro para restaurante, cozinha e bar</t>
  </si>
  <si>
    <t>Mobilário de escritório</t>
  </si>
  <si>
    <t>Recuperação, requalificação e ampliação do edíficio existente</t>
  </si>
  <si>
    <t>Viatura de trabalho (mini furgão)</t>
  </si>
  <si>
    <t>Site com ecommerce e CRM (Licenciamento,instalação, alojamento, configuração, caracterização, integração e desenvolvimento)</t>
  </si>
  <si>
    <t>Terreno com cerca de 10 ha, com vinha e casa senhorial na zona da Ribeira, Ponte de Lima (2)</t>
  </si>
  <si>
    <t xml:space="preserve">2) O Valor do terreno obtido através de média ponderada entre as ofertas que existiam em propriedades com iguais características e dimensão entre 5 e </t>
  </si>
  <si>
    <t>1)Mobiliário de quarto compreende: 30 camas, com estrado, colchão ortopédico e mesas de cabeceiras; 30 Moldura com espelho; 30 secretárias com cadeira</t>
  </si>
  <si>
    <t>quarenta hectares na zona de Ponte de Lima</t>
  </si>
  <si>
    <t>Equipamento de climatização</t>
  </si>
  <si>
    <t>Estrutura Accionista</t>
  </si>
  <si>
    <t>Função</t>
  </si>
  <si>
    <t>Quantidade</t>
  </si>
  <si>
    <t>Horário</t>
  </si>
  <si>
    <t>Cozinheiro</t>
  </si>
  <si>
    <t>7h-10h,17h-22h</t>
  </si>
  <si>
    <t>Ajudante cozinha</t>
  </si>
  <si>
    <t>Copa/ Apoio geral</t>
  </si>
  <si>
    <t>8h-12h,18h-22h</t>
  </si>
  <si>
    <t>Serviço limpeza quartos</t>
  </si>
  <si>
    <t>Recepção</t>
  </si>
  <si>
    <t>24h</t>
  </si>
  <si>
    <t>Restaurante</t>
  </si>
  <si>
    <t>1 Especialista em vinhos</t>
  </si>
  <si>
    <t>Secretariado</t>
  </si>
  <si>
    <t>9h-13h, 15h19h</t>
  </si>
  <si>
    <t>Gestão</t>
  </si>
  <si>
    <t>Isento</t>
  </si>
  <si>
    <t>Manutenção vinhas e animais</t>
  </si>
  <si>
    <t>8h-12h,14h-18h</t>
  </si>
  <si>
    <t>Relações Publicas</t>
  </si>
  <si>
    <t>Manutenção piscina / Apoio geral</t>
  </si>
  <si>
    <t>Vencimento Bruto anual</t>
  </si>
  <si>
    <t>Vencimento Bruto</t>
  </si>
  <si>
    <t>Viatura de direcção/secretariado</t>
  </si>
  <si>
    <t>Programa Wine Degustia</t>
  </si>
  <si>
    <t>Fundo de Turismo</t>
  </si>
  <si>
    <t>Vendas</t>
  </si>
  <si>
    <t>Através de loja ecomerce</t>
  </si>
  <si>
    <t>Ao Balcão</t>
  </si>
  <si>
    <t>Através de operadores</t>
  </si>
  <si>
    <t>Programa Gold Vintage</t>
  </si>
  <si>
    <t>Através da loja Ecommerce</t>
  </si>
  <si>
    <t>Através de Operadores</t>
  </si>
  <si>
    <t>A hóspedes</t>
  </si>
  <si>
    <t>Ao balcão</t>
  </si>
  <si>
    <t>TOTAL</t>
  </si>
  <si>
    <t>ANO 1</t>
  </si>
  <si>
    <t>ANO 2</t>
  </si>
  <si>
    <t>ANO 3</t>
  </si>
  <si>
    <t>ANO 4</t>
  </si>
  <si>
    <t>ANO 5</t>
  </si>
  <si>
    <t>ANO 6</t>
  </si>
  <si>
    <t>ANO 7</t>
  </si>
  <si>
    <t>Vendas de jantares individuais</t>
  </si>
  <si>
    <t>Eur</t>
  </si>
  <si>
    <t xml:space="preserve">    (+) Caf. Pequenos Almoços</t>
  </si>
  <si>
    <t xml:space="preserve">    (+) Cave</t>
  </si>
  <si>
    <t xml:space="preserve">    (+) Bares / Cafetaria</t>
  </si>
  <si>
    <t>CONSUMO COMIDAS</t>
  </si>
  <si>
    <t xml:space="preserve">    (+) Cozinha/Pastelaria</t>
  </si>
  <si>
    <t>CONSUMO BEBIDAS</t>
  </si>
  <si>
    <t xml:space="preserve"> FSE </t>
  </si>
  <si>
    <t>Subcontratos</t>
  </si>
  <si>
    <t xml:space="preserve">Electricidade </t>
  </si>
  <si>
    <t>Água</t>
  </si>
  <si>
    <t>Combustíveis</t>
  </si>
  <si>
    <t>Conservação e Reparaçao</t>
  </si>
  <si>
    <t>Comunicação</t>
  </si>
  <si>
    <t>Deslocações / Desp. Rep.</t>
  </si>
  <si>
    <t>Comissões</t>
  </si>
  <si>
    <t xml:space="preserve">Honorários </t>
  </si>
  <si>
    <t xml:space="preserve">Ferramentas e Utensilios </t>
  </si>
  <si>
    <t>Publicidade e Propaganda</t>
  </si>
  <si>
    <t xml:space="preserve">Limpeza Higiene e Conforto </t>
  </si>
  <si>
    <t>Animação / Decoração</t>
  </si>
  <si>
    <t>Material de Escritório</t>
  </si>
  <si>
    <t>Outros</t>
  </si>
  <si>
    <t xml:space="preserve"> Impostos</t>
  </si>
  <si>
    <t>Segunda-feira</t>
  </si>
  <si>
    <t>Terça-feira</t>
  </si>
  <si>
    <t>Quarta-feira</t>
  </si>
  <si>
    <t>Quinta-feira</t>
  </si>
  <si>
    <t>Sexta-feira</t>
  </si>
  <si>
    <t>Sábado</t>
  </si>
  <si>
    <t>Domingo</t>
  </si>
  <si>
    <t>Tema: A Serra</t>
  </si>
  <si>
    <t>Dia Livre</t>
  </si>
  <si>
    <t xml:space="preserve">Tema: rota do alvarinho </t>
  </si>
  <si>
    <t>Tema: Folclore e artesanato</t>
  </si>
  <si>
    <t>Tema: Fortes e Castelos do Alto Minho e sua história</t>
  </si>
  <si>
    <r>
      <rPr>
        <b/>
        <sz val="11"/>
        <color theme="1"/>
        <rFont val="Calibri"/>
        <family val="2"/>
        <scheme val="minor"/>
      </rPr>
      <t>Visita a Lindoso(P.Barca) Zona do Parque Nacional Peneda Gerês</t>
    </r>
    <r>
      <rPr>
        <sz val="11"/>
        <color theme="1"/>
        <rFont val="Calibri"/>
        <family val="2"/>
        <scheme val="minor"/>
      </rPr>
      <t xml:space="preserve">: - Percursos Pedestres;                                                       - Almoço em restaurante local:  Prato típico da região.                  Visita ao Castelo e Barragem do Lindoso, Chão da Fonte, Madalena, Poço da Gola, Ponte Romana, Espigueiros.  (Malhadas e desfolhadas)                                                                      </t>
    </r>
  </si>
  <si>
    <t>Museu do Traje - Viana; os palmitos, os bordados, a cerâmica.                                        Almoço em restaurante típico com actuação ao vivo de Rancho Folclórico;                                            Feira semanal.</t>
  </si>
  <si>
    <t>Visita guiada aos fortes e castelos do distrito;                                              Almoço: Prato típico da região.</t>
  </si>
  <si>
    <t>Tema: Turismo religioso</t>
  </si>
  <si>
    <t>Tema: Cidade de V. Castelo</t>
  </si>
  <si>
    <t>Tema: O Românico no Alto Minho</t>
  </si>
  <si>
    <t>Mesio (Arcos de Valdevez) - Marcha de montanha - Serra do Soajo .                                                              Almoço: Prato típico da Região             Visita à aldeia do Soajo, espigueiros e Centro Equestre</t>
  </si>
  <si>
    <t>Visita aos santuários da Srª da Peneda, S. João d'Árga, Srª do Minho.</t>
  </si>
  <si>
    <t>Visita guiada ao centro histórico da cidade de Viana do Castelo e ao Castelo de Santiago da Barra;      Feira semanal.</t>
  </si>
  <si>
    <t>Visita aos monumentos românicos do distrito</t>
  </si>
  <si>
    <t>Pacotes  Fim de Semana</t>
  </si>
  <si>
    <t>Saída</t>
  </si>
  <si>
    <t>Recepção de boas vindas com um verde de honra</t>
  </si>
  <si>
    <t xml:space="preserve">Jantar Temático  (Alto Minho) - Animação </t>
  </si>
  <si>
    <t>Golfe</t>
  </si>
  <si>
    <t xml:space="preserve">Nome </t>
  </si>
  <si>
    <t>Minho´s Story - 1900€ / casal</t>
  </si>
  <si>
    <r>
      <rPr>
        <b/>
        <sz val="11"/>
        <color theme="1"/>
        <rFont val="Calibri"/>
        <family val="2"/>
        <scheme val="minor"/>
      </rPr>
      <t>Visita a Melgaço e Monção</t>
    </r>
    <r>
      <rPr>
        <sz val="11"/>
        <color theme="1"/>
        <rFont val="Calibri"/>
        <family val="2"/>
        <scheme val="minor"/>
      </rPr>
      <t>: Solar do Alvarinho em Melgaço, Prova de Vinhos; Adega Cooperativa de Monção, Palácio da Brejoeira, Termas de Monção.                 Almoço em restaurante local: Prato típico da região (anho no forno ou arroz de lampreia); breve apresentação sobre o Vinho Verde</t>
    </r>
  </si>
  <si>
    <t xml:space="preserve">Jantar Temático  (Alto Minho)  c/ degustação </t>
  </si>
  <si>
    <t>Jantar Temático  (Alto Minho) c/ degustação</t>
  </si>
  <si>
    <t>Jantar Temático  (Alto Minho)  c/ degustação presidida por especialista em vinhos</t>
  </si>
  <si>
    <t>Minho´s Gold Experience  Preço - 2900€ /casal</t>
  </si>
  <si>
    <t>Visita às adegas regionais</t>
  </si>
  <si>
    <t>Wine Degustia - 900€ / casal</t>
  </si>
  <si>
    <t>Visita guiada aos fortes e castelos do distrito;   A história do Vinho Verde;  na época de vindimas e de abertura dos vinhos  produzidos na quinta do hotel, os hóspedes serão convidados a particpar nestes momentos                             Almoço: Prato típico da região.</t>
  </si>
  <si>
    <t>Gold vintage - 950€ / casal</t>
  </si>
  <si>
    <t xml:space="preserve"> Golf and Wine - 900€ / casal</t>
  </si>
  <si>
    <t>Programa Minho´s Gold Experience</t>
  </si>
  <si>
    <t>Programa Minho´s Story</t>
  </si>
  <si>
    <t>Vendas da produção própria de vinho " The Lethes Hotel" (em garrafas)</t>
  </si>
  <si>
    <t>Vendas Mini-Bar Quartos</t>
  </si>
  <si>
    <t>Vendas de Bar / Cafetaria</t>
  </si>
  <si>
    <t>Vendas da uva de qualidade não superior à adega cooperativa (em kgs)</t>
  </si>
  <si>
    <t>Diversos (serviços de lavandaria, telefone,fax, tabacos, etc)</t>
  </si>
  <si>
    <t>Para lojas gourmet</t>
  </si>
  <si>
    <t xml:space="preserve">Vendas de Estadias Individuais </t>
  </si>
  <si>
    <t>Demonstração Resultados Liquidos Previsional (DRLP)</t>
  </si>
  <si>
    <t>Ano</t>
  </si>
  <si>
    <t>Custos Variáveis Produção</t>
  </si>
  <si>
    <t>Custos Fixos</t>
  </si>
  <si>
    <t>EBITDA</t>
  </si>
  <si>
    <t>Amortizações</t>
  </si>
  <si>
    <t>C. Financeiros</t>
  </si>
  <si>
    <t>RAI</t>
  </si>
  <si>
    <t>R.L.E.</t>
  </si>
  <si>
    <t>Total</t>
  </si>
  <si>
    <t>Pessoal</t>
  </si>
  <si>
    <t>DRLP</t>
  </si>
  <si>
    <t xml:space="preserve">Cash-Cost= </t>
  </si>
  <si>
    <t>C.V.Comerciais</t>
  </si>
  <si>
    <t>(comissões,desconto clientes)</t>
  </si>
  <si>
    <t>C.V.Produção</t>
  </si>
  <si>
    <t>Margem Bruta</t>
  </si>
  <si>
    <t>C.Fixos</t>
  </si>
  <si>
    <t>(M.primas,M.Subsidiárias,M.Consumo)</t>
  </si>
  <si>
    <t>M. Contribuição</t>
  </si>
  <si>
    <t>(Pessoal, outros custos)</t>
  </si>
  <si>
    <t>Provisões</t>
  </si>
  <si>
    <t xml:space="preserve">EBIT </t>
  </si>
  <si>
    <t>Impostos</t>
  </si>
  <si>
    <t>Investimento</t>
  </si>
  <si>
    <t>Exploração</t>
  </si>
  <si>
    <t>Cash Flow do Projecto</t>
  </si>
  <si>
    <t>C. Fixo</t>
  </si>
  <si>
    <t>C. Circulante</t>
  </si>
  <si>
    <t>Receitas</t>
  </si>
  <si>
    <t>Despesas</t>
  </si>
  <si>
    <t>C.F.Exploração</t>
  </si>
  <si>
    <t>C.F.Projecto</t>
  </si>
  <si>
    <t>(1+i)^(-n)</t>
  </si>
  <si>
    <t>C.F.P. Actualizado</t>
  </si>
  <si>
    <t>C.F.P.A.Acumulado</t>
  </si>
  <si>
    <t>A</t>
  </si>
  <si>
    <t>B</t>
  </si>
  <si>
    <t>A-B</t>
  </si>
  <si>
    <t>C</t>
  </si>
  <si>
    <t>D+E</t>
  </si>
  <si>
    <t>C-(D+E)</t>
  </si>
  <si>
    <t>TIR</t>
  </si>
  <si>
    <t>PR</t>
  </si>
  <si>
    <t>Notas:</t>
  </si>
  <si>
    <t>D</t>
  </si>
  <si>
    <t>ICC= ss+PMR-PMP</t>
  </si>
  <si>
    <t>Cash-Cost:</t>
  </si>
  <si>
    <t>CV Comerciais</t>
  </si>
  <si>
    <t>CV Produção</t>
  </si>
  <si>
    <t>Import.</t>
  </si>
  <si>
    <t>ICC2-ICC1</t>
  </si>
  <si>
    <t>C. Fixos</t>
  </si>
  <si>
    <t>ICC3-ICC2</t>
  </si>
  <si>
    <t>mais</t>
  </si>
  <si>
    <t>ICC4-ICC3</t>
  </si>
  <si>
    <t>E</t>
  </si>
  <si>
    <t>etc.</t>
  </si>
  <si>
    <t>Accionistas a considerar</t>
  </si>
  <si>
    <t>Programa Golf and Wine</t>
  </si>
  <si>
    <t>Vendas sujeitas a comissões</t>
  </si>
  <si>
    <t>Edíficio</t>
  </si>
  <si>
    <t>Mobiliário</t>
  </si>
  <si>
    <t>Veículos</t>
  </si>
  <si>
    <t>Computadores, Impressoras e servidor</t>
  </si>
  <si>
    <t>Equipamento Administrativo</t>
  </si>
  <si>
    <t>QUADRO DE AMORTIZAÇÕES</t>
  </si>
  <si>
    <t>Equipamentos Electrónicos</t>
  </si>
  <si>
    <t>Climatização (Máquina Pesada)</t>
  </si>
  <si>
    <t>Equipamento Hoteleiro (Ferramentas e máquinas ligeiras)</t>
  </si>
  <si>
    <t>Software e loja virtual</t>
  </si>
  <si>
    <t>Amortizações Acumuladas</t>
  </si>
  <si>
    <t>Salários</t>
  </si>
  <si>
    <t>Enc. Seg. Social</t>
  </si>
  <si>
    <t>Projectos</t>
  </si>
  <si>
    <t>Projectos de especialidades</t>
  </si>
  <si>
    <t>Sub. Refeição</t>
  </si>
  <si>
    <t>Fardamento</t>
  </si>
  <si>
    <t>Seguro Acidentes de Trabalho</t>
  </si>
  <si>
    <t>Investimento Capital Circulante</t>
  </si>
  <si>
    <t>PMR</t>
  </si>
  <si>
    <t>PMP</t>
  </si>
  <si>
    <t>ICC</t>
  </si>
  <si>
    <t>ICC=ss+R.Caixa+PMR-PMP</t>
  </si>
  <si>
    <t xml:space="preserve">    (+) Bar Hotel</t>
  </si>
  <si>
    <t xml:space="preserve">Capital Próprio Ano 0 </t>
  </si>
  <si>
    <t>Subsídios ao Investimento</t>
  </si>
  <si>
    <t>TOTAL=</t>
  </si>
  <si>
    <t>Autoconsumos do Vinho "The Lethes Hotel"</t>
  </si>
  <si>
    <t xml:space="preserve">Autoconsumos  </t>
  </si>
  <si>
    <t>Fees Golfe</t>
  </si>
  <si>
    <t xml:space="preserve">Custos de Produção Fixos </t>
  </si>
  <si>
    <t>Seguros (Multiriscos + automóvel)</t>
  </si>
  <si>
    <t>Licenças de Exploração + Taxas</t>
  </si>
  <si>
    <t>FSE + Impostos</t>
  </si>
  <si>
    <t>Custos de Variáveis de Produção</t>
  </si>
  <si>
    <t>VAL</t>
  </si>
  <si>
    <t>Prémio de risco</t>
  </si>
  <si>
    <t>Spread Mercado</t>
  </si>
  <si>
    <t>Tx Inflação</t>
  </si>
  <si>
    <t>Prémio s/ risco</t>
  </si>
  <si>
    <t>Consumos</t>
  </si>
  <si>
    <t>Autoconsumos</t>
  </si>
  <si>
    <t>Custos Comerciais  Variáveis</t>
  </si>
  <si>
    <t>N.º de fees de golf a comprar duplos (duas pessoas)</t>
  </si>
  <si>
    <t>Comissões Calculadas tendo por base a média do mercado - entre 5% a 30 %</t>
  </si>
  <si>
    <t>custo do Fee</t>
  </si>
  <si>
    <t>Cash Cost</t>
  </si>
  <si>
    <t>Imposto*</t>
  </si>
  <si>
    <t>Valor Residual</t>
  </si>
  <si>
    <t>Reinvestimentos</t>
  </si>
  <si>
    <t xml:space="preserve">Valor Residual líquido do reinvestimento </t>
  </si>
  <si>
    <t xml:space="preserve">Val  </t>
  </si>
  <si>
    <t>Stock Segurança</t>
  </si>
  <si>
    <t>Reserva de Caixa</t>
  </si>
  <si>
    <t>PMR (dias)</t>
  </si>
  <si>
    <t>PMP (dias)</t>
  </si>
  <si>
    <t>FSE+IVA</t>
  </si>
  <si>
    <t>Taxa de Desconto</t>
  </si>
  <si>
    <t>Neste negócio recebe-se quase sempre a pronto (por vezes antecipadamente). Efectuaram-se excepções às vendas a operadores que se recebe a 30 dias, à venda das uvas às adegas cooperativas e às vendas de vinho para loja gourmet</t>
  </si>
  <si>
    <t xml:space="preserve">  Subcontratação da vindima, produção, engarramento e rotulagem do Vinho "Lethes Hotel" (1,05€/garrafa)</t>
  </si>
  <si>
    <t>Pagamentos</t>
  </si>
  <si>
    <t>Mat. Consumos</t>
  </si>
  <si>
    <t>ICC7 - ICC6</t>
  </si>
  <si>
    <t>V. Residual líquido do investimento em capital circulante</t>
  </si>
  <si>
    <t>Valor Resídual</t>
  </si>
  <si>
    <t>4 anos</t>
  </si>
  <si>
    <t>meses</t>
  </si>
  <si>
    <t>4 anos 8 meses</t>
  </si>
  <si>
    <t>Quadro financeiro</t>
  </si>
  <si>
    <t>Termo N.º</t>
  </si>
  <si>
    <t>Débito Contrato</t>
  </si>
  <si>
    <t>Termo</t>
  </si>
  <si>
    <t>Imposto selo</t>
  </si>
  <si>
    <t xml:space="preserve">Montante Reembolso </t>
  </si>
  <si>
    <t>Encargos Financiamento</t>
  </si>
  <si>
    <t>Amortização</t>
  </si>
  <si>
    <t>Juro</t>
  </si>
  <si>
    <t>Necessidades Tesouria</t>
  </si>
  <si>
    <t>Investimento (Fixo + Capital Circulante)</t>
  </si>
  <si>
    <t>Capital Próprio</t>
  </si>
  <si>
    <t>Reservas</t>
  </si>
  <si>
    <t>10 anos</t>
  </si>
  <si>
    <t>TOTAL a solicitar</t>
  </si>
  <si>
    <t>N=</t>
  </si>
  <si>
    <t>i=</t>
  </si>
  <si>
    <t>Notas: não foram incluidos benefícios fiscais como por exemplo, a majoração de 30 % das amortizações, após RLE, para apurar o impostoa pagar. Foi incluído o benefício de 10% de IRC para as zonas</t>
  </si>
  <si>
    <t>de interioridade, nos 1.ºs cinco anos e, e 15% nos restantes anos por se situar no concelho de Ponte de Lima</t>
  </si>
  <si>
    <t xml:space="preserve">Notas: não foram incluídos alguns benefícios fiscais com o pessoal, por exemplo, tx de seg. social reduzida nos primeiros anos, ou pagamento parcial do salário por parte do IEFP para contratação de desempregados, uma vez que existem sempre outros rendimentos para os funcionários (prémios, horas extra, etc) e outros custos (absentismo, baixas médicas), que não estão contemplados </t>
  </si>
  <si>
    <t>Notas: Estes custos, consumos e FSE foram estimados a partir de um orçamento de exploração de um hotel em pleno funcionamento com caracteríticas muito semelhantes, em dimensão e em valor, ao do projecto The Lethes Hotel</t>
  </si>
  <si>
    <t>Notas: Poderíamos ter optado por um financiamento QREN e, caso se verificasse os valores apresentados no projecto (VAL, PR e TIR) a partir do 5.º ano seria extinto o empréstimo, isto é, seria contemplado o financiamento como fundo perdido. Contudo achamos que um projecto deve ter "resistência" suficiente para remunerar um empréstimo bancário. Caso só se apoiásse em subsídios, seria um projecto destinado ao fracasso no longo prazo</t>
  </si>
  <si>
    <t>Notas: O Fundo de Turismo, nos projectos de turismo de qualidade (4 estrelas ou superior), costuma aplicar um valor que anda entre os 25%e os 60% do Investimento Inicial. Este valor fica garantido durante doze anos, sem remuneração, ou remuneração mínima (5% dos dividendos) e será acompanhado da obrigatoriedade de ter um gestor externo ao hotel, do Turismo de Portugal, para garantir que a unidade não perde qualidade e para introduzir know-how e boas práticas de gestão</t>
  </si>
</sst>
</file>

<file path=xl/styles.xml><?xml version="1.0" encoding="utf-8"?>
<styleSheet xmlns="http://schemas.openxmlformats.org/spreadsheetml/2006/main">
  <numFmts count="3">
    <numFmt numFmtId="8" formatCode="#,##0.00\ &quot;€&quot;;[Red]\-#,##0.00\ &quot;€&quot;"/>
    <numFmt numFmtId="164" formatCode="#,##0.00\ &quot;€&quot;"/>
    <numFmt numFmtId="165" formatCode="0.E+00"/>
  </numFmts>
  <fonts count="11">
    <font>
      <sz val="11"/>
      <color theme="1"/>
      <name val="Calibri"/>
      <family val="2"/>
      <scheme val="minor"/>
    </font>
    <font>
      <sz val="9"/>
      <color theme="1"/>
      <name val="Calibri"/>
      <family val="2"/>
      <scheme val="minor"/>
    </font>
    <font>
      <b/>
      <sz val="11"/>
      <color theme="1"/>
      <name val="Calibri"/>
      <family val="2"/>
      <scheme val="minor"/>
    </font>
    <font>
      <sz val="8"/>
      <name val="Arial"/>
      <family val="2"/>
    </font>
    <font>
      <b/>
      <sz val="8"/>
      <name val="Arial"/>
      <family val="2"/>
    </font>
    <font>
      <b/>
      <sz val="14"/>
      <color theme="1"/>
      <name val="Calibri"/>
      <family val="2"/>
      <scheme val="minor"/>
    </font>
    <font>
      <sz val="14"/>
      <color theme="1"/>
      <name val="Calibri"/>
      <family val="2"/>
      <scheme val="minor"/>
    </font>
    <font>
      <sz val="8"/>
      <color theme="1"/>
      <name val="Calibri"/>
      <family val="2"/>
      <scheme val="minor"/>
    </font>
    <font>
      <sz val="11"/>
      <name val="Calibri"/>
      <family val="2"/>
      <scheme val="minor"/>
    </font>
    <font>
      <b/>
      <sz val="8"/>
      <color theme="1"/>
      <name val="Calibri"/>
      <family val="2"/>
      <scheme val="minor"/>
    </font>
    <font>
      <sz val="10"/>
      <color theme="1"/>
      <name val="Calibri"/>
      <family val="2"/>
      <scheme val="minor"/>
    </font>
  </fonts>
  <fills count="14">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00"/>
        <bgColor indexed="64"/>
      </patternFill>
    </fill>
    <fill>
      <patternFill patternType="solid">
        <fgColor theme="6" tint="0.39997558519241921"/>
        <bgColor indexed="64"/>
      </patternFill>
    </fill>
    <fill>
      <patternFill patternType="solid">
        <fgColor rgb="FF92D050"/>
        <bgColor indexed="64"/>
      </patternFill>
    </fill>
    <fill>
      <patternFill patternType="solid">
        <fgColor rgb="FFFFC000"/>
        <bgColor indexed="64"/>
      </patternFill>
    </fill>
    <fill>
      <patternFill patternType="solid">
        <fgColor theme="0" tint="-0.14999847407452621"/>
        <bgColor indexed="64"/>
      </patternFill>
    </fill>
    <fill>
      <patternFill patternType="solid">
        <fgColor rgb="FF66FF99"/>
        <bgColor indexed="64"/>
      </patternFill>
    </fill>
    <fill>
      <patternFill patternType="solid">
        <fgColor theme="2" tint="-9.9978637043366805E-2"/>
        <bgColor indexed="64"/>
      </patternFill>
    </fill>
    <fill>
      <patternFill patternType="solid">
        <fgColor rgb="FF00B0F0"/>
        <bgColor indexed="64"/>
      </patternFill>
    </fill>
    <fill>
      <patternFill patternType="solid">
        <fgColor rgb="FFFF0000"/>
        <bgColor indexed="64"/>
      </patternFill>
    </fill>
    <fill>
      <patternFill patternType="solid">
        <fgColor theme="5" tint="0.39997558519241921"/>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style="hair">
        <color indexed="64"/>
      </bottom>
      <diagonal/>
    </border>
    <border>
      <left/>
      <right style="thin">
        <color indexed="64"/>
      </right>
      <top/>
      <bottom/>
      <diagonal/>
    </border>
    <border>
      <left/>
      <right style="thin">
        <color indexed="64"/>
      </right>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style="thin">
        <color indexed="64"/>
      </right>
      <top/>
      <bottom style="double">
        <color indexed="64"/>
      </bottom>
      <diagonal/>
    </border>
    <border>
      <left style="double">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top/>
      <bottom style="double">
        <color indexed="64"/>
      </bottom>
      <diagonal/>
    </border>
    <border>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225">
    <xf numFmtId="0" fontId="0" fillId="0" borderId="0" xfId="0"/>
    <xf numFmtId="164" fontId="0" fillId="0" borderId="0" xfId="0" applyNumberFormat="1"/>
    <xf numFmtId="0" fontId="1" fillId="0" borderId="0" xfId="0" applyFont="1"/>
    <xf numFmtId="164" fontId="0" fillId="0" borderId="1" xfId="0" applyNumberFormat="1" applyBorder="1"/>
    <xf numFmtId="164" fontId="0" fillId="0" borderId="1" xfId="0" applyNumberFormat="1" applyBorder="1" applyAlignment="1">
      <alignment vertical="center"/>
    </xf>
    <xf numFmtId="0" fontId="0" fillId="0" borderId="2" xfId="0" applyBorder="1" applyAlignment="1">
      <alignment horizontal="center"/>
    </xf>
    <xf numFmtId="0" fontId="0" fillId="0" borderId="3" xfId="0" applyBorder="1"/>
    <xf numFmtId="0" fontId="0" fillId="0" borderId="4" xfId="0" applyBorder="1"/>
    <xf numFmtId="0" fontId="0" fillId="0" borderId="5" xfId="0" applyBorder="1"/>
    <xf numFmtId="164" fontId="0" fillId="0" borderId="6" xfId="0" applyNumberFormat="1" applyBorder="1"/>
    <xf numFmtId="0" fontId="1" fillId="0" borderId="5" xfId="0" applyFont="1" applyBorder="1" applyAlignment="1">
      <alignment wrapText="1"/>
    </xf>
    <xf numFmtId="164" fontId="0" fillId="0" borderId="6" xfId="0" applyNumberFormat="1" applyBorder="1" applyAlignment="1">
      <alignment vertical="center"/>
    </xf>
    <xf numFmtId="0" fontId="0" fillId="0" borderId="5" xfId="0" applyBorder="1" applyAlignment="1">
      <alignment wrapText="1"/>
    </xf>
    <xf numFmtId="0" fontId="0" fillId="0" borderId="7" xfId="0" applyBorder="1" applyAlignment="1">
      <alignment wrapText="1"/>
    </xf>
    <xf numFmtId="164" fontId="0" fillId="0" borderId="8" xfId="0" applyNumberFormat="1" applyBorder="1"/>
    <xf numFmtId="164" fontId="0" fillId="0" borderId="9" xfId="0" applyNumberFormat="1" applyBorder="1"/>
    <xf numFmtId="0" fontId="3" fillId="3" borderId="1" xfId="0" applyFont="1" applyFill="1" applyBorder="1" applyAlignment="1">
      <alignment horizontal="center"/>
    </xf>
    <xf numFmtId="0" fontId="3" fillId="0" borderId="1" xfId="0" applyFont="1" applyFill="1" applyBorder="1" applyAlignment="1">
      <alignment horizontal="center"/>
    </xf>
    <xf numFmtId="0" fontId="3" fillId="2" borderId="5" xfId="0" applyFont="1" applyFill="1" applyBorder="1"/>
    <xf numFmtId="0" fontId="4" fillId="3" borderId="11" xfId="0" applyFont="1" applyFill="1" applyBorder="1"/>
    <xf numFmtId="0" fontId="3" fillId="0" borderId="5" xfId="0" applyFont="1" applyBorder="1"/>
    <xf numFmtId="0" fontId="3" fillId="0" borderId="5" xfId="0" applyFont="1" applyFill="1" applyBorder="1"/>
    <xf numFmtId="0" fontId="3" fillId="0" borderId="17" xfId="0" applyFont="1" applyBorder="1"/>
    <xf numFmtId="3" fontId="4" fillId="2" borderId="0" xfId="0" applyNumberFormat="1" applyFont="1" applyFill="1" applyBorder="1"/>
    <xf numFmtId="0" fontId="2" fillId="0" borderId="1" xfId="0" applyFont="1" applyBorder="1" applyAlignment="1">
      <alignment horizontal="center" vertical="center"/>
    </xf>
    <xf numFmtId="0" fontId="0" fillId="0" borderId="1" xfId="0" applyBorder="1"/>
    <xf numFmtId="0" fontId="0" fillId="0" borderId="0" xfId="0" applyFill="1" applyBorder="1" applyAlignment="1">
      <alignment wrapText="1"/>
    </xf>
    <xf numFmtId="0" fontId="0" fillId="0" borderId="1" xfId="0" applyBorder="1" applyAlignment="1">
      <alignment vertical="center" wrapText="1"/>
    </xf>
    <xf numFmtId="0" fontId="0" fillId="0" borderId="1" xfId="0" applyFill="1" applyBorder="1" applyAlignment="1">
      <alignment vertical="center" wrapText="1"/>
    </xf>
    <xf numFmtId="0" fontId="0" fillId="0" borderId="1" xfId="0" applyBorder="1" applyAlignment="1">
      <alignment wrapText="1"/>
    </xf>
    <xf numFmtId="0" fontId="0" fillId="0" borderId="1" xfId="0" applyFill="1" applyBorder="1" applyAlignment="1">
      <alignment wrapText="1"/>
    </xf>
    <xf numFmtId="0" fontId="0" fillId="0" borderId="11" xfId="0" applyFill="1" applyBorder="1" applyAlignment="1">
      <alignment vertical="center" wrapText="1"/>
    </xf>
    <xf numFmtId="0" fontId="2" fillId="0" borderId="0" xfId="0" applyFont="1" applyAlignment="1">
      <alignment horizontal="center" vertical="center"/>
    </xf>
    <xf numFmtId="0" fontId="0" fillId="4" borderId="1" xfId="0" applyFill="1" applyBorder="1"/>
    <xf numFmtId="164" fontId="0" fillId="4" borderId="1" xfId="0" applyNumberFormat="1" applyFill="1" applyBorder="1"/>
    <xf numFmtId="0" fontId="2" fillId="0" borderId="0" xfId="0" applyFont="1"/>
    <xf numFmtId="0" fontId="0" fillId="0" borderId="11" xfId="0" applyBorder="1"/>
    <xf numFmtId="0" fontId="2" fillId="0" borderId="1" xfId="0" applyFont="1" applyBorder="1"/>
    <xf numFmtId="0" fontId="2" fillId="0" borderId="10" xfId="0" applyFont="1" applyBorder="1"/>
    <xf numFmtId="0" fontId="0" fillId="0" borderId="10" xfId="0" applyBorder="1"/>
    <xf numFmtId="0" fontId="0" fillId="5" borderId="1" xfId="0" applyFill="1" applyBorder="1"/>
    <xf numFmtId="164" fontId="0" fillId="5" borderId="1" xfId="0" applyNumberFormat="1" applyFill="1" applyBorder="1"/>
    <xf numFmtId="0" fontId="0" fillId="5" borderId="11" xfId="0" applyFill="1" applyBorder="1"/>
    <xf numFmtId="164" fontId="2" fillId="0" borderId="1" xfId="0" applyNumberFormat="1" applyFont="1" applyBorder="1"/>
    <xf numFmtId="0" fontId="2" fillId="0" borderId="11" xfId="0" applyFont="1" applyBorder="1"/>
    <xf numFmtId="0" fontId="2" fillId="0" borderId="1" xfId="0" applyFont="1" applyBorder="1" applyAlignment="1">
      <alignment wrapText="1"/>
    </xf>
    <xf numFmtId="0" fontId="0" fillId="0" borderId="8" xfId="0" applyBorder="1"/>
    <xf numFmtId="0" fontId="2" fillId="6" borderId="0" xfId="0" applyFont="1" applyFill="1"/>
    <xf numFmtId="0" fontId="0" fillId="6" borderId="0" xfId="0" applyFill="1"/>
    <xf numFmtId="0" fontId="0" fillId="4" borderId="1" xfId="0" applyFill="1" applyBorder="1" applyAlignment="1">
      <alignment horizontal="center"/>
    </xf>
    <xf numFmtId="0" fontId="0" fillId="7" borderId="1" xfId="0" applyFill="1" applyBorder="1" applyAlignment="1">
      <alignment horizontal="center"/>
    </xf>
    <xf numFmtId="0" fontId="0" fillId="8" borderId="1" xfId="0" applyFill="1" applyBorder="1" applyAlignment="1">
      <alignment horizontal="center"/>
    </xf>
    <xf numFmtId="0" fontId="0" fillId="0" borderId="1" xfId="0" applyBorder="1" applyAlignment="1">
      <alignment horizontal="center"/>
    </xf>
    <xf numFmtId="0" fontId="0" fillId="0" borderId="0" xfId="0" applyFill="1"/>
    <xf numFmtId="0" fontId="0" fillId="4" borderId="0" xfId="0" applyFill="1"/>
    <xf numFmtId="0" fontId="0" fillId="4" borderId="0" xfId="0" applyFill="1" applyAlignment="1">
      <alignment horizontal="right"/>
    </xf>
    <xf numFmtId="0" fontId="0" fillId="10" borderId="1" xfId="0" applyFill="1" applyBorder="1"/>
    <xf numFmtId="164" fontId="0" fillId="4" borderId="1" xfId="0" applyNumberFormat="1" applyFill="1" applyBorder="1" applyAlignment="1">
      <alignment horizontal="center"/>
    </xf>
    <xf numFmtId="164" fontId="0" fillId="7" borderId="1" xfId="0" applyNumberFormat="1" applyFill="1" applyBorder="1" applyAlignment="1">
      <alignment horizontal="center"/>
    </xf>
    <xf numFmtId="0" fontId="7" fillId="0" borderId="0" xfId="0" applyFont="1" applyFill="1"/>
    <xf numFmtId="0" fontId="0" fillId="12" borderId="1" xfId="0" applyFill="1" applyBorder="1" applyAlignment="1">
      <alignment horizontal="center"/>
    </xf>
    <xf numFmtId="165" fontId="0" fillId="0" borderId="1" xfId="0" applyNumberFormat="1" applyBorder="1" applyAlignment="1">
      <alignment horizontal="center"/>
    </xf>
    <xf numFmtId="0" fontId="0" fillId="7" borderId="1" xfId="0" applyFont="1" applyFill="1" applyBorder="1" applyAlignment="1">
      <alignment horizontal="center"/>
    </xf>
    <xf numFmtId="0" fontId="0" fillId="0" borderId="1" xfId="0" applyFill="1" applyBorder="1"/>
    <xf numFmtId="0" fontId="0" fillId="12" borderId="1" xfId="0" applyFill="1" applyBorder="1"/>
    <xf numFmtId="0" fontId="2" fillId="0" borderId="0" xfId="0" applyFont="1" applyBorder="1"/>
    <xf numFmtId="164" fontId="2" fillId="0" borderId="0" xfId="0" applyNumberFormat="1" applyFont="1" applyBorder="1"/>
    <xf numFmtId="0" fontId="2" fillId="0" borderId="8" xfId="0" applyFont="1" applyBorder="1" applyAlignment="1">
      <alignment wrapText="1"/>
    </xf>
    <xf numFmtId="0" fontId="2" fillId="5" borderId="18" xfId="0" applyFont="1" applyFill="1" applyBorder="1" applyAlignment="1">
      <alignment horizontal="center"/>
    </xf>
    <xf numFmtId="0" fontId="0" fillId="0" borderId="0" xfId="0" applyFont="1"/>
    <xf numFmtId="164" fontId="0" fillId="0" borderId="0" xfId="0" applyNumberFormat="1" applyFont="1"/>
    <xf numFmtId="164" fontId="0" fillId="8" borderId="1" xfId="0" applyNumberFormat="1" applyFill="1" applyBorder="1" applyAlignment="1">
      <alignment horizontal="center"/>
    </xf>
    <xf numFmtId="164" fontId="0" fillId="9" borderId="1" xfId="0" applyNumberFormat="1" applyFill="1" applyBorder="1" applyAlignment="1">
      <alignment horizontal="center"/>
    </xf>
    <xf numFmtId="164" fontId="0" fillId="7" borderId="1" xfId="0" applyNumberFormat="1" applyFill="1" applyBorder="1"/>
    <xf numFmtId="164" fontId="0" fillId="10" borderId="1" xfId="0" applyNumberFormat="1" applyFill="1" applyBorder="1"/>
    <xf numFmtId="164" fontId="0" fillId="11" borderId="1" xfId="0" applyNumberFormat="1" applyFill="1" applyBorder="1"/>
    <xf numFmtId="164" fontId="0" fillId="0" borderId="1" xfId="0" applyNumberFormat="1" applyBorder="1" applyAlignment="1">
      <alignment horizontal="center"/>
    </xf>
    <xf numFmtId="0" fontId="0" fillId="5" borderId="0" xfId="0" applyFill="1"/>
    <xf numFmtId="164" fontId="2" fillId="0" borderId="0" xfId="0" applyNumberFormat="1" applyFont="1" applyAlignment="1">
      <alignment horizontal="center"/>
    </xf>
    <xf numFmtId="0" fontId="0" fillId="0" borderId="22" xfId="0" applyBorder="1"/>
    <xf numFmtId="164" fontId="2" fillId="5" borderId="23" xfId="0" applyNumberFormat="1" applyFont="1" applyFill="1" applyBorder="1" applyAlignment="1">
      <alignment horizontal="center" vertical="center" wrapText="1"/>
    </xf>
    <xf numFmtId="0" fontId="2" fillId="5" borderId="23" xfId="0" applyFont="1" applyFill="1" applyBorder="1" applyAlignment="1">
      <alignment horizontal="center" vertical="center" wrapText="1"/>
    </xf>
    <xf numFmtId="0" fontId="2" fillId="5" borderId="24" xfId="0" applyFont="1" applyFill="1" applyBorder="1" applyAlignment="1">
      <alignment horizontal="center" vertical="center" wrapText="1"/>
    </xf>
    <xf numFmtId="0" fontId="0" fillId="5" borderId="25" xfId="0" applyFill="1" applyBorder="1"/>
    <xf numFmtId="164" fontId="2" fillId="0" borderId="26" xfId="0" applyNumberFormat="1" applyFont="1" applyBorder="1"/>
    <xf numFmtId="164" fontId="2" fillId="0" borderId="27" xfId="0" applyNumberFormat="1" applyFont="1" applyBorder="1" applyAlignment="1">
      <alignment horizontal="center" vertical="center"/>
    </xf>
    <xf numFmtId="164" fontId="2" fillId="0" borderId="28" xfId="0" applyNumberFormat="1" applyFont="1" applyBorder="1" applyAlignment="1">
      <alignment horizontal="center" vertical="center"/>
    </xf>
    <xf numFmtId="0" fontId="0" fillId="5" borderId="29" xfId="0" applyFill="1" applyBorder="1" applyAlignment="1">
      <alignment horizontal="center" vertical="center" wrapText="1"/>
    </xf>
    <xf numFmtId="0" fontId="0" fillId="5" borderId="30" xfId="0" applyFill="1" applyBorder="1"/>
    <xf numFmtId="164" fontId="0" fillId="0" borderId="31" xfId="0" applyNumberFormat="1" applyBorder="1"/>
    <xf numFmtId="164" fontId="2" fillId="0" borderId="32" xfId="0" applyNumberFormat="1" applyFont="1" applyBorder="1"/>
    <xf numFmtId="8" fontId="0" fillId="0" borderId="1" xfId="0" applyNumberFormat="1" applyBorder="1"/>
    <xf numFmtId="0" fontId="0" fillId="0" borderId="33" xfId="0" applyBorder="1" applyAlignment="1">
      <alignment horizontal="left"/>
    </xf>
    <xf numFmtId="0" fontId="2" fillId="5" borderId="1" xfId="0" applyFont="1" applyFill="1" applyBorder="1" applyAlignment="1">
      <alignment horizontal="center"/>
    </xf>
    <xf numFmtId="8" fontId="2" fillId="5" borderId="0" xfId="0" applyNumberFormat="1" applyFont="1" applyFill="1"/>
    <xf numFmtId="0" fontId="0" fillId="5" borderId="0" xfId="0" applyFill="1" applyAlignment="1">
      <alignment horizontal="center"/>
    </xf>
    <xf numFmtId="0" fontId="2" fillId="5" borderId="0" xfId="0" applyFont="1" applyFill="1" applyAlignment="1">
      <alignment horizontal="center"/>
    </xf>
    <xf numFmtId="0" fontId="4" fillId="0" borderId="0" xfId="0" applyFont="1" applyFill="1"/>
    <xf numFmtId="3" fontId="4" fillId="2" borderId="0" xfId="0" applyNumberFormat="1" applyFont="1" applyFill="1"/>
    <xf numFmtId="0" fontId="3" fillId="0" borderId="0" xfId="0" applyFont="1" applyFill="1"/>
    <xf numFmtId="3" fontId="3" fillId="2" borderId="0" xfId="0" applyNumberFormat="1" applyFont="1" applyFill="1"/>
    <xf numFmtId="9" fontId="0" fillId="0" borderId="1" xfId="0" applyNumberFormat="1" applyBorder="1" applyAlignment="1">
      <alignment horizontal="center"/>
    </xf>
    <xf numFmtId="0" fontId="8" fillId="12" borderId="1" xfId="0" applyFont="1" applyFill="1" applyBorder="1"/>
    <xf numFmtId="164" fontId="0" fillId="0" borderId="10" xfId="0" applyNumberFormat="1" applyBorder="1"/>
    <xf numFmtId="164" fontId="0" fillId="0" borderId="34" xfId="0" applyNumberFormat="1" applyBorder="1"/>
    <xf numFmtId="164" fontId="2" fillId="0" borderId="35" xfId="0" applyNumberFormat="1" applyFont="1" applyBorder="1" applyAlignment="1">
      <alignment horizontal="center" vertical="center"/>
    </xf>
    <xf numFmtId="0" fontId="0" fillId="5" borderId="0" xfId="0" applyFill="1" applyAlignment="1">
      <alignment horizontal="center"/>
    </xf>
    <xf numFmtId="164" fontId="2" fillId="0" borderId="0" xfId="0" applyNumberFormat="1" applyFont="1" applyAlignment="1">
      <alignment horizontal="center"/>
    </xf>
    <xf numFmtId="0" fontId="0" fillId="4" borderId="16" xfId="0" applyFill="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0" fillId="0" borderId="8"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3" xfId="0" applyBorder="1" applyAlignment="1"/>
    <xf numFmtId="164" fontId="2" fillId="0" borderId="19" xfId="0" applyNumberFormat="1" applyFont="1" applyBorder="1" applyAlignment="1">
      <alignment horizontal="center"/>
    </xf>
    <xf numFmtId="164" fontId="2" fillId="0" borderId="20" xfId="0" applyNumberFormat="1" applyFont="1" applyBorder="1" applyAlignment="1">
      <alignment horizontal="center"/>
    </xf>
    <xf numFmtId="164" fontId="2" fillId="0" borderId="21" xfId="0" applyNumberFormat="1" applyFont="1" applyBorder="1" applyAlignment="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0" fillId="4" borderId="1" xfId="0" applyFill="1" applyBorder="1" applyAlignment="1">
      <alignment horizontal="center"/>
    </xf>
    <xf numFmtId="0" fontId="2" fillId="5" borderId="0" xfId="0" applyFont="1" applyFill="1" applyAlignment="1">
      <alignment horizontal="center"/>
    </xf>
    <xf numFmtId="0" fontId="3" fillId="2" borderId="16" xfId="0" applyFont="1" applyFill="1" applyBorder="1"/>
    <xf numFmtId="164" fontId="4" fillId="3" borderId="12" xfId="0" applyNumberFormat="1" applyFont="1" applyFill="1" applyBorder="1"/>
    <xf numFmtId="164" fontId="3" fillId="2" borderId="1" xfId="0" applyNumberFormat="1" applyFont="1" applyFill="1" applyBorder="1"/>
    <xf numFmtId="164" fontId="3" fillId="2" borderId="15" xfId="0" applyNumberFormat="1" applyFont="1" applyFill="1" applyBorder="1"/>
    <xf numFmtId="164" fontId="4" fillId="3" borderId="10" xfId="0" applyNumberFormat="1" applyFont="1" applyFill="1" applyBorder="1"/>
    <xf numFmtId="0" fontId="3" fillId="2" borderId="5" xfId="0" applyFont="1" applyFill="1" applyBorder="1" applyAlignment="1">
      <alignment wrapText="1"/>
    </xf>
    <xf numFmtId="0" fontId="0" fillId="0" borderId="0" xfId="0" applyAlignment="1">
      <alignment horizontal="center"/>
    </xf>
    <xf numFmtId="164" fontId="0" fillId="12" borderId="0" xfId="0" applyNumberFormat="1" applyFill="1" applyAlignment="1">
      <alignment horizontal="center"/>
    </xf>
    <xf numFmtId="164" fontId="0" fillId="5" borderId="0" xfId="0" applyNumberFormat="1" applyFill="1" applyAlignment="1">
      <alignment horizontal="center"/>
    </xf>
    <xf numFmtId="0" fontId="3" fillId="2" borderId="11" xfId="0" applyFont="1" applyFill="1" applyBorder="1"/>
    <xf numFmtId="0" fontId="3" fillId="2" borderId="16" xfId="0" applyFont="1" applyFill="1" applyBorder="1" applyAlignment="1">
      <alignment wrapText="1"/>
    </xf>
    <xf numFmtId="164" fontId="4" fillId="2" borderId="10" xfId="0" applyNumberFormat="1" applyFont="1" applyFill="1" applyBorder="1" applyAlignment="1">
      <alignment horizontal="center" vertical="center"/>
    </xf>
    <xf numFmtId="164" fontId="4" fillId="2" borderId="36" xfId="0" applyNumberFormat="1" applyFont="1" applyFill="1" applyBorder="1" applyAlignment="1">
      <alignment horizontal="center" vertical="center"/>
    </xf>
    <xf numFmtId="164" fontId="4" fillId="2" borderId="11" xfId="0" applyNumberFormat="1" applyFont="1" applyFill="1" applyBorder="1" applyAlignment="1">
      <alignment horizontal="center" vertical="center"/>
    </xf>
    <xf numFmtId="164" fontId="0" fillId="5" borderId="0" xfId="0" applyNumberFormat="1" applyFill="1"/>
    <xf numFmtId="0" fontId="4" fillId="5" borderId="14" xfId="0" applyFont="1" applyFill="1" applyBorder="1" applyAlignment="1">
      <alignment horizontal="center"/>
    </xf>
    <xf numFmtId="0" fontId="2" fillId="5" borderId="0" xfId="0" applyFont="1" applyFill="1"/>
    <xf numFmtId="164" fontId="2" fillId="5" borderId="0" xfId="0" applyNumberFormat="1" applyFont="1" applyFill="1"/>
    <xf numFmtId="0" fontId="3" fillId="0" borderId="31" xfId="0" applyFont="1" applyFill="1" applyBorder="1" applyAlignment="1">
      <alignment horizontal="center"/>
    </xf>
    <xf numFmtId="0" fontId="3" fillId="0" borderId="38" xfId="0" applyFont="1" applyFill="1" applyBorder="1"/>
    <xf numFmtId="164" fontId="3" fillId="2" borderId="37" xfId="0" applyNumberFormat="1" applyFont="1" applyFill="1" applyBorder="1"/>
    <xf numFmtId="164" fontId="0" fillId="6" borderId="0" xfId="0" applyNumberFormat="1" applyFill="1"/>
    <xf numFmtId="164" fontId="0" fillId="8" borderId="1" xfId="0" applyNumberFormat="1" applyFill="1" applyBorder="1" applyAlignment="1">
      <alignment horizontal="center" wrapText="1"/>
    </xf>
    <xf numFmtId="164" fontId="0" fillId="4" borderId="0" xfId="0" applyNumberFormat="1" applyFill="1"/>
    <xf numFmtId="9" fontId="0" fillId="0" borderId="0" xfId="0" applyNumberFormat="1"/>
    <xf numFmtId="10" fontId="0" fillId="5" borderId="0" xfId="0" applyNumberFormat="1" applyFill="1"/>
    <xf numFmtId="0" fontId="0" fillId="5" borderId="38" xfId="0" applyFill="1" applyBorder="1"/>
    <xf numFmtId="10" fontId="0" fillId="5" borderId="38" xfId="0" applyNumberFormat="1" applyFill="1" applyBorder="1"/>
    <xf numFmtId="0" fontId="0" fillId="5" borderId="39" xfId="0" applyFill="1" applyBorder="1"/>
    <xf numFmtId="10" fontId="0" fillId="5" borderId="39" xfId="0" applyNumberFormat="1" applyFill="1" applyBorder="1"/>
    <xf numFmtId="0" fontId="0" fillId="4" borderId="10" xfId="0" applyFill="1" applyBorder="1" applyAlignment="1">
      <alignment horizontal="center"/>
    </xf>
    <xf numFmtId="0" fontId="0" fillId="4" borderId="11" xfId="0" applyFill="1" applyBorder="1" applyAlignment="1">
      <alignment horizontal="center"/>
    </xf>
    <xf numFmtId="0" fontId="0" fillId="0" borderId="0" xfId="0" applyBorder="1" applyAlignment="1">
      <alignment wrapText="1"/>
    </xf>
    <xf numFmtId="0" fontId="0" fillId="0" borderId="0" xfId="0" applyBorder="1"/>
    <xf numFmtId="0" fontId="0" fillId="0" borderId="39" xfId="0" applyBorder="1"/>
    <xf numFmtId="164" fontId="0" fillId="0" borderId="39" xfId="0" applyNumberFormat="1" applyBorder="1"/>
    <xf numFmtId="164" fontId="0" fillId="0" borderId="11" xfId="0" applyNumberFormat="1" applyBorder="1"/>
    <xf numFmtId="0" fontId="0" fillId="4" borderId="40" xfId="0" applyFill="1" applyBorder="1" applyAlignment="1">
      <alignment horizontal="center"/>
    </xf>
    <xf numFmtId="0" fontId="0" fillId="4" borderId="41" xfId="0" applyFill="1" applyBorder="1" applyAlignment="1">
      <alignment horizontal="center"/>
    </xf>
    <xf numFmtId="0" fontId="0" fillId="4" borderId="42" xfId="0" applyFill="1" applyBorder="1" applyAlignment="1">
      <alignment horizontal="center"/>
    </xf>
    <xf numFmtId="0" fontId="0" fillId="8" borderId="5" xfId="0" applyFill="1" applyBorder="1" applyAlignment="1">
      <alignment horizontal="center"/>
    </xf>
    <xf numFmtId="0" fontId="0" fillId="8" borderId="6" xfId="0" applyFill="1" applyBorder="1" applyAlignment="1">
      <alignment horizontal="center"/>
    </xf>
    <xf numFmtId="164" fontId="0" fillId="0" borderId="5" xfId="0" applyNumberFormat="1" applyBorder="1"/>
    <xf numFmtId="164" fontId="0" fillId="0" borderId="43" xfId="0" applyNumberFormat="1" applyBorder="1"/>
    <xf numFmtId="164" fontId="0" fillId="0" borderId="44" xfId="0" applyNumberFormat="1" applyBorder="1"/>
    <xf numFmtId="0" fontId="0" fillId="4" borderId="2" xfId="0" applyFill="1" applyBorder="1" applyAlignment="1">
      <alignment horizontal="center"/>
    </xf>
    <xf numFmtId="0" fontId="0" fillId="4" borderId="3" xfId="0" applyFill="1" applyBorder="1" applyAlignment="1">
      <alignment horizontal="center"/>
    </xf>
    <xf numFmtId="0" fontId="0" fillId="4" borderId="4" xfId="0" applyFill="1" applyBorder="1" applyAlignment="1">
      <alignment horizontal="center"/>
    </xf>
    <xf numFmtId="164" fontId="0" fillId="8" borderId="5" xfId="0" applyNumberFormat="1" applyFill="1" applyBorder="1" applyAlignment="1">
      <alignment horizontal="center"/>
    </xf>
    <xf numFmtId="0" fontId="0" fillId="7" borderId="10" xfId="0" applyFill="1" applyBorder="1" applyAlignment="1">
      <alignment horizontal="center"/>
    </xf>
    <xf numFmtId="0" fontId="0" fillId="0" borderId="10" xfId="0" applyBorder="1" applyAlignment="1">
      <alignment horizontal="center"/>
    </xf>
    <xf numFmtId="164" fontId="0" fillId="4" borderId="45" xfId="0" applyNumberFormat="1" applyFill="1" applyBorder="1" applyAlignment="1">
      <alignment horizontal="center"/>
    </xf>
    <xf numFmtId="164" fontId="0" fillId="7" borderId="46" xfId="0" applyNumberFormat="1" applyFill="1" applyBorder="1" applyAlignment="1">
      <alignment horizontal="center"/>
    </xf>
    <xf numFmtId="164" fontId="0" fillId="0" borderId="46" xfId="0" applyNumberFormat="1" applyBorder="1"/>
    <xf numFmtId="164" fontId="0" fillId="0" borderId="47" xfId="0" applyNumberFormat="1" applyBorder="1"/>
    <xf numFmtId="0" fontId="0" fillId="7" borderId="11" xfId="0" applyFill="1" applyBorder="1" applyAlignment="1">
      <alignment horizontal="center"/>
    </xf>
    <xf numFmtId="164" fontId="2" fillId="5" borderId="0" xfId="0" applyNumberFormat="1" applyFont="1" applyFill="1" applyBorder="1"/>
    <xf numFmtId="164" fontId="2" fillId="5" borderId="0" xfId="0" applyNumberFormat="1" applyFont="1" applyFill="1" applyBorder="1" applyAlignment="1">
      <alignment horizontal="center" wrapText="1"/>
    </xf>
    <xf numFmtId="0" fontId="2" fillId="5" borderId="48" xfId="0" applyFont="1" applyFill="1" applyBorder="1"/>
    <xf numFmtId="164" fontId="2" fillId="5" borderId="49" xfId="0" applyNumberFormat="1" applyFont="1" applyFill="1" applyBorder="1"/>
    <xf numFmtId="164" fontId="2" fillId="5" borderId="50" xfId="0" applyNumberFormat="1" applyFont="1" applyFill="1" applyBorder="1"/>
    <xf numFmtId="0" fontId="2" fillId="5" borderId="2" xfId="0" applyFont="1" applyFill="1" applyBorder="1"/>
    <xf numFmtId="164" fontId="2" fillId="5" borderId="3" xfId="0" applyNumberFormat="1" applyFont="1" applyFill="1" applyBorder="1"/>
    <xf numFmtId="164" fontId="2" fillId="5" borderId="4" xfId="0" applyNumberFormat="1" applyFont="1" applyFill="1" applyBorder="1"/>
    <xf numFmtId="0" fontId="2" fillId="5" borderId="43" xfId="0" applyFont="1" applyFill="1" applyBorder="1"/>
    <xf numFmtId="164" fontId="2" fillId="5" borderId="31" xfId="0" applyNumberFormat="1" applyFont="1" applyFill="1" applyBorder="1"/>
    <xf numFmtId="164" fontId="2" fillId="5" borderId="44" xfId="0" applyNumberFormat="1" applyFont="1" applyFill="1" applyBorder="1"/>
    <xf numFmtId="164" fontId="0" fillId="0" borderId="8" xfId="0" applyNumberFormat="1" applyBorder="1" applyAlignment="1"/>
    <xf numFmtId="164" fontId="0" fillId="0" borderId="0" xfId="0" applyNumberFormat="1" applyFill="1" applyBorder="1" applyAlignment="1"/>
    <xf numFmtId="0" fontId="0" fillId="0" borderId="0" xfId="0" applyAlignment="1">
      <alignment vertical="center"/>
    </xf>
    <xf numFmtId="4" fontId="0" fillId="0" borderId="0" xfId="0" applyNumberFormat="1" applyAlignment="1">
      <alignment vertical="center"/>
    </xf>
    <xf numFmtId="4" fontId="0" fillId="0" borderId="0" xfId="0" applyNumberFormat="1"/>
    <xf numFmtId="164" fontId="1" fillId="0" borderId="0" xfId="0" applyNumberFormat="1" applyFont="1" applyAlignment="1">
      <alignment horizontal="center" wrapText="1"/>
    </xf>
    <xf numFmtId="164" fontId="0" fillId="13" borderId="0" xfId="0" applyNumberFormat="1" applyFill="1" applyAlignment="1">
      <alignment horizontal="center"/>
    </xf>
    <xf numFmtId="164" fontId="2" fillId="13" borderId="0" xfId="0" applyNumberFormat="1" applyFont="1" applyFill="1"/>
    <xf numFmtId="164" fontId="2" fillId="0" borderId="5" xfId="0" applyNumberFormat="1" applyFont="1" applyBorder="1"/>
    <xf numFmtId="164" fontId="2" fillId="13" borderId="0" xfId="0" applyNumberFormat="1" applyFont="1" applyFill="1" applyAlignment="1">
      <alignment horizontal="center"/>
    </xf>
    <xf numFmtId="0" fontId="2" fillId="0" borderId="0" xfId="0" applyFont="1" applyAlignment="1">
      <alignment horizontal="center"/>
    </xf>
    <xf numFmtId="164" fontId="2" fillId="0" borderId="1" xfId="0" applyNumberFormat="1" applyFont="1" applyBorder="1" applyAlignment="1">
      <alignment horizontal="center"/>
    </xf>
    <xf numFmtId="0" fontId="0" fillId="0" borderId="0" xfId="0" applyBorder="1" applyAlignment="1">
      <alignment horizontal="center"/>
    </xf>
    <xf numFmtId="164" fontId="0" fillId="0" borderId="0" xfId="0" applyNumberFormat="1" applyBorder="1"/>
    <xf numFmtId="164" fontId="0" fillId="13" borderId="0" xfId="0" applyNumberFormat="1" applyFill="1" applyBorder="1"/>
    <xf numFmtId="164" fontId="9" fillId="13" borderId="0" xfId="0" applyNumberFormat="1" applyFont="1" applyFill="1" applyAlignment="1">
      <alignment wrapText="1"/>
    </xf>
    <xf numFmtId="0" fontId="0" fillId="7" borderId="0" xfId="0" applyFont="1" applyFill="1" applyBorder="1" applyAlignment="1">
      <alignment horizontal="center"/>
    </xf>
    <xf numFmtId="0" fontId="0" fillId="0" borderId="5" xfId="0" applyFill="1" applyBorder="1"/>
    <xf numFmtId="164" fontId="0" fillId="0" borderId="1" xfId="0" applyNumberFormat="1" applyFill="1" applyBorder="1"/>
    <xf numFmtId="0" fontId="0" fillId="0" borderId="6" xfId="0" applyFill="1" applyBorder="1"/>
    <xf numFmtId="0" fontId="0" fillId="5" borderId="2" xfId="0" applyFill="1" applyBorder="1" applyAlignment="1">
      <alignment horizontal="center"/>
    </xf>
    <xf numFmtId="0" fontId="0" fillId="5" borderId="3" xfId="0" applyFill="1" applyBorder="1" applyAlignment="1">
      <alignment horizontal="center"/>
    </xf>
    <xf numFmtId="0" fontId="0" fillId="5" borderId="4" xfId="0" applyFill="1" applyBorder="1" applyAlignment="1">
      <alignment horizontal="center"/>
    </xf>
    <xf numFmtId="0" fontId="0" fillId="5" borderId="5" xfId="0" applyFill="1" applyBorder="1" applyAlignment="1">
      <alignment horizontal="center" vertical="center"/>
    </xf>
    <xf numFmtId="0" fontId="0" fillId="5" borderId="1" xfId="0" applyFill="1" applyBorder="1" applyAlignment="1">
      <alignment horizontal="center" wrapText="1"/>
    </xf>
    <xf numFmtId="0" fontId="0" fillId="5" borderId="1" xfId="0" applyFill="1" applyBorder="1" applyAlignment="1">
      <alignment horizontal="center"/>
    </xf>
    <xf numFmtId="0" fontId="0" fillId="5" borderId="6" xfId="0" applyFill="1" applyBorder="1" applyAlignment="1">
      <alignment horizontal="center" wrapText="1"/>
    </xf>
    <xf numFmtId="0" fontId="0" fillId="0" borderId="19" xfId="0" applyBorder="1"/>
    <xf numFmtId="164" fontId="0" fillId="0" borderId="21" xfId="0" applyNumberFormat="1" applyBorder="1"/>
    <xf numFmtId="164" fontId="0" fillId="0" borderId="18" xfId="0" applyNumberFormat="1" applyBorder="1"/>
    <xf numFmtId="164" fontId="0" fillId="5" borderId="18" xfId="0" applyNumberFormat="1" applyFill="1" applyBorder="1"/>
    <xf numFmtId="164" fontId="2" fillId="5" borderId="0" xfId="0" applyNumberFormat="1" applyFont="1" applyFill="1" applyAlignment="1">
      <alignment horizontal="center"/>
    </xf>
    <xf numFmtId="0" fontId="0" fillId="7" borderId="0" xfId="0" applyFill="1" applyBorder="1" applyAlignment="1">
      <alignment horizontal="center"/>
    </xf>
    <xf numFmtId="0" fontId="10" fillId="5" borderId="0" xfId="0" applyFont="1" applyFill="1"/>
    <xf numFmtId="164" fontId="10" fillId="5" borderId="0" xfId="0" applyNumberFormat="1" applyFont="1" applyFill="1"/>
    <xf numFmtId="0" fontId="0" fillId="5" borderId="0" xfId="0" applyFill="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L33"/>
  <sheetViews>
    <sheetView topLeftCell="A16" workbookViewId="0">
      <selection activeCell="C18" sqref="C18:D18"/>
    </sheetView>
  </sheetViews>
  <sheetFormatPr defaultRowHeight="15"/>
  <cols>
    <col min="1" max="1" width="49.42578125" customWidth="1"/>
    <col min="2" max="2" width="14" customWidth="1"/>
    <col min="3" max="3" width="7.7109375" customWidth="1"/>
    <col min="4" max="4" width="8.28515625" customWidth="1"/>
    <col min="5" max="5" width="8.140625" customWidth="1"/>
    <col min="6" max="8" width="10.5703125" bestFit="1" customWidth="1"/>
    <col min="9" max="9" width="14" bestFit="1" customWidth="1"/>
    <col min="12" max="12" width="9.5703125" bestFit="1" customWidth="1"/>
  </cols>
  <sheetData>
    <row r="1" spans="1:12" ht="15.75" thickBot="1">
      <c r="A1" s="77"/>
      <c r="B1" s="106" t="s">
        <v>1</v>
      </c>
      <c r="C1" s="106"/>
      <c r="D1" s="106"/>
      <c r="E1" s="106"/>
      <c r="F1" s="106"/>
      <c r="G1" s="106"/>
      <c r="H1" s="106"/>
      <c r="I1" s="106"/>
    </row>
    <row r="2" spans="1:12">
      <c r="A2" s="5" t="s">
        <v>0</v>
      </c>
      <c r="B2" s="6" t="s">
        <v>2</v>
      </c>
      <c r="C2" s="6" t="s">
        <v>3</v>
      </c>
      <c r="D2" s="6" t="s">
        <v>4</v>
      </c>
      <c r="E2" s="6" t="s">
        <v>5</v>
      </c>
      <c r="F2" s="6" t="s">
        <v>6</v>
      </c>
      <c r="G2" s="6" t="s">
        <v>7</v>
      </c>
      <c r="H2" s="6" t="s">
        <v>8</v>
      </c>
      <c r="I2" s="7" t="s">
        <v>9</v>
      </c>
    </row>
    <row r="3" spans="1:12">
      <c r="A3" s="92" t="s">
        <v>226</v>
      </c>
      <c r="B3" s="3">
        <v>17000</v>
      </c>
      <c r="C3" s="3">
        <v>0</v>
      </c>
      <c r="D3" s="3">
        <v>0</v>
      </c>
      <c r="E3" s="3">
        <v>0</v>
      </c>
      <c r="F3" s="3">
        <v>0</v>
      </c>
      <c r="G3" s="3">
        <v>0</v>
      </c>
      <c r="H3" s="3">
        <v>0</v>
      </c>
      <c r="I3" s="3">
        <v>0</v>
      </c>
    </row>
    <row r="4" spans="1:12">
      <c r="A4" s="8" t="s">
        <v>10</v>
      </c>
      <c r="B4" s="3">
        <v>1057</v>
      </c>
      <c r="C4" s="3">
        <v>0</v>
      </c>
      <c r="D4" s="3">
        <v>0</v>
      </c>
      <c r="E4" s="3">
        <v>0</v>
      </c>
      <c r="F4" s="3">
        <v>0</v>
      </c>
      <c r="G4" s="3">
        <v>0</v>
      </c>
      <c r="H4" s="3">
        <v>1507</v>
      </c>
      <c r="I4" s="9">
        <v>0</v>
      </c>
    </row>
    <row r="5" spans="1:12">
      <c r="A5" s="8" t="s">
        <v>11</v>
      </c>
      <c r="B5" s="3">
        <v>1663.2</v>
      </c>
      <c r="C5" s="3">
        <v>0</v>
      </c>
      <c r="D5" s="3">
        <v>0</v>
      </c>
      <c r="E5" s="3">
        <v>0</v>
      </c>
      <c r="F5" s="3">
        <v>0</v>
      </c>
      <c r="G5" s="3">
        <v>0</v>
      </c>
      <c r="H5" s="3">
        <v>0</v>
      </c>
      <c r="I5" s="9">
        <v>1663.2</v>
      </c>
    </row>
    <row r="6" spans="1:12">
      <c r="A6" s="8" t="s">
        <v>12</v>
      </c>
      <c r="B6" s="3">
        <v>2158.8000000000002</v>
      </c>
      <c r="C6" s="3">
        <v>0</v>
      </c>
      <c r="D6" s="3">
        <v>0</v>
      </c>
      <c r="E6" s="3">
        <v>0</v>
      </c>
      <c r="F6" s="3">
        <v>0</v>
      </c>
      <c r="G6" s="3">
        <v>0</v>
      </c>
      <c r="H6" s="3">
        <v>0</v>
      </c>
      <c r="I6" s="9">
        <v>2158.8000000000002</v>
      </c>
    </row>
    <row r="7" spans="1:12">
      <c r="A7" s="8" t="s">
        <v>18</v>
      </c>
      <c r="B7" s="3">
        <v>2709</v>
      </c>
      <c r="C7" s="3">
        <v>0</v>
      </c>
      <c r="D7" s="3">
        <v>0</v>
      </c>
      <c r="E7" s="3">
        <v>0</v>
      </c>
      <c r="F7" s="3">
        <v>0</v>
      </c>
      <c r="G7" s="3">
        <v>0</v>
      </c>
      <c r="H7" s="3">
        <v>2709</v>
      </c>
      <c r="I7" s="9">
        <v>0</v>
      </c>
    </row>
    <row r="8" spans="1:12">
      <c r="A8" s="8" t="s">
        <v>13</v>
      </c>
      <c r="B8" s="3">
        <v>11365.2</v>
      </c>
      <c r="C8" s="3">
        <v>0</v>
      </c>
      <c r="D8" s="3">
        <v>0</v>
      </c>
      <c r="E8" s="3">
        <v>0</v>
      </c>
      <c r="F8" s="3">
        <v>0</v>
      </c>
      <c r="G8" s="3">
        <f>B8/2</f>
        <v>5682.6</v>
      </c>
      <c r="H8" s="3">
        <f>B8-G8</f>
        <v>5682.6</v>
      </c>
      <c r="I8" s="9">
        <v>0</v>
      </c>
    </row>
    <row r="9" spans="1:12">
      <c r="A9" s="8" t="s">
        <v>14</v>
      </c>
      <c r="B9" s="3">
        <v>3248</v>
      </c>
      <c r="C9" s="3">
        <v>0</v>
      </c>
      <c r="D9" s="3">
        <v>0</v>
      </c>
      <c r="E9" s="3">
        <v>0</v>
      </c>
      <c r="F9" s="3">
        <v>0</v>
      </c>
      <c r="G9" s="3">
        <v>3248</v>
      </c>
      <c r="H9" s="3">
        <v>0</v>
      </c>
      <c r="I9" s="9">
        <v>0</v>
      </c>
    </row>
    <row r="10" spans="1:12">
      <c r="A10" s="8" t="s">
        <v>15</v>
      </c>
      <c r="B10" s="3">
        <v>5000</v>
      </c>
      <c r="C10" s="3">
        <v>0</v>
      </c>
      <c r="D10" s="3">
        <v>0</v>
      </c>
      <c r="E10" s="3">
        <v>0</v>
      </c>
      <c r="F10" s="3">
        <v>0</v>
      </c>
      <c r="G10" s="3">
        <v>0</v>
      </c>
      <c r="H10" s="3">
        <v>0</v>
      </c>
      <c r="I10" s="9">
        <v>5000</v>
      </c>
    </row>
    <row r="11" spans="1:12">
      <c r="A11" s="8" t="s">
        <v>16</v>
      </c>
      <c r="B11" s="3">
        <v>49459.199999999997</v>
      </c>
      <c r="C11" s="3">
        <v>0</v>
      </c>
      <c r="D11" s="3">
        <v>0</v>
      </c>
      <c r="E11" s="3">
        <v>0</v>
      </c>
      <c r="F11" s="3">
        <f>B11/4</f>
        <v>12364.8</v>
      </c>
      <c r="G11" s="3">
        <v>12364.8</v>
      </c>
      <c r="H11" s="3">
        <v>12364.8</v>
      </c>
      <c r="I11" s="9">
        <v>12364.8</v>
      </c>
    </row>
    <row r="12" spans="1:12">
      <c r="A12" s="8" t="s">
        <v>25</v>
      </c>
      <c r="B12" s="3">
        <v>8503.2000000000007</v>
      </c>
      <c r="C12" s="3">
        <v>0</v>
      </c>
      <c r="D12" s="3">
        <v>0</v>
      </c>
      <c r="E12" s="3">
        <v>0</v>
      </c>
      <c r="F12" s="3">
        <v>0</v>
      </c>
      <c r="G12" s="3">
        <v>0</v>
      </c>
      <c r="H12" s="3">
        <v>2000</v>
      </c>
      <c r="I12" s="9">
        <v>2000</v>
      </c>
    </row>
    <row r="13" spans="1:12">
      <c r="A13" s="8" t="s">
        <v>20</v>
      </c>
      <c r="B13" s="3">
        <v>14230</v>
      </c>
      <c r="C13" s="3">
        <v>0</v>
      </c>
      <c r="D13" s="3">
        <v>0</v>
      </c>
      <c r="E13" s="3">
        <v>0</v>
      </c>
      <c r="F13" s="3">
        <v>0</v>
      </c>
      <c r="G13" s="3">
        <f>B13/3</f>
        <v>4743.333333333333</v>
      </c>
      <c r="H13" s="3">
        <v>4743.33</v>
      </c>
      <c r="I13" s="9">
        <v>4743.33</v>
      </c>
    </row>
    <row r="14" spans="1:12">
      <c r="A14" s="8" t="s">
        <v>21</v>
      </c>
      <c r="B14" s="3">
        <v>737.07</v>
      </c>
      <c r="C14" s="3">
        <v>0</v>
      </c>
      <c r="D14" s="3">
        <v>0</v>
      </c>
      <c r="E14" s="3">
        <v>0</v>
      </c>
      <c r="F14" s="3">
        <v>0</v>
      </c>
      <c r="G14" s="3">
        <v>0</v>
      </c>
      <c r="H14" s="3">
        <v>737.07</v>
      </c>
      <c r="I14" s="9">
        <v>0</v>
      </c>
      <c r="L14" s="1"/>
    </row>
    <row r="15" spans="1:12">
      <c r="A15" s="8" t="s">
        <v>22</v>
      </c>
      <c r="B15" s="3">
        <v>859.08</v>
      </c>
      <c r="C15" s="3">
        <v>0</v>
      </c>
      <c r="D15" s="3">
        <v>0</v>
      </c>
      <c r="E15" s="3">
        <v>0</v>
      </c>
      <c r="F15" s="3">
        <v>0</v>
      </c>
      <c r="G15" s="3">
        <v>0</v>
      </c>
      <c r="H15" s="3">
        <v>0</v>
      </c>
      <c r="I15" s="9">
        <v>859.08</v>
      </c>
      <c r="L15" s="1"/>
    </row>
    <row r="16" spans="1:12">
      <c r="A16" s="8" t="s">
        <v>58</v>
      </c>
      <c r="B16" s="3">
        <v>25000</v>
      </c>
      <c r="C16" s="3">
        <v>0</v>
      </c>
      <c r="D16" s="3">
        <v>0</v>
      </c>
      <c r="E16" s="3">
        <v>0</v>
      </c>
      <c r="F16" s="3">
        <v>10000</v>
      </c>
      <c r="G16" s="3">
        <v>0</v>
      </c>
      <c r="H16" s="3">
        <v>0</v>
      </c>
      <c r="I16" s="9">
        <v>0</v>
      </c>
      <c r="L16" s="1"/>
    </row>
    <row r="17" spans="1:12">
      <c r="A17" s="8" t="s">
        <v>27</v>
      </c>
      <c r="B17" s="3">
        <v>15000</v>
      </c>
      <c r="C17" s="3">
        <v>0</v>
      </c>
      <c r="D17" s="3">
        <v>0</v>
      </c>
      <c r="E17" s="3">
        <v>0</v>
      </c>
      <c r="F17" s="3">
        <v>0</v>
      </c>
      <c r="G17" s="3">
        <v>10000</v>
      </c>
      <c r="H17" s="3">
        <v>0</v>
      </c>
      <c r="I17" s="9">
        <v>0</v>
      </c>
      <c r="L17" s="1"/>
    </row>
    <row r="18" spans="1:12">
      <c r="A18" s="8" t="s">
        <v>215</v>
      </c>
      <c r="B18" s="3">
        <v>13248</v>
      </c>
      <c r="C18" s="3">
        <v>0</v>
      </c>
      <c r="D18" s="3">
        <v>0</v>
      </c>
      <c r="E18" s="3">
        <v>0</v>
      </c>
      <c r="F18" s="3">
        <v>3500</v>
      </c>
      <c r="G18" s="3">
        <v>3500</v>
      </c>
      <c r="H18" s="3">
        <v>3500</v>
      </c>
      <c r="I18" s="9">
        <v>3500</v>
      </c>
      <c r="L18" s="1"/>
    </row>
    <row r="19" spans="1:12" ht="39.75" customHeight="1">
      <c r="A19" s="10" t="s">
        <v>28</v>
      </c>
      <c r="B19" s="4">
        <v>15500</v>
      </c>
      <c r="C19" s="4">
        <v>0</v>
      </c>
      <c r="D19" s="4">
        <v>0</v>
      </c>
      <c r="E19" s="4">
        <v>0</v>
      </c>
      <c r="F19" s="4">
        <v>0</v>
      </c>
      <c r="G19" s="4">
        <v>0</v>
      </c>
      <c r="H19" s="4">
        <v>0</v>
      </c>
      <c r="I19" s="11">
        <v>0</v>
      </c>
      <c r="L19" s="1"/>
    </row>
    <row r="20" spans="1:12">
      <c r="A20" s="8" t="s">
        <v>24</v>
      </c>
      <c r="B20" s="3">
        <v>49535.8</v>
      </c>
      <c r="C20" s="3">
        <v>0</v>
      </c>
      <c r="D20" s="3">
        <v>0</v>
      </c>
      <c r="E20" s="3">
        <v>0</v>
      </c>
      <c r="F20" s="3">
        <v>0</v>
      </c>
      <c r="G20" s="3">
        <v>5000</v>
      </c>
      <c r="H20" s="3">
        <v>5000</v>
      </c>
      <c r="I20" s="9">
        <v>5000</v>
      </c>
      <c r="L20" s="1"/>
    </row>
    <row r="21" spans="1:12">
      <c r="A21" s="8" t="s">
        <v>33</v>
      </c>
      <c r="B21" s="3">
        <v>100000</v>
      </c>
      <c r="C21" s="3">
        <v>0</v>
      </c>
      <c r="D21" s="3">
        <v>0</v>
      </c>
      <c r="E21" s="3">
        <v>0</v>
      </c>
      <c r="F21" s="3">
        <v>0</v>
      </c>
      <c r="G21" s="3">
        <v>0</v>
      </c>
      <c r="H21" s="3">
        <v>0</v>
      </c>
      <c r="I21" s="9">
        <v>0</v>
      </c>
      <c r="L21" s="1"/>
    </row>
    <row r="22" spans="1:12" ht="33.75" customHeight="1">
      <c r="A22" s="12" t="s">
        <v>29</v>
      </c>
      <c r="B22" s="3">
        <v>800000</v>
      </c>
      <c r="C22" s="3">
        <v>0</v>
      </c>
      <c r="D22" s="3">
        <v>0</v>
      </c>
      <c r="E22" s="3">
        <v>0</v>
      </c>
      <c r="F22" s="3">
        <v>0</v>
      </c>
      <c r="G22" s="3">
        <v>0</v>
      </c>
      <c r="H22" s="3">
        <v>0</v>
      </c>
      <c r="I22" s="9">
        <v>0</v>
      </c>
      <c r="L22" s="1"/>
    </row>
    <row r="23" spans="1:12" ht="29.25" customHeight="1" thickBot="1">
      <c r="A23" s="13" t="s">
        <v>26</v>
      </c>
      <c r="B23" s="14">
        <v>1532547.33</v>
      </c>
      <c r="C23" s="14">
        <v>0</v>
      </c>
      <c r="D23" s="14">
        <v>0</v>
      </c>
      <c r="E23" s="14">
        <v>0</v>
      </c>
      <c r="F23" s="14">
        <v>0</v>
      </c>
      <c r="G23" s="14">
        <v>0</v>
      </c>
      <c r="H23" s="14">
        <v>0</v>
      </c>
      <c r="I23" s="15">
        <v>0</v>
      </c>
      <c r="L23" s="1"/>
    </row>
    <row r="24" spans="1:12" ht="15.75" thickBot="1">
      <c r="A24" s="180" t="s">
        <v>23</v>
      </c>
      <c r="B24" s="181">
        <f t="shared" ref="B24:I24" si="0">SUM(B4:B23)</f>
        <v>2651820.88</v>
      </c>
      <c r="C24" s="181">
        <f t="shared" si="0"/>
        <v>0</v>
      </c>
      <c r="D24" s="181">
        <f t="shared" si="0"/>
        <v>0</v>
      </c>
      <c r="E24" s="181">
        <f t="shared" si="0"/>
        <v>0</v>
      </c>
      <c r="F24" s="181">
        <f t="shared" si="0"/>
        <v>25864.799999999999</v>
      </c>
      <c r="G24" s="181">
        <f t="shared" si="0"/>
        <v>44538.733333333337</v>
      </c>
      <c r="H24" s="181">
        <f t="shared" si="0"/>
        <v>38243.800000000003</v>
      </c>
      <c r="I24" s="182">
        <f t="shared" si="0"/>
        <v>37289.21</v>
      </c>
      <c r="L24" s="1"/>
    </row>
    <row r="25" spans="1:12">
      <c r="A25" s="183" t="s">
        <v>261</v>
      </c>
      <c r="B25" s="184"/>
      <c r="C25" s="184"/>
      <c r="D25" s="184"/>
      <c r="E25" s="184"/>
      <c r="F25" s="184">
        <f>F24</f>
        <v>25864.799999999999</v>
      </c>
      <c r="G25" s="184">
        <f t="shared" ref="G25:I25" si="1">G24</f>
        <v>44538.733333333337</v>
      </c>
      <c r="H25" s="184">
        <f t="shared" si="1"/>
        <v>38243.800000000003</v>
      </c>
      <c r="I25" s="185">
        <f t="shared" si="1"/>
        <v>37289.21</v>
      </c>
      <c r="L25" s="1"/>
    </row>
    <row r="26" spans="1:12" ht="15.75" thickBot="1">
      <c r="A26" s="186" t="s">
        <v>260</v>
      </c>
      <c r="B26" s="187"/>
      <c r="C26" s="187"/>
      <c r="D26" s="187"/>
      <c r="E26" s="187"/>
      <c r="F26" s="187"/>
      <c r="G26" s="187"/>
      <c r="H26" s="187"/>
      <c r="I26" s="188">
        <v>-4000000</v>
      </c>
      <c r="L26" s="1"/>
    </row>
    <row r="27" spans="1:12" ht="30" customHeight="1">
      <c r="A27" s="65"/>
      <c r="B27" s="66"/>
      <c r="C27" s="66"/>
      <c r="D27" s="66"/>
      <c r="E27" s="66"/>
      <c r="F27" s="66"/>
      <c r="G27" s="179" t="s">
        <v>262</v>
      </c>
      <c r="H27" s="179"/>
      <c r="I27" s="178">
        <f>I25+I26</f>
        <v>-3962710.79</v>
      </c>
      <c r="L27" s="1"/>
    </row>
    <row r="28" spans="1:12">
      <c r="B28" s="1"/>
      <c r="C28" s="1"/>
      <c r="D28" s="1"/>
      <c r="E28" s="1"/>
      <c r="F28" s="1"/>
      <c r="G28" s="1"/>
      <c r="H28" s="1"/>
      <c r="I28" s="1"/>
      <c r="L28" s="1"/>
    </row>
    <row r="29" spans="1:12">
      <c r="A29" s="2" t="s">
        <v>31</v>
      </c>
      <c r="B29" s="1"/>
      <c r="C29" s="1"/>
      <c r="D29" s="1"/>
      <c r="E29" s="1"/>
      <c r="F29" s="1"/>
      <c r="G29" s="1"/>
      <c r="H29" s="1"/>
      <c r="I29" s="1"/>
    </row>
    <row r="30" spans="1:12">
      <c r="A30" s="2" t="s">
        <v>19</v>
      </c>
    </row>
    <row r="31" spans="1:12">
      <c r="A31" s="2" t="s">
        <v>17</v>
      </c>
    </row>
    <row r="32" spans="1:12">
      <c r="A32" s="2" t="s">
        <v>30</v>
      </c>
    </row>
    <row r="33" spans="1:1">
      <c r="A33" s="2" t="s">
        <v>32</v>
      </c>
    </row>
  </sheetData>
  <mergeCells count="2">
    <mergeCell ref="B1:I1"/>
    <mergeCell ref="G27:H27"/>
  </mergeCells>
  <pageMargins left="0.70866141732283472" right="0.70866141732283472" top="0.74803149606299213" bottom="0.74803149606299213" header="0.31496062992125984" footer="0.31496062992125984"/>
  <pageSetup paperSize="9" orientation="landscape" horizontalDpi="200" verticalDpi="200" r:id="rId1"/>
</worksheet>
</file>

<file path=xl/worksheets/sheet2.xml><?xml version="1.0" encoding="utf-8"?>
<worksheet xmlns="http://schemas.openxmlformats.org/spreadsheetml/2006/main" xmlns:r="http://schemas.openxmlformats.org/officeDocument/2006/relationships">
  <dimension ref="A1:K11"/>
  <sheetViews>
    <sheetView zoomScaleNormal="100" workbookViewId="0">
      <selection activeCell="H12" sqref="H12:I12"/>
    </sheetView>
  </sheetViews>
  <sheetFormatPr defaultRowHeight="15"/>
  <cols>
    <col min="1" max="1" width="14.140625" customWidth="1"/>
    <col min="2" max="2" width="12.140625" style="1" customWidth="1"/>
    <col min="3" max="3" width="12.28515625" style="1" customWidth="1"/>
    <col min="4" max="4" width="11.7109375" customWidth="1"/>
    <col min="5" max="5" width="14.42578125" customWidth="1"/>
    <col min="6" max="6" width="13.7109375" customWidth="1"/>
    <col min="7" max="7" width="14.140625" customWidth="1"/>
    <col min="8" max="8" width="18.42578125" customWidth="1"/>
    <col min="9" max="10" width="12.7109375" customWidth="1"/>
    <col min="11" max="11" width="11.7109375" customWidth="1"/>
  </cols>
  <sheetData>
    <row r="1" spans="1:11" ht="15.75" thickBot="1">
      <c r="B1" s="107" t="s">
        <v>217</v>
      </c>
      <c r="C1" s="107"/>
      <c r="D1" s="107"/>
      <c r="E1" s="107"/>
      <c r="F1" s="107"/>
      <c r="G1" s="107"/>
      <c r="H1" s="107"/>
      <c r="I1" s="107"/>
      <c r="J1" s="107"/>
      <c r="K1" s="107"/>
    </row>
    <row r="2" spans="1:11" ht="60.75" customHeight="1" thickTop="1">
      <c r="A2" s="79"/>
      <c r="B2" s="80" t="s">
        <v>212</v>
      </c>
      <c r="C2" s="80" t="s">
        <v>213</v>
      </c>
      <c r="D2" s="81" t="s">
        <v>214</v>
      </c>
      <c r="E2" s="81" t="s">
        <v>216</v>
      </c>
      <c r="F2" s="81" t="s">
        <v>218</v>
      </c>
      <c r="G2" s="81" t="s">
        <v>219</v>
      </c>
      <c r="H2" s="81" t="s">
        <v>220</v>
      </c>
      <c r="I2" s="81" t="s">
        <v>221</v>
      </c>
      <c r="J2" s="81" t="s">
        <v>225</v>
      </c>
      <c r="K2" s="82" t="s">
        <v>70</v>
      </c>
    </row>
    <row r="3" spans="1:11">
      <c r="A3" s="83" t="s">
        <v>3</v>
      </c>
      <c r="B3" s="3">
        <f>(Investimento!$B$22+Investimento!$B$23)*0.02</f>
        <v>46650.946600000003</v>
      </c>
      <c r="C3" s="3">
        <f>76660.4*0.125</f>
        <v>9582.5499999999993</v>
      </c>
      <c r="D3" s="3">
        <f>(Investimento!$B$16+Investimento!$B$17)*0.25</f>
        <v>10000</v>
      </c>
      <c r="E3" s="3">
        <f>(Investimento!$B$12+Investimento!$B$18)*0.2</f>
        <v>4350.2400000000007</v>
      </c>
      <c r="F3" s="3">
        <f>(Investimento!$B$13+Investimento!$B$14+Investimento!$B$15)*0.2</f>
        <v>3165.23</v>
      </c>
      <c r="G3" s="3">
        <f>Investimento!$B$21*0.125</f>
        <v>12500</v>
      </c>
      <c r="H3" s="3">
        <f>Investimento!$B$20*0.2</f>
        <v>9907.1600000000017</v>
      </c>
      <c r="I3" s="3">
        <f>Investimento!$B$19*0.33333333</f>
        <v>5166.6666150000001</v>
      </c>
      <c r="J3" s="103">
        <f>Investimento!$B$3*0.33333333</f>
        <v>5666.6666099999993</v>
      </c>
      <c r="K3" s="84">
        <f>SUM(B3:J3)</f>
        <v>106989.459825</v>
      </c>
    </row>
    <row r="4" spans="1:11">
      <c r="A4" s="83" t="s">
        <v>4</v>
      </c>
      <c r="B4" s="3">
        <f>(Investimento!$B$22+Investimento!$B$23)*0.02</f>
        <v>46650.946600000003</v>
      </c>
      <c r="C4" s="3">
        <f t="shared" ref="C4:C5" si="0">76660.4*0.125</f>
        <v>9582.5499999999993</v>
      </c>
      <c r="D4" s="3">
        <f>(Investimento!$B$16+Investimento!$B$17)*0.25</f>
        <v>10000</v>
      </c>
      <c r="E4" s="3">
        <f>(Investimento!$B$12+Investimento!$B$18)*0.2</f>
        <v>4350.2400000000007</v>
      </c>
      <c r="F4" s="3">
        <f>(Investimento!$B$13+Investimento!$B$14+Investimento!$B$15)*0.2</f>
        <v>3165.23</v>
      </c>
      <c r="G4" s="3">
        <f>Investimento!$B$21*0.125</f>
        <v>12500</v>
      </c>
      <c r="H4" s="3">
        <f>Investimento!$B$20*0.2</f>
        <v>9907.1600000000017</v>
      </c>
      <c r="I4" s="3">
        <f>Investimento!$B$19*0.3333333</f>
        <v>5166.66615</v>
      </c>
      <c r="J4" s="103">
        <f>Investimento!$B$3*0.33333333</f>
        <v>5666.6666099999993</v>
      </c>
      <c r="K4" s="84">
        <f t="shared" ref="K4:K9" si="1">SUM(B4:J4)</f>
        <v>106989.45936000001</v>
      </c>
    </row>
    <row r="5" spans="1:11">
      <c r="A5" s="83" t="s">
        <v>5</v>
      </c>
      <c r="B5" s="3">
        <f>(Investimento!$B$22+Investimento!$B$23)*0.02</f>
        <v>46650.946600000003</v>
      </c>
      <c r="C5" s="3">
        <f t="shared" si="0"/>
        <v>9582.5499999999993</v>
      </c>
      <c r="D5" s="3">
        <f>(Investimento!$B$16+Investimento!$B$17)*0.25</f>
        <v>10000</v>
      </c>
      <c r="E5" s="3">
        <f>(Investimento!$B$12+Investimento!$B$18)*0.2</f>
        <v>4350.2400000000007</v>
      </c>
      <c r="F5" s="3">
        <f>(Investimento!$B$13+Investimento!$B$14+Investimento!$B$15)*0.2</f>
        <v>3165.23</v>
      </c>
      <c r="G5" s="3">
        <f>Investimento!$B$21*0.125</f>
        <v>12500</v>
      </c>
      <c r="H5" s="3">
        <f>Investimento!$B$20*0.2</f>
        <v>9907.1600000000017</v>
      </c>
      <c r="I5" s="3">
        <f>Investimento!$B$19*0.33333333</f>
        <v>5166.6666150000001</v>
      </c>
      <c r="J5" s="103">
        <f>Investimento!$B$3*0.33333333</f>
        <v>5666.6666099999993</v>
      </c>
      <c r="K5" s="84">
        <f t="shared" si="1"/>
        <v>106989.459825</v>
      </c>
    </row>
    <row r="6" spans="1:11">
      <c r="A6" s="83" t="s">
        <v>6</v>
      </c>
      <c r="B6" s="3">
        <f>(Investimento!$B$22+Investimento!$B$23)*0.02</f>
        <v>46650.946600000003</v>
      </c>
      <c r="C6" s="3">
        <f>(76660.4+12364.8)*0.125</f>
        <v>11128.15</v>
      </c>
      <c r="D6" s="3">
        <f>(Investimento!$B$16+Investimento!$B$17+10000)*0.25</f>
        <v>12500</v>
      </c>
      <c r="E6" s="3">
        <f>(Investimento!B12+Investimento!B18+Investimento!F18)*0.2</f>
        <v>5050.2400000000007</v>
      </c>
      <c r="F6" s="3">
        <f>(Investimento!$B$13+Investimento!$B$14+Investimento!$B$15)*0.2</f>
        <v>3165.23</v>
      </c>
      <c r="G6" s="3">
        <f>Investimento!$B$21*0.125</f>
        <v>12500</v>
      </c>
      <c r="H6" s="3">
        <f>Investimento!$B$20*0.2</f>
        <v>9907.1600000000017</v>
      </c>
      <c r="I6" s="3">
        <v>0</v>
      </c>
      <c r="J6" s="103">
        <v>0</v>
      </c>
      <c r="K6" s="84">
        <f t="shared" si="1"/>
        <v>100901.72660000001</v>
      </c>
    </row>
    <row r="7" spans="1:11">
      <c r="A7" s="83" t="s">
        <v>7</v>
      </c>
      <c r="B7" s="3">
        <f>(Investimento!$B$22+Investimento!$B$23)*0.02</f>
        <v>46650.946600000003</v>
      </c>
      <c r="C7" s="3">
        <f>(76660.4+21295.4)*0.125</f>
        <v>12244.474999999999</v>
      </c>
      <c r="D7" s="3">
        <f>(Investimento!$F$16+Investimento!$G$17)*0.25</f>
        <v>5000</v>
      </c>
      <c r="E7" s="3">
        <f>(Investimento!B12+Investimento!B18+Investimento!F18+Investimento!G18)*0.2</f>
        <v>5750.2400000000007</v>
      </c>
      <c r="F7" s="3">
        <f>(Investimento!$B$13+Investimento!$B$14+Investimento!$B$15+Investimento!G13)*0.2</f>
        <v>4113.8966666666665</v>
      </c>
      <c r="G7" s="3">
        <f>Investimento!$B$21*0.125</f>
        <v>12500</v>
      </c>
      <c r="H7" s="3">
        <f>(Investimento!$B$20+Investimento!G20)*0.2</f>
        <v>10907.160000000002</v>
      </c>
      <c r="I7" s="3">
        <v>0</v>
      </c>
      <c r="J7" s="103">
        <v>0</v>
      </c>
      <c r="K7" s="84">
        <f t="shared" si="1"/>
        <v>97166.718266666678</v>
      </c>
    </row>
    <row r="8" spans="1:11">
      <c r="A8" s="83" t="s">
        <v>8</v>
      </c>
      <c r="B8" s="3">
        <f>(Investimento!$B$22+Investimento!$B$23)*0.02</f>
        <v>46650.946600000003</v>
      </c>
      <c r="C8" s="3">
        <f>(76660.4+22263.4)*0.125</f>
        <v>12365.474999999999</v>
      </c>
      <c r="D8" s="3">
        <f>(Investimento!$F$16+Investimento!$G$17)*0.25</f>
        <v>5000</v>
      </c>
      <c r="E8" s="3">
        <f>(Investimento!F18+Investimento!G18+Investimento!H18+Investimento!H12)*0.2</f>
        <v>2500</v>
      </c>
      <c r="F8" s="3">
        <f>(Investimento!G13+Investimento!H13+Investimento!H14)*0.2</f>
        <v>2044.7466666666669</v>
      </c>
      <c r="G8" s="3">
        <f>Investimento!$B$21*0.125</f>
        <v>12500</v>
      </c>
      <c r="H8" s="3">
        <f>(Investimento!G20+Investimento!H20)*0.2</f>
        <v>2000</v>
      </c>
      <c r="I8" s="3">
        <v>0</v>
      </c>
      <c r="J8" s="103">
        <v>0</v>
      </c>
      <c r="K8" s="84">
        <f t="shared" si="1"/>
        <v>83061.168266666675</v>
      </c>
    </row>
    <row r="9" spans="1:11" ht="15.75" thickBot="1">
      <c r="A9" s="88" t="s">
        <v>9</v>
      </c>
      <c r="B9" s="89">
        <f>(Investimento!$B$22+Investimento!$B$23)*0.02</f>
        <v>46650.946600000003</v>
      </c>
      <c r="C9" s="89">
        <f>(76660.4+21186.8)*0.125</f>
        <v>12230.9</v>
      </c>
      <c r="D9" s="89">
        <f>(Investimento!$F$16+Investimento!$G$17)*0.25</f>
        <v>5000</v>
      </c>
      <c r="E9" s="89">
        <f>(Investimento!H12+Investimento!I12+Investimento!F18+Investimento!G18+Investimento!H18+Investimento!I18)*0.2</f>
        <v>3600</v>
      </c>
      <c r="F9" s="89">
        <f>(Investimento!G13+Investimento!H13+Investimento!I13+Investimento!H14+Investimento!I15)*0.2</f>
        <v>3165.2286666666669</v>
      </c>
      <c r="G9" s="89">
        <f>Investimento!$B$21*0.125</f>
        <v>12500</v>
      </c>
      <c r="H9" s="89">
        <f>(Investimento!G20+Investimento!H20+Investimento!I20)*0.2</f>
        <v>3000</v>
      </c>
      <c r="I9" s="89">
        <v>0</v>
      </c>
      <c r="J9" s="104">
        <v>0</v>
      </c>
      <c r="K9" s="90">
        <f t="shared" si="1"/>
        <v>86147.075266666667</v>
      </c>
    </row>
    <row r="10" spans="1:11" ht="30" customHeight="1" thickBot="1">
      <c r="A10" s="87" t="s">
        <v>222</v>
      </c>
      <c r="B10" s="85">
        <f>SUM(B3:B9)</f>
        <v>326556.62620000006</v>
      </c>
      <c r="C10" s="85">
        <f t="shared" ref="C10:I10" si="2">SUM(C3:C9)</f>
        <v>76716.649999999994</v>
      </c>
      <c r="D10" s="85">
        <f t="shared" si="2"/>
        <v>57500</v>
      </c>
      <c r="E10" s="85">
        <f t="shared" si="2"/>
        <v>29951.200000000004</v>
      </c>
      <c r="F10" s="85">
        <f t="shared" si="2"/>
        <v>21984.791999999998</v>
      </c>
      <c r="G10" s="85">
        <f t="shared" si="2"/>
        <v>87500</v>
      </c>
      <c r="H10" s="85">
        <f t="shared" si="2"/>
        <v>55535.80000000001</v>
      </c>
      <c r="I10" s="85">
        <f t="shared" si="2"/>
        <v>15499.999379999999</v>
      </c>
      <c r="J10" s="105">
        <f>SUM(J3:J9)</f>
        <v>16999.999829999997</v>
      </c>
      <c r="K10" s="86">
        <f>SUM(K3:K9)</f>
        <v>688245.06741000013</v>
      </c>
    </row>
    <row r="11" spans="1:11" ht="15.75" thickTop="1"/>
  </sheetData>
  <mergeCells count="1">
    <mergeCell ref="B1:K1"/>
  </mergeCells>
  <pageMargins left="0.7" right="0.7" top="0.75" bottom="0.75" header="0.3" footer="0.3"/>
  <pageSetup paperSize="9" orientation="portrait" r:id="rId1"/>
  <ignoredErrors>
    <ignoredError sqref="E6 I4" formula="1"/>
  </ignoredErrors>
</worksheet>
</file>

<file path=xl/worksheets/sheet3.xml><?xml version="1.0" encoding="utf-8"?>
<worksheet xmlns="http://schemas.openxmlformats.org/spreadsheetml/2006/main" xmlns:r="http://schemas.openxmlformats.org/officeDocument/2006/relationships">
  <dimension ref="A1:E12"/>
  <sheetViews>
    <sheetView workbookViewId="0">
      <selection activeCell="B15" sqref="B15"/>
    </sheetView>
  </sheetViews>
  <sheetFormatPr defaultRowHeight="15"/>
  <cols>
    <col min="1" max="1" width="22.85546875" customWidth="1"/>
    <col min="2" max="2" width="14.28515625" style="1" bestFit="1" customWidth="1"/>
  </cols>
  <sheetData>
    <row r="1" spans="1:5">
      <c r="A1" s="128" t="s">
        <v>236</v>
      </c>
      <c r="B1" s="128"/>
      <c r="C1" s="128"/>
    </row>
    <row r="2" spans="1:5">
      <c r="A2" s="130" t="s">
        <v>34</v>
      </c>
      <c r="B2" s="130"/>
      <c r="C2" s="130"/>
    </row>
    <row r="3" spans="1:5">
      <c r="A3" t="s">
        <v>209</v>
      </c>
      <c r="B3" s="1">
        <v>500000</v>
      </c>
    </row>
    <row r="4" spans="1:5">
      <c r="A4" s="128" t="s">
        <v>237</v>
      </c>
      <c r="B4" s="128"/>
    </row>
    <row r="5" spans="1:5">
      <c r="A5" t="s">
        <v>60</v>
      </c>
      <c r="B5" s="1">
        <v>1000000</v>
      </c>
    </row>
    <row r="6" spans="1:5">
      <c r="A6" t="s">
        <v>238</v>
      </c>
      <c r="B6" s="1">
        <f>B3+B5</f>
        <v>1500000</v>
      </c>
    </row>
    <row r="9" spans="1:5">
      <c r="A9" s="224" t="s">
        <v>302</v>
      </c>
      <c r="B9" s="224"/>
      <c r="C9" s="224"/>
      <c r="D9" s="224"/>
      <c r="E9" s="224"/>
    </row>
    <row r="10" spans="1:5">
      <c r="A10" s="224"/>
      <c r="B10" s="224"/>
      <c r="C10" s="224"/>
      <c r="D10" s="224"/>
      <c r="E10" s="224"/>
    </row>
    <row r="11" spans="1:5">
      <c r="A11" s="224"/>
      <c r="B11" s="224"/>
      <c r="C11" s="224"/>
      <c r="D11" s="224"/>
      <c r="E11" s="224"/>
    </row>
    <row r="12" spans="1:5" ht="70.5" customHeight="1">
      <c r="A12" s="224"/>
      <c r="B12" s="224"/>
      <c r="C12" s="224"/>
      <c r="D12" s="224"/>
      <c r="E12" s="224"/>
    </row>
  </sheetData>
  <mergeCells count="4">
    <mergeCell ref="A2:C2"/>
    <mergeCell ref="A1:C1"/>
    <mergeCell ref="A4:B4"/>
    <mergeCell ref="A9:E1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H20"/>
  <sheetViews>
    <sheetView topLeftCell="A10" zoomScale="75" zoomScaleNormal="75" workbookViewId="0">
      <selection activeCell="E11" sqref="E11:E13"/>
    </sheetView>
  </sheetViews>
  <sheetFormatPr defaultRowHeight="15"/>
  <cols>
    <col min="1" max="1" width="11.5703125" customWidth="1"/>
    <col min="2" max="2" width="31.85546875" customWidth="1"/>
    <col min="3" max="3" width="28" bestFit="1" customWidth="1"/>
    <col min="4" max="4" width="30.7109375" customWidth="1"/>
    <col min="5" max="5" width="28" bestFit="1" customWidth="1"/>
    <col min="6" max="7" width="30.7109375" customWidth="1"/>
    <col min="8" max="8" width="28" bestFit="1" customWidth="1"/>
  </cols>
  <sheetData>
    <row r="1" spans="1:8" ht="24.95" customHeight="1">
      <c r="A1" s="32" t="s">
        <v>130</v>
      </c>
      <c r="B1" s="24" t="s">
        <v>103</v>
      </c>
      <c r="C1" s="24" t="s">
        <v>104</v>
      </c>
      <c r="D1" s="24" t="s">
        <v>105</v>
      </c>
      <c r="E1" s="24" t="s">
        <v>106</v>
      </c>
      <c r="F1" s="24" t="s">
        <v>107</v>
      </c>
      <c r="G1" s="24" t="s">
        <v>108</v>
      </c>
      <c r="H1" s="24" t="s">
        <v>109</v>
      </c>
    </row>
    <row r="2" spans="1:8" ht="30">
      <c r="A2" s="108" t="s">
        <v>136</v>
      </c>
      <c r="B2" s="25" t="s">
        <v>110</v>
      </c>
      <c r="C2" s="111" t="s">
        <v>111</v>
      </c>
      <c r="D2" s="25" t="s">
        <v>112</v>
      </c>
      <c r="E2" s="111" t="s">
        <v>111</v>
      </c>
      <c r="F2" s="25" t="s">
        <v>113</v>
      </c>
      <c r="G2" s="26" t="s">
        <v>114</v>
      </c>
      <c r="H2" s="111" t="s">
        <v>111</v>
      </c>
    </row>
    <row r="3" spans="1:8" ht="165.75" customHeight="1">
      <c r="A3" s="108"/>
      <c r="B3" s="27" t="s">
        <v>115</v>
      </c>
      <c r="C3" s="112"/>
      <c r="D3" s="27" t="s">
        <v>132</v>
      </c>
      <c r="E3" s="112"/>
      <c r="F3" s="27" t="s">
        <v>116</v>
      </c>
      <c r="G3" s="28" t="s">
        <v>117</v>
      </c>
      <c r="H3" s="112"/>
    </row>
    <row r="4" spans="1:8" ht="45">
      <c r="A4" s="108"/>
      <c r="B4" s="29" t="s">
        <v>135</v>
      </c>
      <c r="C4" s="29" t="s">
        <v>135</v>
      </c>
      <c r="D4" s="29" t="s">
        <v>135</v>
      </c>
      <c r="E4" s="29" t="s">
        <v>135</v>
      </c>
      <c r="F4" s="29" t="s">
        <v>135</v>
      </c>
      <c r="G4" s="29" t="s">
        <v>135</v>
      </c>
      <c r="H4" s="29" t="s">
        <v>135</v>
      </c>
    </row>
    <row r="5" spans="1:8" ht="24.95" customHeight="1"/>
    <row r="6" spans="1:8" ht="15" customHeight="1">
      <c r="A6" s="108" t="s">
        <v>131</v>
      </c>
      <c r="B6" s="25" t="s">
        <v>110</v>
      </c>
      <c r="C6" s="111" t="s">
        <v>111</v>
      </c>
      <c r="D6" s="25" t="s">
        <v>118</v>
      </c>
      <c r="E6" s="111" t="s">
        <v>111</v>
      </c>
      <c r="F6" s="25" t="s">
        <v>119</v>
      </c>
      <c r="G6" s="25" t="s">
        <v>120</v>
      </c>
      <c r="H6" s="111" t="s">
        <v>111</v>
      </c>
    </row>
    <row r="7" spans="1:8" ht="93" customHeight="1">
      <c r="A7" s="108"/>
      <c r="B7" s="27" t="s">
        <v>121</v>
      </c>
      <c r="C7" s="112"/>
      <c r="D7" s="26" t="s">
        <v>122</v>
      </c>
      <c r="E7" s="112"/>
      <c r="F7" s="27" t="s">
        <v>123</v>
      </c>
      <c r="G7" s="27" t="s">
        <v>124</v>
      </c>
      <c r="H7" s="112"/>
    </row>
    <row r="8" spans="1:8" ht="50.25" customHeight="1">
      <c r="A8" s="108"/>
      <c r="B8" s="29" t="s">
        <v>135</v>
      </c>
      <c r="C8" s="29" t="s">
        <v>135</v>
      </c>
      <c r="D8" s="29" t="s">
        <v>135</v>
      </c>
      <c r="E8" s="29" t="s">
        <v>135</v>
      </c>
      <c r="F8" s="29" t="s">
        <v>135</v>
      </c>
      <c r="G8" s="29" t="s">
        <v>135</v>
      </c>
      <c r="H8" s="29" t="s">
        <v>135</v>
      </c>
    </row>
    <row r="10" spans="1:8" ht="18.75">
      <c r="F10" s="109" t="s">
        <v>125</v>
      </c>
      <c r="G10" s="110"/>
      <c r="H10" s="110"/>
    </row>
    <row r="11" spans="1:8" ht="30">
      <c r="E11" s="108" t="s">
        <v>140</v>
      </c>
      <c r="F11" s="29"/>
      <c r="G11" s="30" t="s">
        <v>114</v>
      </c>
      <c r="H11" s="111" t="s">
        <v>126</v>
      </c>
    </row>
    <row r="12" spans="1:8" ht="135">
      <c r="E12" s="108"/>
      <c r="F12" s="29" t="s">
        <v>127</v>
      </c>
      <c r="G12" s="31" t="s">
        <v>139</v>
      </c>
      <c r="H12" s="112"/>
    </row>
    <row r="13" spans="1:8" ht="30">
      <c r="E13" s="108"/>
      <c r="F13" s="29" t="s">
        <v>128</v>
      </c>
      <c r="G13" s="29" t="s">
        <v>133</v>
      </c>
      <c r="H13" s="25"/>
    </row>
    <row r="15" spans="1:8">
      <c r="E15" s="108" t="s">
        <v>138</v>
      </c>
      <c r="F15" s="29"/>
      <c r="G15" s="25" t="s">
        <v>120</v>
      </c>
      <c r="H15" s="111" t="s">
        <v>126</v>
      </c>
    </row>
    <row r="16" spans="1:8" ht="30">
      <c r="E16" s="108"/>
      <c r="F16" s="29" t="s">
        <v>127</v>
      </c>
      <c r="G16" s="29" t="s">
        <v>137</v>
      </c>
      <c r="H16" s="113"/>
    </row>
    <row r="17" spans="5:8" ht="30">
      <c r="E17" s="108"/>
      <c r="F17" s="29" t="s">
        <v>128</v>
      </c>
      <c r="G17" s="29" t="s">
        <v>134</v>
      </c>
      <c r="H17" s="114"/>
    </row>
    <row r="19" spans="5:8" ht="30">
      <c r="E19" s="108" t="s">
        <v>141</v>
      </c>
      <c r="F19" s="29" t="s">
        <v>127</v>
      </c>
      <c r="G19" s="25" t="s">
        <v>129</v>
      </c>
      <c r="H19" s="111" t="s">
        <v>126</v>
      </c>
    </row>
    <row r="20" spans="5:8" ht="30">
      <c r="E20" s="108"/>
      <c r="F20" s="29" t="s">
        <v>128</v>
      </c>
      <c r="G20" s="29" t="s">
        <v>133</v>
      </c>
      <c r="H20" s="112"/>
    </row>
  </sheetData>
  <mergeCells count="15">
    <mergeCell ref="H2:H3"/>
    <mergeCell ref="C6:C7"/>
    <mergeCell ref="E6:E7"/>
    <mergeCell ref="H6:H7"/>
    <mergeCell ref="A2:A4"/>
    <mergeCell ref="E11:E13"/>
    <mergeCell ref="A6:A8"/>
    <mergeCell ref="C2:C3"/>
    <mergeCell ref="E2:E3"/>
    <mergeCell ref="E15:E17"/>
    <mergeCell ref="E19:E20"/>
    <mergeCell ref="F10:H10"/>
    <mergeCell ref="H11:H12"/>
    <mergeCell ref="H15:H17"/>
    <mergeCell ref="H19:H20"/>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dimension ref="A1:V44"/>
  <sheetViews>
    <sheetView topLeftCell="A28" zoomScale="84" zoomScaleNormal="84" workbookViewId="0">
      <selection activeCell="E41" sqref="E41"/>
    </sheetView>
  </sheetViews>
  <sheetFormatPr defaultRowHeight="15"/>
  <cols>
    <col min="1" max="1" width="33.28515625" customWidth="1"/>
    <col min="2" max="2" width="11.42578125" customWidth="1"/>
    <col min="3" max="3" width="11.5703125" style="1" customWidth="1"/>
    <col min="4" max="4" width="13.42578125" style="1" customWidth="1"/>
    <col min="5" max="5" width="11.42578125" customWidth="1"/>
    <col min="6" max="6" width="9.85546875" style="1" customWidth="1"/>
    <col min="7" max="7" width="13.85546875" style="1" customWidth="1"/>
    <col min="8" max="8" width="11.28515625" customWidth="1"/>
    <col min="9" max="9" width="10.42578125" style="1" customWidth="1"/>
    <col min="10" max="10" width="12.28515625" style="1" customWidth="1"/>
    <col min="11" max="11" width="11.42578125" customWidth="1"/>
    <col min="12" max="12" width="9.85546875" customWidth="1"/>
    <col min="13" max="13" width="12.5703125" style="1" customWidth="1"/>
    <col min="14" max="14" width="11.140625" customWidth="1"/>
    <col min="15" max="15" width="10.28515625" style="1" customWidth="1"/>
    <col min="16" max="16" width="13.7109375" style="1" customWidth="1"/>
    <col min="17" max="17" width="11.5703125" customWidth="1"/>
    <col min="18" max="18" width="10.28515625" style="1" bestFit="1" customWidth="1"/>
    <col min="19" max="19" width="13.7109375" style="1" customWidth="1"/>
    <col min="20" max="20" width="11.5703125" customWidth="1"/>
    <col min="21" max="21" width="11" style="1" customWidth="1"/>
    <col min="22" max="22" width="13.140625" style="1" customWidth="1"/>
  </cols>
  <sheetData>
    <row r="1" spans="1:22">
      <c r="B1" s="121" t="s">
        <v>61</v>
      </c>
      <c r="C1" s="121"/>
      <c r="D1" s="121"/>
      <c r="E1" s="121"/>
      <c r="F1" s="121"/>
      <c r="G1" s="121"/>
      <c r="H1" s="121"/>
      <c r="I1" s="121"/>
      <c r="J1" s="121"/>
      <c r="K1" s="121"/>
      <c r="L1" s="121"/>
      <c r="M1" s="121"/>
      <c r="N1" s="121"/>
      <c r="O1" s="121"/>
      <c r="P1" s="121"/>
      <c r="Q1" s="121"/>
      <c r="R1" s="121"/>
      <c r="S1" s="121"/>
      <c r="T1" s="121"/>
      <c r="U1" s="121"/>
      <c r="V1" s="121"/>
    </row>
    <row r="2" spans="1:22">
      <c r="B2" s="120" t="s">
        <v>71</v>
      </c>
      <c r="C2" s="120"/>
      <c r="D2" s="120"/>
      <c r="E2" s="120" t="s">
        <v>72</v>
      </c>
      <c r="F2" s="120"/>
      <c r="G2" s="120"/>
      <c r="H2" s="120" t="s">
        <v>73</v>
      </c>
      <c r="I2" s="120"/>
      <c r="J2" s="120"/>
      <c r="K2" s="120" t="s">
        <v>74</v>
      </c>
      <c r="L2" s="120"/>
      <c r="M2" s="120"/>
      <c r="N2" s="120" t="s">
        <v>75</v>
      </c>
      <c r="O2" s="120"/>
      <c r="P2" s="120"/>
      <c r="Q2" s="120" t="s">
        <v>76</v>
      </c>
      <c r="R2" s="120"/>
      <c r="S2" s="120"/>
      <c r="T2" s="120" t="s">
        <v>77</v>
      </c>
      <c r="U2" s="120"/>
      <c r="V2" s="120"/>
    </row>
    <row r="3" spans="1:22">
      <c r="A3" s="35" t="s">
        <v>0</v>
      </c>
      <c r="B3" s="33" t="s">
        <v>36</v>
      </c>
      <c r="C3" s="34" t="s">
        <v>1</v>
      </c>
      <c r="D3" s="34" t="s">
        <v>70</v>
      </c>
      <c r="E3" s="33" t="s">
        <v>36</v>
      </c>
      <c r="F3" s="34" t="s">
        <v>1</v>
      </c>
      <c r="G3" s="34" t="s">
        <v>70</v>
      </c>
      <c r="H3" s="33" t="s">
        <v>36</v>
      </c>
      <c r="I3" s="34" t="s">
        <v>1</v>
      </c>
      <c r="J3" s="34" t="s">
        <v>70</v>
      </c>
      <c r="K3" s="33" t="s">
        <v>36</v>
      </c>
      <c r="L3" s="33" t="s">
        <v>1</v>
      </c>
      <c r="M3" s="34" t="s">
        <v>70</v>
      </c>
      <c r="N3" s="33" t="s">
        <v>36</v>
      </c>
      <c r="O3" s="34" t="s">
        <v>1</v>
      </c>
      <c r="P3" s="34" t="s">
        <v>70</v>
      </c>
      <c r="Q3" s="33" t="s">
        <v>36</v>
      </c>
      <c r="R3" s="34" t="s">
        <v>1</v>
      </c>
      <c r="S3" s="34" t="s">
        <v>70</v>
      </c>
      <c r="T3" s="33" t="s">
        <v>36</v>
      </c>
      <c r="U3" s="34" t="s">
        <v>1</v>
      </c>
      <c r="V3" s="34" t="s">
        <v>70</v>
      </c>
    </row>
    <row r="4" spans="1:22">
      <c r="A4" s="37" t="s">
        <v>142</v>
      </c>
      <c r="B4" s="40"/>
      <c r="C4" s="41"/>
      <c r="D4" s="41"/>
      <c r="E4" s="40"/>
      <c r="F4" s="41"/>
      <c r="G4" s="41"/>
      <c r="H4" s="40"/>
      <c r="I4" s="41"/>
      <c r="J4" s="41"/>
      <c r="K4" s="40"/>
      <c r="L4" s="40"/>
      <c r="M4" s="41"/>
      <c r="N4" s="40"/>
      <c r="O4" s="41"/>
      <c r="P4" s="41"/>
      <c r="Q4" s="40"/>
      <c r="R4" s="41"/>
      <c r="S4" s="41"/>
      <c r="T4" s="40"/>
      <c r="U4" s="41"/>
      <c r="V4" s="41"/>
    </row>
    <row r="5" spans="1:22">
      <c r="A5" s="25" t="s">
        <v>62</v>
      </c>
      <c r="B5" s="36">
        <v>15</v>
      </c>
      <c r="C5" s="3">
        <v>2900</v>
      </c>
      <c r="D5" s="3">
        <f>B5*C5</f>
        <v>43500</v>
      </c>
      <c r="E5" s="25">
        <v>25</v>
      </c>
      <c r="F5" s="3">
        <v>2900</v>
      </c>
      <c r="G5" s="3">
        <f>E5*F5</f>
        <v>72500</v>
      </c>
      <c r="H5" s="25">
        <v>30</v>
      </c>
      <c r="I5" s="3">
        <v>2950</v>
      </c>
      <c r="J5" s="3">
        <f>H5*I5</f>
        <v>88500</v>
      </c>
      <c r="K5" s="25">
        <v>35</v>
      </c>
      <c r="L5" s="3">
        <v>2950</v>
      </c>
      <c r="M5" s="3">
        <f>K5*L5</f>
        <v>103250</v>
      </c>
      <c r="N5" s="25">
        <v>42</v>
      </c>
      <c r="O5" s="3">
        <v>2950</v>
      </c>
      <c r="P5" s="3">
        <f>N5*O5</f>
        <v>123900</v>
      </c>
      <c r="Q5" s="25">
        <v>50</v>
      </c>
      <c r="R5" s="3">
        <v>3120</v>
      </c>
      <c r="S5" s="3">
        <f>Q5*R5</f>
        <v>156000</v>
      </c>
      <c r="T5" s="25">
        <v>55</v>
      </c>
      <c r="U5" s="3">
        <v>3120</v>
      </c>
      <c r="V5" s="3">
        <f>T5*U5</f>
        <v>171600</v>
      </c>
    </row>
    <row r="6" spans="1:22">
      <c r="A6" s="25" t="s">
        <v>63</v>
      </c>
      <c r="B6" s="36">
        <v>3</v>
      </c>
      <c r="C6" s="3">
        <v>3250</v>
      </c>
      <c r="D6" s="3">
        <f>B6*C6</f>
        <v>9750</v>
      </c>
      <c r="E6" s="25">
        <v>4</v>
      </c>
      <c r="F6" s="3">
        <v>3250</v>
      </c>
      <c r="G6" s="3">
        <f>E6*F6</f>
        <v>13000</v>
      </c>
      <c r="H6" s="25">
        <v>5</v>
      </c>
      <c r="I6" s="3">
        <v>3300</v>
      </c>
      <c r="J6" s="3">
        <f t="shared" ref="J6:J7" si="0">H6*I6</f>
        <v>16500</v>
      </c>
      <c r="K6" s="25">
        <v>6</v>
      </c>
      <c r="L6" s="3">
        <v>3300</v>
      </c>
      <c r="M6" s="3">
        <f t="shared" ref="M6:M7" si="1">K6*L6</f>
        <v>19800</v>
      </c>
      <c r="N6" s="25">
        <v>7</v>
      </c>
      <c r="O6" s="3">
        <v>3300</v>
      </c>
      <c r="P6" s="3">
        <f t="shared" ref="P6:P29" si="2">N6*O6</f>
        <v>23100</v>
      </c>
      <c r="Q6" s="25">
        <v>8</v>
      </c>
      <c r="R6" s="3">
        <v>3500</v>
      </c>
      <c r="S6" s="3">
        <f>Q6*R6</f>
        <v>28000</v>
      </c>
      <c r="T6" s="25">
        <v>10</v>
      </c>
      <c r="U6" s="3">
        <v>3500</v>
      </c>
      <c r="V6" s="3">
        <f t="shared" ref="V6:V7" si="3">T6*U6</f>
        <v>35000</v>
      </c>
    </row>
    <row r="7" spans="1:22">
      <c r="A7" s="25" t="s">
        <v>64</v>
      </c>
      <c r="B7" s="36">
        <v>30</v>
      </c>
      <c r="C7" s="3">
        <v>2900</v>
      </c>
      <c r="D7" s="3">
        <f t="shared" ref="D7" si="4">B7*C7</f>
        <v>87000</v>
      </c>
      <c r="E7" s="25">
        <f>E5*2</f>
        <v>50</v>
      </c>
      <c r="F7" s="3">
        <v>2900</v>
      </c>
      <c r="G7" s="3">
        <f t="shared" ref="G7" si="5">E7*F7</f>
        <v>145000</v>
      </c>
      <c r="H7" s="25">
        <v>60</v>
      </c>
      <c r="I7" s="3">
        <v>2950</v>
      </c>
      <c r="J7" s="3">
        <f t="shared" si="0"/>
        <v>177000</v>
      </c>
      <c r="K7" s="25">
        <v>70</v>
      </c>
      <c r="L7" s="3">
        <v>2950</v>
      </c>
      <c r="M7" s="3">
        <f t="shared" si="1"/>
        <v>206500</v>
      </c>
      <c r="N7" s="25">
        <v>84</v>
      </c>
      <c r="O7" s="3">
        <v>2950</v>
      </c>
      <c r="P7" s="3">
        <f t="shared" si="2"/>
        <v>247800</v>
      </c>
      <c r="Q7" s="25">
        <v>100</v>
      </c>
      <c r="R7" s="3">
        <v>3120</v>
      </c>
      <c r="S7" s="3">
        <f>Q7*R7</f>
        <v>312000</v>
      </c>
      <c r="T7" s="25">
        <v>105</v>
      </c>
      <c r="U7" s="3">
        <v>3120</v>
      </c>
      <c r="V7" s="3">
        <f t="shared" si="3"/>
        <v>327600</v>
      </c>
    </row>
    <row r="8" spans="1:22">
      <c r="A8" s="38" t="s">
        <v>143</v>
      </c>
      <c r="B8" s="40"/>
      <c r="C8" s="41"/>
      <c r="D8" s="41"/>
      <c r="E8" s="40"/>
      <c r="F8" s="41"/>
      <c r="G8" s="41"/>
      <c r="H8" s="40"/>
      <c r="I8" s="41"/>
      <c r="J8" s="41"/>
      <c r="K8" s="40"/>
      <c r="L8" s="40"/>
      <c r="M8" s="41"/>
      <c r="N8" s="40"/>
      <c r="O8" s="41"/>
      <c r="P8" s="41"/>
      <c r="Q8" s="40"/>
      <c r="R8" s="41"/>
      <c r="S8" s="41"/>
      <c r="T8" s="40"/>
      <c r="U8" s="41"/>
      <c r="V8" s="41"/>
    </row>
    <row r="9" spans="1:22">
      <c r="A9" s="39" t="s">
        <v>62</v>
      </c>
      <c r="B9" s="25">
        <v>30</v>
      </c>
      <c r="C9" s="3">
        <v>1900</v>
      </c>
      <c r="D9" s="3">
        <f>B9*C9</f>
        <v>57000</v>
      </c>
      <c r="E9" s="25">
        <v>35</v>
      </c>
      <c r="F9" s="3">
        <v>1900</v>
      </c>
      <c r="G9" s="3">
        <f>E9*F9</f>
        <v>66500</v>
      </c>
      <c r="H9" s="25">
        <v>40</v>
      </c>
      <c r="I9" s="3">
        <v>1950</v>
      </c>
      <c r="J9" s="3">
        <f>H9*I9</f>
        <v>78000</v>
      </c>
      <c r="K9" s="25">
        <v>60</v>
      </c>
      <c r="L9" s="3">
        <v>1950</v>
      </c>
      <c r="M9" s="3">
        <f>K9*L9</f>
        <v>117000</v>
      </c>
      <c r="N9" s="25">
        <v>65</v>
      </c>
      <c r="O9" s="3">
        <v>1950</v>
      </c>
      <c r="P9" s="3">
        <f t="shared" si="2"/>
        <v>126750</v>
      </c>
      <c r="Q9" s="25">
        <v>70</v>
      </c>
      <c r="R9" s="3">
        <v>2100</v>
      </c>
      <c r="S9" s="3">
        <f>Q9*R9</f>
        <v>147000</v>
      </c>
      <c r="T9" s="25">
        <v>75</v>
      </c>
      <c r="U9" s="3">
        <v>2100</v>
      </c>
      <c r="V9" s="3">
        <f>T9*U9</f>
        <v>157500</v>
      </c>
    </row>
    <row r="10" spans="1:22">
      <c r="A10" s="39" t="s">
        <v>63</v>
      </c>
      <c r="B10" s="36">
        <v>3</v>
      </c>
      <c r="C10" s="3">
        <v>2250</v>
      </c>
      <c r="D10" s="3">
        <f>B10*C10</f>
        <v>6750</v>
      </c>
      <c r="E10" s="25">
        <v>4</v>
      </c>
      <c r="F10" s="3">
        <v>2250</v>
      </c>
      <c r="G10" s="3">
        <f>E10*F10</f>
        <v>9000</v>
      </c>
      <c r="H10" s="25">
        <v>5</v>
      </c>
      <c r="I10" s="3">
        <v>2300</v>
      </c>
      <c r="J10" s="3">
        <f t="shared" ref="J10:J29" si="6">H10*I10</f>
        <v>11500</v>
      </c>
      <c r="K10" s="25">
        <v>6</v>
      </c>
      <c r="L10" s="3">
        <v>2300</v>
      </c>
      <c r="M10" s="3">
        <f t="shared" ref="M10:M11" si="7">K10*L10</f>
        <v>13800</v>
      </c>
      <c r="N10" s="25">
        <v>7</v>
      </c>
      <c r="O10" s="3">
        <v>2300</v>
      </c>
      <c r="P10" s="3">
        <f t="shared" si="2"/>
        <v>16100</v>
      </c>
      <c r="Q10" s="25">
        <v>8</v>
      </c>
      <c r="R10" s="3">
        <v>2300</v>
      </c>
      <c r="S10" s="3">
        <f t="shared" ref="S10:S11" si="8">Q10*R10</f>
        <v>18400</v>
      </c>
      <c r="T10" s="25">
        <v>10</v>
      </c>
      <c r="U10" s="3">
        <v>2300</v>
      </c>
      <c r="V10" s="3">
        <f t="shared" ref="V10:V11" si="9">T10*U10</f>
        <v>23000</v>
      </c>
    </row>
    <row r="11" spans="1:22">
      <c r="A11" s="39" t="s">
        <v>64</v>
      </c>
      <c r="B11" s="25">
        <v>60</v>
      </c>
      <c r="C11" s="3">
        <v>1900</v>
      </c>
      <c r="D11" s="3">
        <f t="shared" ref="D11" si="10">B11*C11</f>
        <v>114000</v>
      </c>
      <c r="E11" s="25">
        <v>70</v>
      </c>
      <c r="F11" s="3">
        <v>1900</v>
      </c>
      <c r="G11" s="3">
        <f t="shared" ref="G11" si="11">E11*F11</f>
        <v>133000</v>
      </c>
      <c r="H11" s="25">
        <v>80</v>
      </c>
      <c r="I11" s="3">
        <v>1900</v>
      </c>
      <c r="J11" s="3">
        <f t="shared" si="6"/>
        <v>152000</v>
      </c>
      <c r="K11" s="25">
        <v>120</v>
      </c>
      <c r="L11" s="3">
        <v>1900</v>
      </c>
      <c r="M11" s="3">
        <f t="shared" si="7"/>
        <v>228000</v>
      </c>
      <c r="N11" s="25">
        <f>N9*2</f>
        <v>130</v>
      </c>
      <c r="O11" s="3">
        <v>1900</v>
      </c>
      <c r="P11" s="3">
        <f t="shared" si="2"/>
        <v>247000</v>
      </c>
      <c r="Q11" s="25">
        <v>140</v>
      </c>
      <c r="R11" s="3">
        <v>2300</v>
      </c>
      <c r="S11" s="3">
        <f t="shared" si="8"/>
        <v>322000</v>
      </c>
      <c r="T11" s="25">
        <v>150</v>
      </c>
      <c r="U11" s="3">
        <v>2300</v>
      </c>
      <c r="V11" s="3">
        <f t="shared" si="9"/>
        <v>345000</v>
      </c>
    </row>
    <row r="12" spans="1:22">
      <c r="A12" s="37" t="s">
        <v>65</v>
      </c>
      <c r="B12" s="42"/>
      <c r="C12" s="41"/>
      <c r="D12" s="41"/>
      <c r="E12" s="40"/>
      <c r="F12" s="41"/>
      <c r="G12" s="41"/>
      <c r="H12" s="40"/>
      <c r="I12" s="41"/>
      <c r="J12" s="41"/>
      <c r="K12" s="40"/>
      <c r="L12" s="40"/>
      <c r="M12" s="41"/>
      <c r="N12" s="40"/>
      <c r="O12" s="40"/>
      <c r="P12" s="41"/>
      <c r="Q12" s="40"/>
      <c r="R12" s="41"/>
      <c r="S12" s="41"/>
      <c r="T12" s="40"/>
      <c r="U12" s="41"/>
      <c r="V12" s="41"/>
    </row>
    <row r="13" spans="1:22">
      <c r="A13" s="25" t="s">
        <v>66</v>
      </c>
      <c r="B13" s="36">
        <v>50</v>
      </c>
      <c r="C13" s="3">
        <v>950</v>
      </c>
      <c r="D13" s="3">
        <f>B13*C13</f>
        <v>47500</v>
      </c>
      <c r="E13" s="25">
        <v>60</v>
      </c>
      <c r="F13" s="3">
        <v>950</v>
      </c>
      <c r="G13" s="3">
        <f>E13*F13</f>
        <v>57000</v>
      </c>
      <c r="H13" s="25">
        <v>65</v>
      </c>
      <c r="I13" s="3">
        <v>975</v>
      </c>
      <c r="J13" s="3">
        <f t="shared" si="6"/>
        <v>63375</v>
      </c>
      <c r="K13" s="25">
        <v>80</v>
      </c>
      <c r="L13" s="3">
        <v>975</v>
      </c>
      <c r="M13" s="3">
        <f>K13*L13</f>
        <v>78000</v>
      </c>
      <c r="N13" s="25">
        <v>85</v>
      </c>
      <c r="O13" s="3">
        <v>975</v>
      </c>
      <c r="P13" s="3">
        <f t="shared" si="2"/>
        <v>82875</v>
      </c>
      <c r="Q13" s="25">
        <v>90</v>
      </c>
      <c r="R13" s="3">
        <v>1000</v>
      </c>
      <c r="S13" s="3">
        <f>Q13*R13</f>
        <v>90000</v>
      </c>
      <c r="T13" s="25">
        <v>95</v>
      </c>
      <c r="U13" s="3">
        <v>1000</v>
      </c>
      <c r="V13" s="3">
        <f>T13*U13</f>
        <v>95000</v>
      </c>
    </row>
    <row r="14" spans="1:22">
      <c r="A14" s="39" t="s">
        <v>63</v>
      </c>
      <c r="B14" s="36">
        <v>3</v>
      </c>
      <c r="C14" s="3">
        <v>1250</v>
      </c>
      <c r="D14" s="3">
        <f t="shared" ref="D14:D15" si="12">B14*C14</f>
        <v>3750</v>
      </c>
      <c r="E14" s="25">
        <v>4</v>
      </c>
      <c r="F14" s="3">
        <v>1250</v>
      </c>
      <c r="G14" s="3">
        <f t="shared" ref="G14:G15" si="13">E14*F14</f>
        <v>5000</v>
      </c>
      <c r="H14" s="25">
        <v>5</v>
      </c>
      <c r="I14" s="3">
        <v>1300</v>
      </c>
      <c r="J14" s="3">
        <f t="shared" si="6"/>
        <v>6500</v>
      </c>
      <c r="K14" s="25">
        <v>6</v>
      </c>
      <c r="L14" s="3">
        <v>1300</v>
      </c>
      <c r="M14" s="3">
        <f t="shared" ref="M14:M15" si="14">K14*L14</f>
        <v>7800</v>
      </c>
      <c r="N14" s="25">
        <v>7</v>
      </c>
      <c r="O14" s="3">
        <v>1300</v>
      </c>
      <c r="P14" s="3">
        <f t="shared" si="2"/>
        <v>9100</v>
      </c>
      <c r="Q14" s="25">
        <v>8</v>
      </c>
      <c r="R14" s="3">
        <v>1400</v>
      </c>
      <c r="S14" s="3">
        <f t="shared" ref="S14:S15" si="15">Q14*R14</f>
        <v>11200</v>
      </c>
      <c r="T14" s="25">
        <v>10</v>
      </c>
      <c r="U14" s="3">
        <v>1400</v>
      </c>
      <c r="V14" s="3">
        <f t="shared" ref="V14:V15" si="16">T14*U14</f>
        <v>14000</v>
      </c>
    </row>
    <row r="15" spans="1:22">
      <c r="A15" s="39" t="s">
        <v>67</v>
      </c>
      <c r="B15" s="25">
        <v>100</v>
      </c>
      <c r="C15" s="3">
        <v>950</v>
      </c>
      <c r="D15" s="3">
        <f t="shared" si="12"/>
        <v>95000</v>
      </c>
      <c r="E15" s="25">
        <v>120</v>
      </c>
      <c r="F15" s="3">
        <v>950</v>
      </c>
      <c r="G15" s="3">
        <f t="shared" si="13"/>
        <v>114000</v>
      </c>
      <c r="H15" s="25">
        <v>130</v>
      </c>
      <c r="I15" s="3">
        <v>975</v>
      </c>
      <c r="J15" s="3">
        <f t="shared" si="6"/>
        <v>126750</v>
      </c>
      <c r="K15" s="25">
        <v>160</v>
      </c>
      <c r="L15" s="3">
        <v>975</v>
      </c>
      <c r="M15" s="3">
        <f t="shared" si="14"/>
        <v>156000</v>
      </c>
      <c r="N15" s="25">
        <v>170</v>
      </c>
      <c r="O15" s="3">
        <v>975</v>
      </c>
      <c r="P15" s="3">
        <f t="shared" si="2"/>
        <v>165750</v>
      </c>
      <c r="Q15" s="25">
        <v>180</v>
      </c>
      <c r="R15" s="3">
        <v>1000</v>
      </c>
      <c r="S15" s="3">
        <f t="shared" si="15"/>
        <v>180000</v>
      </c>
      <c r="T15" s="25">
        <v>190</v>
      </c>
      <c r="U15" s="3">
        <v>1000</v>
      </c>
      <c r="V15" s="3">
        <f t="shared" si="16"/>
        <v>190000</v>
      </c>
    </row>
    <row r="16" spans="1:22">
      <c r="A16" s="38" t="s">
        <v>59</v>
      </c>
      <c r="B16" s="42"/>
      <c r="C16" s="41"/>
      <c r="D16" s="41"/>
      <c r="E16" s="40"/>
      <c r="F16" s="41"/>
      <c r="G16" s="41"/>
      <c r="H16" s="40"/>
      <c r="I16" s="41"/>
      <c r="J16" s="41"/>
      <c r="K16" s="40"/>
      <c r="L16" s="40"/>
      <c r="M16" s="41"/>
      <c r="N16" s="40"/>
      <c r="O16" s="41"/>
      <c r="P16" s="41"/>
      <c r="Q16" s="40"/>
      <c r="R16" s="41"/>
      <c r="S16" s="41"/>
      <c r="T16" s="40"/>
      <c r="U16" s="41"/>
      <c r="V16" s="41"/>
    </row>
    <row r="17" spans="1:22">
      <c r="A17" s="39" t="s">
        <v>66</v>
      </c>
      <c r="B17" s="25">
        <v>50</v>
      </c>
      <c r="C17" s="3">
        <v>900</v>
      </c>
      <c r="D17" s="3">
        <f>B17*C17</f>
        <v>45000</v>
      </c>
      <c r="E17" s="25">
        <v>60</v>
      </c>
      <c r="F17" s="3">
        <v>900</v>
      </c>
      <c r="G17" s="3">
        <f>E17*F17</f>
        <v>54000</v>
      </c>
      <c r="H17" s="25">
        <v>65</v>
      </c>
      <c r="I17" s="3">
        <v>925</v>
      </c>
      <c r="J17" s="3">
        <f t="shared" si="6"/>
        <v>60125</v>
      </c>
      <c r="K17" s="25">
        <v>80</v>
      </c>
      <c r="L17" s="3">
        <v>925</v>
      </c>
      <c r="M17" s="3">
        <f>K17*L17</f>
        <v>74000</v>
      </c>
      <c r="N17" s="25">
        <v>85</v>
      </c>
      <c r="O17" s="3">
        <v>925</v>
      </c>
      <c r="P17" s="3">
        <f t="shared" si="2"/>
        <v>78625</v>
      </c>
      <c r="Q17" s="25">
        <v>90</v>
      </c>
      <c r="R17" s="3">
        <v>975</v>
      </c>
      <c r="S17" s="3">
        <f>Q17*R17</f>
        <v>87750</v>
      </c>
      <c r="T17" s="25">
        <v>95</v>
      </c>
      <c r="U17" s="3">
        <v>975</v>
      </c>
      <c r="V17" s="3">
        <f>T17*U17</f>
        <v>92625</v>
      </c>
    </row>
    <row r="18" spans="1:22">
      <c r="A18" s="39" t="s">
        <v>63</v>
      </c>
      <c r="B18" s="36">
        <v>3</v>
      </c>
      <c r="C18" s="3">
        <v>1200</v>
      </c>
      <c r="D18" s="3">
        <f t="shared" ref="D18:D19" si="17">B18*C18</f>
        <v>3600</v>
      </c>
      <c r="E18" s="25">
        <v>4</v>
      </c>
      <c r="F18" s="3">
        <v>1200</v>
      </c>
      <c r="G18" s="3">
        <f t="shared" ref="G18:G19" si="18">E18*F18</f>
        <v>4800</v>
      </c>
      <c r="H18" s="25">
        <v>5</v>
      </c>
      <c r="I18" s="3">
        <v>1350</v>
      </c>
      <c r="J18" s="3">
        <f t="shared" si="6"/>
        <v>6750</v>
      </c>
      <c r="K18" s="25">
        <v>6</v>
      </c>
      <c r="L18" s="3">
        <v>1250</v>
      </c>
      <c r="M18" s="3">
        <f t="shared" ref="M18:M19" si="19">K18*L18</f>
        <v>7500</v>
      </c>
      <c r="N18" s="25">
        <v>7</v>
      </c>
      <c r="O18" s="3">
        <v>1250</v>
      </c>
      <c r="P18" s="3">
        <f t="shared" si="2"/>
        <v>8750</v>
      </c>
      <c r="Q18" s="25">
        <v>8</v>
      </c>
      <c r="R18" s="3">
        <v>1350</v>
      </c>
      <c r="S18" s="3">
        <f t="shared" ref="S18:S19" si="20">Q18*R18</f>
        <v>10800</v>
      </c>
      <c r="T18" s="25">
        <v>10</v>
      </c>
      <c r="U18" s="3">
        <v>1350</v>
      </c>
      <c r="V18" s="3">
        <f t="shared" ref="V18:V19" si="21">T18*U18</f>
        <v>13500</v>
      </c>
    </row>
    <row r="19" spans="1:22">
      <c r="A19" s="39" t="s">
        <v>67</v>
      </c>
      <c r="B19" s="25">
        <v>100</v>
      </c>
      <c r="C19" s="3">
        <v>900</v>
      </c>
      <c r="D19" s="3">
        <f t="shared" si="17"/>
        <v>90000</v>
      </c>
      <c r="E19" s="25">
        <v>120</v>
      </c>
      <c r="F19" s="3">
        <v>900</v>
      </c>
      <c r="G19" s="3">
        <f t="shared" si="18"/>
        <v>108000</v>
      </c>
      <c r="H19" s="25">
        <v>130</v>
      </c>
      <c r="I19" s="3">
        <v>925</v>
      </c>
      <c r="J19" s="3">
        <f t="shared" si="6"/>
        <v>120250</v>
      </c>
      <c r="K19" s="25">
        <v>160</v>
      </c>
      <c r="L19" s="3">
        <v>925</v>
      </c>
      <c r="M19" s="3">
        <f t="shared" si="19"/>
        <v>148000</v>
      </c>
      <c r="N19" s="25">
        <v>170</v>
      </c>
      <c r="O19" s="3">
        <v>925</v>
      </c>
      <c r="P19" s="3">
        <f t="shared" si="2"/>
        <v>157250</v>
      </c>
      <c r="Q19" s="25">
        <v>180</v>
      </c>
      <c r="R19" s="3">
        <v>975</v>
      </c>
      <c r="S19" s="3">
        <f t="shared" si="20"/>
        <v>175500</v>
      </c>
      <c r="T19" s="25">
        <v>190</v>
      </c>
      <c r="U19" s="3">
        <v>975</v>
      </c>
      <c r="V19" s="3">
        <f t="shared" si="21"/>
        <v>185250</v>
      </c>
    </row>
    <row r="20" spans="1:22">
      <c r="A20" s="38" t="s">
        <v>210</v>
      </c>
      <c r="B20" s="42"/>
      <c r="C20" s="41"/>
      <c r="D20" s="41"/>
      <c r="E20" s="40"/>
      <c r="F20" s="41"/>
      <c r="G20" s="41"/>
      <c r="H20" s="40"/>
      <c r="I20" s="41"/>
      <c r="J20" s="41"/>
      <c r="K20" s="40"/>
      <c r="L20" s="40"/>
      <c r="M20" s="41"/>
      <c r="N20" s="40"/>
      <c r="O20" s="41"/>
      <c r="P20" s="41"/>
      <c r="Q20" s="40"/>
      <c r="R20" s="41"/>
      <c r="S20" s="41"/>
      <c r="T20" s="40"/>
      <c r="U20" s="41"/>
      <c r="V20" s="41"/>
    </row>
    <row r="21" spans="1:22">
      <c r="A21" s="39" t="s">
        <v>66</v>
      </c>
      <c r="B21" s="25">
        <v>60</v>
      </c>
      <c r="C21" s="3">
        <v>900</v>
      </c>
      <c r="D21" s="3">
        <f>B21*C21</f>
        <v>54000</v>
      </c>
      <c r="E21" s="25">
        <v>70</v>
      </c>
      <c r="F21" s="3">
        <v>900</v>
      </c>
      <c r="G21" s="3">
        <f>E21*F21</f>
        <v>63000</v>
      </c>
      <c r="H21" s="25">
        <v>80</v>
      </c>
      <c r="I21" s="3">
        <v>925</v>
      </c>
      <c r="J21" s="3">
        <f t="shared" si="6"/>
        <v>74000</v>
      </c>
      <c r="K21" s="25">
        <v>90</v>
      </c>
      <c r="L21" s="3">
        <v>925</v>
      </c>
      <c r="M21" s="3">
        <f>K21*L21</f>
        <v>83250</v>
      </c>
      <c r="N21" s="25">
        <v>100</v>
      </c>
      <c r="O21" s="3">
        <v>925</v>
      </c>
      <c r="P21" s="3">
        <f t="shared" si="2"/>
        <v>92500</v>
      </c>
      <c r="Q21" s="25">
        <v>120</v>
      </c>
      <c r="R21" s="3">
        <v>975</v>
      </c>
      <c r="S21" s="3">
        <f>Q21*R21</f>
        <v>117000</v>
      </c>
      <c r="T21" s="25">
        <v>130</v>
      </c>
      <c r="U21" s="3">
        <v>975</v>
      </c>
      <c r="V21" s="3">
        <f>T21*U21</f>
        <v>126750</v>
      </c>
    </row>
    <row r="22" spans="1:22">
      <c r="A22" s="39" t="s">
        <v>63</v>
      </c>
      <c r="B22" s="36">
        <v>3</v>
      </c>
      <c r="C22" s="3">
        <v>1200</v>
      </c>
      <c r="D22" s="3">
        <f t="shared" ref="D22:D23" si="22">B22*C22</f>
        <v>3600</v>
      </c>
      <c r="E22" s="25">
        <v>4</v>
      </c>
      <c r="F22" s="3">
        <v>1200</v>
      </c>
      <c r="G22" s="3">
        <f t="shared" ref="G22:G23" si="23">E22*F22</f>
        <v>4800</v>
      </c>
      <c r="H22" s="25">
        <v>5</v>
      </c>
      <c r="I22" s="3">
        <v>1350</v>
      </c>
      <c r="J22" s="3">
        <f t="shared" si="6"/>
        <v>6750</v>
      </c>
      <c r="K22" s="25">
        <v>6</v>
      </c>
      <c r="L22" s="3">
        <v>1250</v>
      </c>
      <c r="M22" s="3">
        <f t="shared" ref="M22:M23" si="24">K22*L22</f>
        <v>7500</v>
      </c>
      <c r="N22" s="25">
        <v>7</v>
      </c>
      <c r="O22" s="3">
        <v>1250</v>
      </c>
      <c r="P22" s="3">
        <f t="shared" si="2"/>
        <v>8750</v>
      </c>
      <c r="Q22" s="25">
        <v>8</v>
      </c>
      <c r="R22" s="3">
        <v>1350</v>
      </c>
      <c r="S22" s="3">
        <f t="shared" ref="S22:S23" si="25">Q22*R22</f>
        <v>10800</v>
      </c>
      <c r="T22" s="25">
        <v>10</v>
      </c>
      <c r="U22" s="3">
        <v>1350</v>
      </c>
      <c r="V22" s="3">
        <f t="shared" ref="V22:V23" si="26">T22*U22</f>
        <v>13500</v>
      </c>
    </row>
    <row r="23" spans="1:22">
      <c r="A23" s="39" t="s">
        <v>67</v>
      </c>
      <c r="B23" s="25">
        <v>120</v>
      </c>
      <c r="C23" s="3">
        <v>900</v>
      </c>
      <c r="D23" s="3">
        <f t="shared" si="22"/>
        <v>108000</v>
      </c>
      <c r="E23" s="25">
        <v>140</v>
      </c>
      <c r="F23" s="3">
        <v>900</v>
      </c>
      <c r="G23" s="3">
        <f t="shared" si="23"/>
        <v>126000</v>
      </c>
      <c r="H23" s="25">
        <v>160</v>
      </c>
      <c r="I23" s="3">
        <v>925</v>
      </c>
      <c r="J23" s="3">
        <f t="shared" si="6"/>
        <v>148000</v>
      </c>
      <c r="K23" s="25">
        <v>170</v>
      </c>
      <c r="L23" s="3">
        <v>925</v>
      </c>
      <c r="M23" s="3">
        <f t="shared" si="24"/>
        <v>157250</v>
      </c>
      <c r="N23" s="25">
        <v>200</v>
      </c>
      <c r="O23" s="3">
        <v>925</v>
      </c>
      <c r="P23" s="3">
        <f t="shared" si="2"/>
        <v>185000</v>
      </c>
      <c r="Q23" s="25">
        <v>240</v>
      </c>
      <c r="R23" s="3">
        <v>975</v>
      </c>
      <c r="S23" s="3">
        <f t="shared" si="25"/>
        <v>234000</v>
      </c>
      <c r="T23" s="25">
        <v>260</v>
      </c>
      <c r="U23" s="3">
        <v>975</v>
      </c>
      <c r="V23" s="3">
        <f t="shared" si="26"/>
        <v>253500</v>
      </c>
    </row>
    <row r="24" spans="1:22" s="35" customFormat="1">
      <c r="A24" s="44" t="s">
        <v>150</v>
      </c>
      <c r="B24" s="42"/>
      <c r="C24" s="41"/>
      <c r="D24" s="41"/>
      <c r="E24" s="40"/>
      <c r="F24" s="41"/>
      <c r="G24" s="41"/>
      <c r="H24" s="40"/>
      <c r="I24" s="41"/>
      <c r="J24" s="41"/>
      <c r="K24" s="40"/>
      <c r="L24" s="40"/>
      <c r="M24" s="41"/>
      <c r="N24" s="40"/>
      <c r="O24" s="41"/>
      <c r="P24" s="41"/>
      <c r="Q24" s="40"/>
      <c r="R24" s="41"/>
      <c r="S24" s="41"/>
      <c r="T24" s="40"/>
      <c r="U24" s="41"/>
      <c r="V24" s="41"/>
    </row>
    <row r="25" spans="1:22">
      <c r="A25" s="36" t="s">
        <v>66</v>
      </c>
      <c r="B25" s="25">
        <v>100</v>
      </c>
      <c r="C25" s="3">
        <v>125</v>
      </c>
      <c r="D25" s="3">
        <f>B25*C25</f>
        <v>12500</v>
      </c>
      <c r="E25" s="25">
        <v>150</v>
      </c>
      <c r="F25" s="3">
        <v>125</v>
      </c>
      <c r="G25" s="3">
        <f>E25*F25</f>
        <v>18750</v>
      </c>
      <c r="H25" s="25">
        <v>180</v>
      </c>
      <c r="I25" s="3">
        <v>150</v>
      </c>
      <c r="J25" s="3">
        <f t="shared" si="6"/>
        <v>27000</v>
      </c>
      <c r="K25" s="25">
        <v>200</v>
      </c>
      <c r="L25" s="3">
        <v>150</v>
      </c>
      <c r="M25" s="3">
        <f>K25*L25</f>
        <v>30000</v>
      </c>
      <c r="N25" s="25">
        <v>225</v>
      </c>
      <c r="O25" s="3">
        <v>150</v>
      </c>
      <c r="P25" s="3">
        <f t="shared" si="2"/>
        <v>33750</v>
      </c>
      <c r="Q25" s="25">
        <v>250</v>
      </c>
      <c r="R25" s="3">
        <v>150</v>
      </c>
      <c r="S25" s="3">
        <f>Q25*R25</f>
        <v>37500</v>
      </c>
      <c r="T25" s="25">
        <v>300</v>
      </c>
      <c r="U25" s="3">
        <v>150</v>
      </c>
      <c r="V25" s="3">
        <f>T25*U25</f>
        <v>45000</v>
      </c>
    </row>
    <row r="26" spans="1:22">
      <c r="A26" s="36" t="s">
        <v>63</v>
      </c>
      <c r="B26" s="36">
        <v>20</v>
      </c>
      <c r="C26" s="3">
        <v>150</v>
      </c>
      <c r="D26" s="3">
        <f t="shared" ref="D26:D27" si="27">B26*C26</f>
        <v>3000</v>
      </c>
      <c r="E26" s="25">
        <v>25</v>
      </c>
      <c r="F26" s="3">
        <v>150</v>
      </c>
      <c r="G26" s="3">
        <f t="shared" ref="G26:G27" si="28">E26*F26</f>
        <v>3750</v>
      </c>
      <c r="H26" s="25">
        <v>30</v>
      </c>
      <c r="I26" s="3">
        <v>175</v>
      </c>
      <c r="J26" s="3">
        <f t="shared" si="6"/>
        <v>5250</v>
      </c>
      <c r="K26" s="25">
        <v>35</v>
      </c>
      <c r="L26" s="3">
        <v>175</v>
      </c>
      <c r="M26" s="3">
        <f t="shared" ref="M26:M27" si="29">K26*L26</f>
        <v>6125</v>
      </c>
      <c r="N26" s="25">
        <v>38</v>
      </c>
      <c r="O26" s="3">
        <v>175</v>
      </c>
      <c r="P26" s="3">
        <f t="shared" si="2"/>
        <v>6650</v>
      </c>
      <c r="Q26" s="25">
        <v>42</v>
      </c>
      <c r="R26" s="3">
        <v>175</v>
      </c>
      <c r="S26" s="3">
        <f>Q26*R26</f>
        <v>7350</v>
      </c>
      <c r="T26" s="25">
        <v>50</v>
      </c>
      <c r="U26" s="3">
        <v>175</v>
      </c>
      <c r="V26" s="3">
        <f t="shared" ref="V26:V27" si="30">T26*U26</f>
        <v>8750</v>
      </c>
    </row>
    <row r="27" spans="1:22">
      <c r="A27" s="25" t="s">
        <v>67</v>
      </c>
      <c r="B27" s="25">
        <v>200</v>
      </c>
      <c r="C27" s="3">
        <v>125</v>
      </c>
      <c r="D27" s="3">
        <f t="shared" si="27"/>
        <v>25000</v>
      </c>
      <c r="E27" s="25">
        <v>300</v>
      </c>
      <c r="F27" s="3">
        <v>125</v>
      </c>
      <c r="G27" s="3">
        <f t="shared" si="28"/>
        <v>37500</v>
      </c>
      <c r="H27" s="25">
        <v>360</v>
      </c>
      <c r="I27" s="3">
        <v>150</v>
      </c>
      <c r="J27" s="3">
        <f t="shared" si="6"/>
        <v>54000</v>
      </c>
      <c r="K27" s="25">
        <v>400</v>
      </c>
      <c r="L27" s="3">
        <v>150</v>
      </c>
      <c r="M27" s="3">
        <f t="shared" si="29"/>
        <v>60000</v>
      </c>
      <c r="N27" s="25">
        <v>450</v>
      </c>
      <c r="O27" s="3">
        <v>150</v>
      </c>
      <c r="P27" s="3">
        <f t="shared" si="2"/>
        <v>67500</v>
      </c>
      <c r="Q27" s="25">
        <v>500</v>
      </c>
      <c r="R27" s="3">
        <v>150</v>
      </c>
      <c r="S27" s="3">
        <f>Q27*R27</f>
        <v>75000</v>
      </c>
      <c r="T27" s="25">
        <v>600</v>
      </c>
      <c r="U27" s="3">
        <v>150</v>
      </c>
      <c r="V27" s="3">
        <f t="shared" si="30"/>
        <v>90000</v>
      </c>
    </row>
    <row r="28" spans="1:22">
      <c r="A28" s="37" t="s">
        <v>78</v>
      </c>
      <c r="B28" s="42"/>
      <c r="C28" s="41"/>
      <c r="D28" s="41"/>
      <c r="E28" s="40"/>
      <c r="F28" s="41"/>
      <c r="G28" s="41"/>
      <c r="H28" s="40"/>
      <c r="I28" s="41"/>
      <c r="J28" s="41"/>
      <c r="K28" s="40"/>
      <c r="L28" s="40"/>
      <c r="M28" s="41"/>
      <c r="N28" s="40"/>
      <c r="O28" s="41"/>
      <c r="P28" s="41"/>
      <c r="Q28" s="40"/>
      <c r="R28" s="41"/>
      <c r="S28" s="41"/>
      <c r="T28" s="40"/>
      <c r="U28" s="41"/>
      <c r="V28" s="41"/>
    </row>
    <row r="29" spans="1:22">
      <c r="A29" s="25" t="s">
        <v>63</v>
      </c>
      <c r="B29" s="25">
        <v>250</v>
      </c>
      <c r="C29" s="3">
        <v>25</v>
      </c>
      <c r="D29" s="3">
        <f>B29*C29</f>
        <v>6250</v>
      </c>
      <c r="E29" s="25">
        <v>260</v>
      </c>
      <c r="F29" s="3">
        <v>25</v>
      </c>
      <c r="G29" s="3">
        <f>E29*F29</f>
        <v>6500</v>
      </c>
      <c r="H29" s="25">
        <v>270</v>
      </c>
      <c r="I29" s="3">
        <v>30</v>
      </c>
      <c r="J29" s="3">
        <f t="shared" si="6"/>
        <v>8100</v>
      </c>
      <c r="K29" s="25">
        <v>290</v>
      </c>
      <c r="L29" s="3">
        <v>30</v>
      </c>
      <c r="M29" s="3">
        <f>K29*L29</f>
        <v>8700</v>
      </c>
      <c r="N29" s="25">
        <v>300</v>
      </c>
      <c r="O29" s="3">
        <v>30</v>
      </c>
      <c r="P29" s="3">
        <f t="shared" si="2"/>
        <v>9000</v>
      </c>
      <c r="Q29" s="25">
        <v>310</v>
      </c>
      <c r="R29" s="3">
        <v>35</v>
      </c>
      <c r="S29" s="3">
        <f>Q29*R29</f>
        <v>10850</v>
      </c>
      <c r="T29" s="25">
        <v>325</v>
      </c>
      <c r="U29" s="3">
        <v>35</v>
      </c>
      <c r="V29" s="3">
        <f>T29*U29</f>
        <v>11375</v>
      </c>
    </row>
    <row r="30" spans="1:22" ht="47.25" customHeight="1">
      <c r="A30" s="45" t="s">
        <v>144</v>
      </c>
      <c r="B30" s="42"/>
      <c r="C30" s="41"/>
      <c r="D30" s="41"/>
      <c r="E30" s="40"/>
      <c r="F30" s="41"/>
      <c r="G30" s="41"/>
      <c r="H30" s="40"/>
      <c r="I30" s="41"/>
      <c r="J30" s="41"/>
      <c r="K30" s="40"/>
      <c r="L30" s="40"/>
      <c r="M30" s="41"/>
      <c r="N30" s="40"/>
      <c r="O30" s="41"/>
      <c r="P30" s="41"/>
      <c r="Q30" s="40"/>
      <c r="R30" s="41"/>
      <c r="S30" s="41"/>
      <c r="T30" s="40"/>
      <c r="U30" s="41"/>
      <c r="V30" s="41"/>
    </row>
    <row r="31" spans="1:22">
      <c r="A31" s="25" t="s">
        <v>68</v>
      </c>
      <c r="B31" s="25">
        <v>500</v>
      </c>
      <c r="C31" s="3">
        <v>5</v>
      </c>
      <c r="D31" s="3">
        <f>B31*C31</f>
        <v>2500</v>
      </c>
      <c r="E31" s="25">
        <v>500</v>
      </c>
      <c r="F31" s="3">
        <v>5</v>
      </c>
      <c r="G31" s="3">
        <f>E31*F31</f>
        <v>2500</v>
      </c>
      <c r="H31" s="25">
        <v>500</v>
      </c>
      <c r="I31" s="3">
        <v>6</v>
      </c>
      <c r="J31" s="3">
        <f>H31*I31</f>
        <v>3000</v>
      </c>
      <c r="K31" s="25">
        <v>500</v>
      </c>
      <c r="L31" s="3">
        <v>6</v>
      </c>
      <c r="M31" s="3">
        <f>K31*L31</f>
        <v>3000</v>
      </c>
      <c r="N31" s="25">
        <v>500</v>
      </c>
      <c r="O31" s="3">
        <v>6</v>
      </c>
      <c r="P31" s="3">
        <f>N31*O31</f>
        <v>3000</v>
      </c>
      <c r="Q31" s="25">
        <v>500</v>
      </c>
      <c r="R31" s="3">
        <v>6</v>
      </c>
      <c r="S31" s="3">
        <f>Q31*R31</f>
        <v>3000</v>
      </c>
      <c r="T31" s="25">
        <v>500</v>
      </c>
      <c r="U31" s="3">
        <v>6</v>
      </c>
      <c r="V31" s="3">
        <f>T31*U31</f>
        <v>3000</v>
      </c>
    </row>
    <row r="32" spans="1:22">
      <c r="A32" s="25" t="s">
        <v>69</v>
      </c>
      <c r="B32" s="25">
        <v>300</v>
      </c>
      <c r="C32" s="3">
        <v>7.5</v>
      </c>
      <c r="D32" s="3">
        <f>B32*C32</f>
        <v>2250</v>
      </c>
      <c r="E32" s="25">
        <v>300</v>
      </c>
      <c r="F32" s="3">
        <v>7.5</v>
      </c>
      <c r="G32" s="3">
        <f>E32*F32</f>
        <v>2250</v>
      </c>
      <c r="H32" s="25">
        <v>300</v>
      </c>
      <c r="I32" s="3">
        <v>8</v>
      </c>
      <c r="J32" s="3">
        <f>H32*I32</f>
        <v>2400</v>
      </c>
      <c r="K32" s="25">
        <v>300</v>
      </c>
      <c r="L32" s="3">
        <v>7.5</v>
      </c>
      <c r="M32" s="3">
        <f>K32*L32</f>
        <v>2250</v>
      </c>
      <c r="N32" s="25">
        <v>300</v>
      </c>
      <c r="O32" s="3">
        <v>7.5</v>
      </c>
      <c r="P32" s="3">
        <f>N32*O32</f>
        <v>2250</v>
      </c>
      <c r="Q32" s="25">
        <v>300</v>
      </c>
      <c r="R32" s="3">
        <v>7.5</v>
      </c>
      <c r="S32" s="3">
        <f>Q32*R32</f>
        <v>2250</v>
      </c>
      <c r="T32" s="25">
        <v>300</v>
      </c>
      <c r="U32" s="3">
        <v>7.5</v>
      </c>
      <c r="V32" s="3">
        <f>T32*U32</f>
        <v>2250</v>
      </c>
    </row>
    <row r="33" spans="1:22">
      <c r="A33" s="25" t="s">
        <v>149</v>
      </c>
      <c r="B33" s="25">
        <v>1000</v>
      </c>
      <c r="C33" s="3">
        <v>4.75</v>
      </c>
      <c r="D33" s="3">
        <f>B33*C33</f>
        <v>4750</v>
      </c>
      <c r="E33" s="25">
        <v>1000</v>
      </c>
      <c r="F33" s="3">
        <v>4.75</v>
      </c>
      <c r="G33" s="3">
        <f>E33*F33</f>
        <v>4750</v>
      </c>
      <c r="H33" s="25">
        <v>1000</v>
      </c>
      <c r="I33" s="3">
        <v>5.75</v>
      </c>
      <c r="J33" s="3">
        <f>H33*I33</f>
        <v>5750</v>
      </c>
      <c r="K33" s="25">
        <v>1000</v>
      </c>
      <c r="L33" s="3">
        <v>5.5</v>
      </c>
      <c r="M33" s="3">
        <f>K33*L33</f>
        <v>5500</v>
      </c>
      <c r="N33" s="25">
        <v>1000</v>
      </c>
      <c r="O33" s="3">
        <v>5.5</v>
      </c>
      <c r="P33" s="3">
        <f>N33*O33</f>
        <v>5500</v>
      </c>
      <c r="Q33" s="25">
        <v>1000</v>
      </c>
      <c r="R33" s="3">
        <v>5.5</v>
      </c>
      <c r="S33" s="3">
        <f>Q33*R33</f>
        <v>5500</v>
      </c>
      <c r="T33" s="25">
        <v>1000</v>
      </c>
      <c r="U33" s="3">
        <v>5.5</v>
      </c>
      <c r="V33" s="3">
        <f>T33*U33</f>
        <v>5500</v>
      </c>
    </row>
    <row r="34" spans="1:22" ht="45">
      <c r="A34" s="45" t="s">
        <v>147</v>
      </c>
      <c r="B34" s="25">
        <v>40000</v>
      </c>
      <c r="C34" s="3">
        <v>0.25</v>
      </c>
      <c r="D34" s="3">
        <f>B34*C34</f>
        <v>10000</v>
      </c>
      <c r="E34" s="25">
        <v>40000</v>
      </c>
      <c r="F34" s="3">
        <v>0.25</v>
      </c>
      <c r="G34" s="3">
        <f>E34*F34</f>
        <v>10000</v>
      </c>
      <c r="H34" s="25">
        <v>40000</v>
      </c>
      <c r="I34" s="3">
        <v>0.25</v>
      </c>
      <c r="J34" s="3">
        <f>H34*I34</f>
        <v>10000</v>
      </c>
      <c r="K34" s="25">
        <v>40000</v>
      </c>
      <c r="L34" s="3">
        <v>0.25</v>
      </c>
      <c r="M34" s="3">
        <f>K34*L34</f>
        <v>10000</v>
      </c>
      <c r="N34" s="25">
        <v>40000</v>
      </c>
      <c r="O34" s="3">
        <v>0.25</v>
      </c>
      <c r="P34" s="3">
        <f>N34*O34</f>
        <v>10000</v>
      </c>
      <c r="Q34" s="25">
        <v>40000</v>
      </c>
      <c r="R34" s="3">
        <v>0.25</v>
      </c>
      <c r="S34" s="3">
        <f>Q34*R34</f>
        <v>10000</v>
      </c>
      <c r="T34" s="25">
        <v>40000</v>
      </c>
      <c r="U34" s="3">
        <v>0.25</v>
      </c>
      <c r="V34" s="3">
        <f>T34*U34</f>
        <v>10000</v>
      </c>
    </row>
    <row r="35" spans="1:22">
      <c r="A35" s="37" t="s">
        <v>146</v>
      </c>
      <c r="B35" s="25"/>
      <c r="C35" s="3"/>
      <c r="D35" s="3">
        <v>2500</v>
      </c>
      <c r="E35" s="25"/>
      <c r="F35" s="3"/>
      <c r="G35" s="3">
        <v>2750</v>
      </c>
      <c r="H35" s="25"/>
      <c r="I35" s="3"/>
      <c r="J35" s="3">
        <v>3000</v>
      </c>
      <c r="K35" s="25"/>
      <c r="L35" s="25"/>
      <c r="M35" s="3">
        <v>3250</v>
      </c>
      <c r="N35" s="25"/>
      <c r="O35" s="3"/>
      <c r="P35" s="3">
        <v>3500</v>
      </c>
      <c r="Q35" s="25"/>
      <c r="R35" s="3"/>
      <c r="S35" s="3">
        <v>4000</v>
      </c>
      <c r="T35" s="25"/>
      <c r="U35" s="3"/>
      <c r="V35" s="3">
        <v>4750</v>
      </c>
    </row>
    <row r="36" spans="1:22">
      <c r="A36" s="37" t="s">
        <v>145</v>
      </c>
      <c r="B36" s="25"/>
      <c r="C36" s="3"/>
      <c r="D36" s="3">
        <v>500</v>
      </c>
      <c r="E36" s="25"/>
      <c r="F36" s="3"/>
      <c r="G36" s="3">
        <v>525</v>
      </c>
      <c r="H36" s="25"/>
      <c r="I36" s="3"/>
      <c r="J36" s="3">
        <v>550</v>
      </c>
      <c r="K36" s="25"/>
      <c r="L36" s="25"/>
      <c r="M36" s="3">
        <v>600</v>
      </c>
      <c r="N36" s="25"/>
      <c r="O36" s="3"/>
      <c r="P36" s="3">
        <v>650</v>
      </c>
      <c r="Q36" s="25"/>
      <c r="R36" s="3"/>
      <c r="S36" s="3">
        <v>700</v>
      </c>
      <c r="T36" s="25"/>
      <c r="U36" s="3"/>
      <c r="V36" s="3">
        <v>800</v>
      </c>
    </row>
    <row r="37" spans="1:22" ht="33" customHeight="1" thickBot="1">
      <c r="A37" s="67" t="s">
        <v>148</v>
      </c>
      <c r="B37" s="25"/>
      <c r="C37" s="3"/>
      <c r="D37" s="3">
        <v>3000</v>
      </c>
      <c r="E37" s="25"/>
      <c r="F37" s="3"/>
      <c r="G37" s="3">
        <v>3250</v>
      </c>
      <c r="H37" s="25"/>
      <c r="I37" s="3"/>
      <c r="J37" s="3">
        <v>3500</v>
      </c>
      <c r="K37" s="25"/>
      <c r="L37" s="25"/>
      <c r="M37" s="3">
        <v>3750</v>
      </c>
      <c r="N37" s="25"/>
      <c r="O37" s="3"/>
      <c r="P37" s="3">
        <v>4000</v>
      </c>
      <c r="Q37" s="25"/>
      <c r="R37" s="3"/>
      <c r="S37" s="3">
        <v>4250</v>
      </c>
      <c r="T37" s="46"/>
      <c r="U37" s="14"/>
      <c r="V37" s="3">
        <v>4500</v>
      </c>
    </row>
    <row r="38" spans="1:22" ht="15.75" thickBot="1">
      <c r="A38" s="68" t="s">
        <v>23</v>
      </c>
      <c r="B38" s="115">
        <f>SUM(D5:D37)</f>
        <v>840700</v>
      </c>
      <c r="C38" s="118"/>
      <c r="D38" s="119"/>
      <c r="E38" s="115">
        <f>SUM(G5:G37)</f>
        <v>1068125</v>
      </c>
      <c r="F38" s="116"/>
      <c r="G38" s="117"/>
      <c r="H38" s="115">
        <f t="shared" ref="H38" si="31">SUM(J5:J37)</f>
        <v>1258550</v>
      </c>
      <c r="I38" s="116"/>
      <c r="J38" s="117"/>
      <c r="K38" s="115">
        <f t="shared" ref="K38" si="32">SUM(M5:M37)</f>
        <v>1540825</v>
      </c>
      <c r="L38" s="116"/>
      <c r="M38" s="117"/>
      <c r="N38" s="115">
        <f t="shared" ref="N38" si="33">SUM(P5:P37)</f>
        <v>1719050</v>
      </c>
      <c r="O38" s="116"/>
      <c r="P38" s="117"/>
      <c r="Q38" s="115">
        <f t="shared" ref="Q38" si="34">SUM(S5:S37)</f>
        <v>2060850</v>
      </c>
      <c r="R38" s="116"/>
      <c r="S38" s="117"/>
      <c r="T38" s="115">
        <f t="shared" ref="T38" si="35">SUM(V5:V37)</f>
        <v>2229750</v>
      </c>
      <c r="U38" s="116"/>
      <c r="V38" s="117"/>
    </row>
    <row r="39" spans="1:22">
      <c r="A39" s="35" t="s">
        <v>211</v>
      </c>
      <c r="B39" s="69"/>
      <c r="C39" s="70"/>
      <c r="D39" s="70">
        <f>D7+D11+D15+D19+D23+D27</f>
        <v>519000</v>
      </c>
      <c r="E39" s="70"/>
      <c r="F39" s="70"/>
      <c r="G39" s="70">
        <f>G7+G11+G15+G19+G23+G27</f>
        <v>663500</v>
      </c>
      <c r="H39" s="70"/>
      <c r="I39" s="70"/>
      <c r="J39" s="70">
        <f>J7+J11+J15+J19+J23+J27</f>
        <v>778000</v>
      </c>
      <c r="K39" s="70"/>
      <c r="L39" s="70"/>
      <c r="M39" s="70">
        <f>M7+M11+M15+M19+M23+M27</f>
        <v>955750</v>
      </c>
      <c r="N39" s="70"/>
      <c r="O39" s="70"/>
      <c r="P39" s="70">
        <f>P7+P11+P15+P19+P23+P27</f>
        <v>1070300</v>
      </c>
      <c r="Q39" s="70"/>
      <c r="R39" s="70"/>
      <c r="S39" s="70">
        <f>S7+S11+S15+S19+S23+S27</f>
        <v>1298500</v>
      </c>
      <c r="T39" s="70"/>
      <c r="U39" s="70"/>
      <c r="V39" s="70">
        <f>V7+V11+V15+V19+V23+V27</f>
        <v>1391350</v>
      </c>
    </row>
    <row r="41" spans="1:22" ht="42.75" customHeight="1">
      <c r="A41" s="154" t="s">
        <v>255</v>
      </c>
      <c r="B41" s="155">
        <f>B21+B23+B22</f>
        <v>183</v>
      </c>
      <c r="C41" s="155"/>
      <c r="D41" s="155"/>
      <c r="E41" s="155">
        <f t="shared" ref="C41:V41" si="36">E21+E23+E22</f>
        <v>214</v>
      </c>
      <c r="F41" s="155"/>
      <c r="G41" s="155"/>
      <c r="H41" s="155">
        <f t="shared" si="36"/>
        <v>245</v>
      </c>
      <c r="I41" s="155"/>
      <c r="J41" s="155"/>
      <c r="K41" s="155">
        <f t="shared" si="36"/>
        <v>266</v>
      </c>
      <c r="L41" s="155"/>
      <c r="M41" s="155"/>
      <c r="N41" s="155">
        <f t="shared" si="36"/>
        <v>307</v>
      </c>
      <c r="O41" s="155"/>
      <c r="P41" s="155"/>
      <c r="Q41" s="155">
        <f t="shared" si="36"/>
        <v>368</v>
      </c>
      <c r="R41" s="155"/>
      <c r="S41" s="155"/>
      <c r="T41" s="155">
        <f t="shared" si="36"/>
        <v>400</v>
      </c>
      <c r="U41"/>
      <c r="V41"/>
    </row>
    <row r="42" spans="1:22">
      <c r="A42" s="156" t="s">
        <v>257</v>
      </c>
      <c r="B42" s="157">
        <v>55</v>
      </c>
      <c r="C42" s="157"/>
      <c r="D42" s="157"/>
      <c r="E42" s="156">
        <v>55</v>
      </c>
      <c r="F42" s="157"/>
      <c r="G42" s="157"/>
      <c r="H42" s="156">
        <v>60</v>
      </c>
      <c r="I42" s="157"/>
      <c r="J42" s="157"/>
      <c r="K42" s="156">
        <v>60</v>
      </c>
      <c r="L42" s="156"/>
      <c r="M42" s="157"/>
      <c r="N42" s="156">
        <v>60</v>
      </c>
      <c r="O42" s="157"/>
      <c r="P42" s="157"/>
      <c r="Q42" s="156">
        <v>60</v>
      </c>
      <c r="R42" s="157"/>
      <c r="S42" s="157"/>
      <c r="T42" s="156">
        <v>65</v>
      </c>
    </row>
    <row r="43" spans="1:22">
      <c r="B43" s="1">
        <f>B41*B42</f>
        <v>10065</v>
      </c>
      <c r="E43" s="1">
        <f t="shared" ref="C43:T43" si="37">E41*E42</f>
        <v>11770</v>
      </c>
      <c r="H43" s="1">
        <f t="shared" si="37"/>
        <v>14700</v>
      </c>
      <c r="K43" s="1">
        <f t="shared" si="37"/>
        <v>15960</v>
      </c>
      <c r="L43" s="1"/>
      <c r="N43" s="1">
        <f t="shared" si="37"/>
        <v>18420</v>
      </c>
      <c r="Q43" s="1">
        <f t="shared" si="37"/>
        <v>22080</v>
      </c>
      <c r="T43" s="1">
        <f t="shared" si="37"/>
        <v>26000</v>
      </c>
    </row>
    <row r="44" spans="1:22">
      <c r="A44" t="s">
        <v>256</v>
      </c>
    </row>
  </sheetData>
  <mergeCells count="15">
    <mergeCell ref="B1:V1"/>
    <mergeCell ref="Q2:S2"/>
    <mergeCell ref="T2:V2"/>
    <mergeCell ref="B2:D2"/>
    <mergeCell ref="E2:G2"/>
    <mergeCell ref="H2:J2"/>
    <mergeCell ref="K2:M2"/>
    <mergeCell ref="N2:P2"/>
    <mergeCell ref="T38:V38"/>
    <mergeCell ref="B38:D38"/>
    <mergeCell ref="E38:G38"/>
    <mergeCell ref="H38:J38"/>
    <mergeCell ref="K38:M38"/>
    <mergeCell ref="N38:P38"/>
    <mergeCell ref="Q38:S38"/>
  </mergeCells>
  <pageMargins left="0.70866141732283472" right="0.70866141732283472" top="0.74803149606299213" bottom="0.74803149606299213" header="0.31496062992125984" footer="0.31496062992125984"/>
  <pageSetup paperSize="9" orientation="landscape" r:id="rId1"/>
</worksheet>
</file>

<file path=xl/worksheets/sheet6.xml><?xml version="1.0" encoding="utf-8"?>
<worksheet xmlns="http://schemas.openxmlformats.org/spreadsheetml/2006/main" xmlns:r="http://schemas.openxmlformats.org/officeDocument/2006/relationships">
  <dimension ref="A2:G29"/>
  <sheetViews>
    <sheetView topLeftCell="A7" workbookViewId="0">
      <selection activeCell="A26" sqref="A26:E29"/>
    </sheetView>
  </sheetViews>
  <sheetFormatPr defaultRowHeight="15"/>
  <cols>
    <col min="1" max="1" width="30.140625" customWidth="1"/>
    <col min="2" max="2" width="12.140625" customWidth="1"/>
    <col min="3" max="3" width="20" customWidth="1"/>
    <col min="4" max="4" width="30.7109375" customWidth="1"/>
    <col min="5" max="5" width="19.5703125" customWidth="1"/>
    <col min="6" max="6" width="11.5703125" customWidth="1"/>
    <col min="7" max="7" width="14.7109375" customWidth="1"/>
  </cols>
  <sheetData>
    <row r="2" spans="1:7">
      <c r="A2" s="93" t="s">
        <v>35</v>
      </c>
      <c r="B2" s="93" t="s">
        <v>36</v>
      </c>
      <c r="C2" s="93" t="s">
        <v>57</v>
      </c>
      <c r="D2" s="93" t="s">
        <v>56</v>
      </c>
      <c r="E2" s="93" t="s">
        <v>37</v>
      </c>
    </row>
    <row r="3" spans="1:7">
      <c r="A3" s="25" t="s">
        <v>38</v>
      </c>
      <c r="B3" s="25">
        <v>2</v>
      </c>
      <c r="C3" s="91">
        <v>800</v>
      </c>
      <c r="D3" s="91">
        <f>B3*C3*14</f>
        <v>22400</v>
      </c>
      <c r="E3" s="25" t="s">
        <v>39</v>
      </c>
    </row>
    <row r="4" spans="1:7">
      <c r="A4" s="25" t="s">
        <v>40</v>
      </c>
      <c r="B4" s="25">
        <v>2</v>
      </c>
      <c r="C4" s="91">
        <v>500</v>
      </c>
      <c r="D4" s="91">
        <f t="shared" ref="D4:D13" si="0">B4*C4*14</f>
        <v>14000</v>
      </c>
      <c r="E4" s="25" t="s">
        <v>39</v>
      </c>
    </row>
    <row r="5" spans="1:7">
      <c r="A5" s="25" t="s">
        <v>41</v>
      </c>
      <c r="B5" s="25">
        <v>1</v>
      </c>
      <c r="C5" s="91">
        <v>500</v>
      </c>
      <c r="D5" s="91">
        <f t="shared" si="0"/>
        <v>7000</v>
      </c>
      <c r="E5" s="25" t="s">
        <v>42</v>
      </c>
    </row>
    <row r="6" spans="1:7">
      <c r="A6" s="25" t="s">
        <v>43</v>
      </c>
      <c r="B6" s="25">
        <v>4</v>
      </c>
      <c r="C6" s="91">
        <v>500</v>
      </c>
      <c r="D6" s="91">
        <f t="shared" si="0"/>
        <v>28000</v>
      </c>
      <c r="E6" s="25" t="s">
        <v>42</v>
      </c>
    </row>
    <row r="7" spans="1:7">
      <c r="A7" s="25" t="s">
        <v>44</v>
      </c>
      <c r="B7" s="25">
        <v>4</v>
      </c>
      <c r="C7" s="91">
        <v>650</v>
      </c>
      <c r="D7" s="91">
        <f t="shared" si="0"/>
        <v>36400</v>
      </c>
      <c r="E7" s="25" t="s">
        <v>45</v>
      </c>
    </row>
    <row r="8" spans="1:7">
      <c r="A8" s="25" t="s">
        <v>46</v>
      </c>
      <c r="B8" s="25">
        <v>4</v>
      </c>
      <c r="C8" s="91">
        <v>650</v>
      </c>
      <c r="D8" s="91">
        <f t="shared" si="0"/>
        <v>36400</v>
      </c>
      <c r="E8" s="25" t="s">
        <v>39</v>
      </c>
      <c r="F8" t="s">
        <v>47</v>
      </c>
    </row>
    <row r="9" spans="1:7">
      <c r="A9" s="25" t="s">
        <v>48</v>
      </c>
      <c r="B9" s="25">
        <v>1</v>
      </c>
      <c r="C9" s="91">
        <v>600</v>
      </c>
      <c r="D9" s="91">
        <f t="shared" si="0"/>
        <v>8400</v>
      </c>
      <c r="E9" s="25" t="s">
        <v>49</v>
      </c>
    </row>
    <row r="10" spans="1:7">
      <c r="A10" s="25" t="s">
        <v>50</v>
      </c>
      <c r="B10" s="25">
        <v>1</v>
      </c>
      <c r="C10" s="91">
        <v>1000</v>
      </c>
      <c r="D10" s="91">
        <f t="shared" si="0"/>
        <v>14000</v>
      </c>
      <c r="E10" s="25" t="s">
        <v>51</v>
      </c>
    </row>
    <row r="11" spans="1:7">
      <c r="A11" s="25" t="s">
        <v>52</v>
      </c>
      <c r="B11" s="25">
        <v>1</v>
      </c>
      <c r="C11" s="91">
        <v>500</v>
      </c>
      <c r="D11" s="91">
        <f t="shared" si="0"/>
        <v>7000</v>
      </c>
      <c r="E11" s="25" t="s">
        <v>53</v>
      </c>
    </row>
    <row r="12" spans="1:7">
      <c r="A12" s="25" t="s">
        <v>54</v>
      </c>
      <c r="B12" s="25">
        <v>1</v>
      </c>
      <c r="C12" s="91">
        <v>600</v>
      </c>
      <c r="D12" s="91">
        <f t="shared" si="0"/>
        <v>8400</v>
      </c>
      <c r="E12" s="25" t="s">
        <v>49</v>
      </c>
    </row>
    <row r="13" spans="1:7">
      <c r="A13" s="25" t="s">
        <v>55</v>
      </c>
      <c r="B13" s="25">
        <v>1</v>
      </c>
      <c r="C13" s="91">
        <v>600</v>
      </c>
      <c r="D13" s="91">
        <f t="shared" si="0"/>
        <v>8400</v>
      </c>
      <c r="E13" s="25" t="s">
        <v>49</v>
      </c>
    </row>
    <row r="14" spans="1:7">
      <c r="C14" s="94" t="s">
        <v>70</v>
      </c>
      <c r="D14" s="94">
        <f>SUM(D3:D13)</f>
        <v>190400</v>
      </c>
    </row>
    <row r="16" spans="1:7">
      <c r="A16" s="95"/>
      <c r="B16" s="96" t="s">
        <v>223</v>
      </c>
      <c r="C16" s="96" t="s">
        <v>224</v>
      </c>
      <c r="D16" s="96" t="s">
        <v>229</v>
      </c>
      <c r="E16" s="96" t="s">
        <v>227</v>
      </c>
      <c r="F16" s="96" t="s">
        <v>228</v>
      </c>
      <c r="G16" s="96" t="s">
        <v>70</v>
      </c>
    </row>
    <row r="17" spans="1:7">
      <c r="A17" s="37" t="s">
        <v>3</v>
      </c>
      <c r="B17" s="3">
        <v>190400</v>
      </c>
      <c r="C17" s="3">
        <f>B17*0.2375</f>
        <v>45220</v>
      </c>
      <c r="D17" s="3">
        <v>2106</v>
      </c>
      <c r="E17" s="3">
        <v>29040</v>
      </c>
      <c r="F17" s="3">
        <v>1000</v>
      </c>
      <c r="G17" s="43">
        <f>B17+C17+D17+E17+F17</f>
        <v>267766</v>
      </c>
    </row>
    <row r="18" spans="1:7">
      <c r="A18" s="37" t="s">
        <v>4</v>
      </c>
      <c r="B18" s="3">
        <f>B17*1.05</f>
        <v>199920</v>
      </c>
      <c r="C18" s="3">
        <f t="shared" ref="C18:C23" si="1">B18*0.2375</f>
        <v>47481</v>
      </c>
      <c r="D18" s="3">
        <v>2211.3200000000002</v>
      </c>
      <c r="E18" s="3">
        <v>29040</v>
      </c>
      <c r="F18" s="3">
        <v>1000</v>
      </c>
      <c r="G18" s="43">
        <f t="shared" ref="G18:G23" si="2">B18+C18+D18+E18+F18</f>
        <v>279652.32</v>
      </c>
    </row>
    <row r="19" spans="1:7">
      <c r="A19" s="37" t="s">
        <v>5</v>
      </c>
      <c r="B19" s="3">
        <f t="shared" ref="B19:B23" si="3">B18*1.05</f>
        <v>209916</v>
      </c>
      <c r="C19" s="3">
        <f t="shared" si="1"/>
        <v>49855.049999999996</v>
      </c>
      <c r="D19" s="3">
        <v>2321.1999999999998</v>
      </c>
      <c r="E19" s="3">
        <f t="shared" ref="E19:E23" si="4">E18*1.05</f>
        <v>30492</v>
      </c>
      <c r="F19" s="3">
        <v>1000</v>
      </c>
      <c r="G19" s="43">
        <f t="shared" si="2"/>
        <v>293584.25</v>
      </c>
    </row>
    <row r="20" spans="1:7">
      <c r="A20" s="37" t="s">
        <v>6</v>
      </c>
      <c r="B20" s="3">
        <f t="shared" si="3"/>
        <v>220411.80000000002</v>
      </c>
      <c r="C20" s="3">
        <f t="shared" si="1"/>
        <v>52347.802500000005</v>
      </c>
      <c r="D20" s="3">
        <v>2437</v>
      </c>
      <c r="E20" s="3">
        <v>30492</v>
      </c>
      <c r="F20" s="3">
        <v>1000</v>
      </c>
      <c r="G20" s="43">
        <f t="shared" si="2"/>
        <v>306688.60250000004</v>
      </c>
    </row>
    <row r="21" spans="1:7">
      <c r="A21" s="37" t="s">
        <v>7</v>
      </c>
      <c r="B21" s="3">
        <f t="shared" si="3"/>
        <v>231432.39</v>
      </c>
      <c r="C21" s="3">
        <f t="shared" si="1"/>
        <v>54965.192625000003</v>
      </c>
      <c r="D21" s="3">
        <v>2559.87</v>
      </c>
      <c r="E21" s="3">
        <f t="shared" si="4"/>
        <v>32016.600000000002</v>
      </c>
      <c r="F21" s="3">
        <v>1000</v>
      </c>
      <c r="G21" s="43">
        <f t="shared" si="2"/>
        <v>321974.05262500001</v>
      </c>
    </row>
    <row r="22" spans="1:7">
      <c r="A22" s="37" t="s">
        <v>8</v>
      </c>
      <c r="B22" s="3">
        <f t="shared" si="3"/>
        <v>243004.00950000001</v>
      </c>
      <c r="C22" s="3">
        <f t="shared" si="1"/>
        <v>57713.452256249999</v>
      </c>
      <c r="D22" s="3">
        <v>2687</v>
      </c>
      <c r="E22" s="3">
        <v>32016.6</v>
      </c>
      <c r="F22" s="3">
        <v>1000</v>
      </c>
      <c r="G22" s="43">
        <f t="shared" si="2"/>
        <v>336421.06175624998</v>
      </c>
    </row>
    <row r="23" spans="1:7">
      <c r="A23" s="37" t="s">
        <v>9</v>
      </c>
      <c r="B23" s="3">
        <f t="shared" si="3"/>
        <v>255154.20997500003</v>
      </c>
      <c r="C23" s="3">
        <f t="shared" si="1"/>
        <v>60599.124869062507</v>
      </c>
      <c r="D23" s="3">
        <v>2822</v>
      </c>
      <c r="E23" s="3">
        <f t="shared" si="4"/>
        <v>33617.43</v>
      </c>
      <c r="F23" s="3">
        <v>1000</v>
      </c>
      <c r="G23" s="43">
        <f t="shared" si="2"/>
        <v>353192.76484406256</v>
      </c>
    </row>
    <row r="26" spans="1:7">
      <c r="A26" s="224" t="s">
        <v>299</v>
      </c>
      <c r="B26" s="224"/>
      <c r="C26" s="224"/>
      <c r="D26" s="224"/>
      <c r="E26" s="224"/>
    </row>
    <row r="27" spans="1:7">
      <c r="A27" s="224"/>
      <c r="B27" s="224"/>
      <c r="C27" s="224"/>
      <c r="D27" s="224"/>
      <c r="E27" s="224"/>
    </row>
    <row r="28" spans="1:7">
      <c r="A28" s="224"/>
      <c r="B28" s="224"/>
      <c r="C28" s="224"/>
      <c r="D28" s="224"/>
      <c r="E28" s="224"/>
    </row>
    <row r="29" spans="1:7">
      <c r="A29" s="224"/>
      <c r="B29" s="224"/>
      <c r="C29" s="224"/>
      <c r="D29" s="224"/>
      <c r="E29" s="224"/>
    </row>
  </sheetData>
  <mergeCells count="1">
    <mergeCell ref="A26:E29"/>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K43"/>
  <sheetViews>
    <sheetView topLeftCell="A37" workbookViewId="0">
      <selection activeCell="A40" sqref="A40:J43"/>
    </sheetView>
  </sheetViews>
  <sheetFormatPr defaultRowHeight="15"/>
  <cols>
    <col min="1" max="1" width="26.5703125" customWidth="1"/>
    <col min="2" max="2" width="7.42578125" customWidth="1"/>
    <col min="3" max="3" width="0" hidden="1" customWidth="1"/>
    <col min="4" max="4" width="15.42578125" style="1" customWidth="1"/>
    <col min="5" max="5" width="12.28515625" style="1" customWidth="1"/>
    <col min="6" max="6" width="11.42578125" style="1" customWidth="1"/>
    <col min="7" max="7" width="12.7109375" style="1" customWidth="1"/>
    <col min="8" max="8" width="12.5703125" style="1" customWidth="1"/>
    <col min="9" max="10" width="12.140625" style="1" customWidth="1"/>
    <col min="11" max="11" width="10.140625" customWidth="1"/>
  </cols>
  <sheetData>
    <row r="1" spans="1:11">
      <c r="D1" s="195" t="s">
        <v>3</v>
      </c>
      <c r="E1" s="195" t="s">
        <v>4</v>
      </c>
      <c r="F1" s="195" t="s">
        <v>5</v>
      </c>
      <c r="G1" s="195" t="s">
        <v>6</v>
      </c>
      <c r="H1" s="195" t="s">
        <v>7</v>
      </c>
      <c r="I1" s="195" t="s">
        <v>8</v>
      </c>
      <c r="J1" s="195" t="s">
        <v>9</v>
      </c>
    </row>
    <row r="2" spans="1:11">
      <c r="A2" s="19" t="s">
        <v>83</v>
      </c>
      <c r="B2" s="16" t="s">
        <v>79</v>
      </c>
      <c r="C2" s="97"/>
      <c r="D2" s="123">
        <f>D3+D4+D5</f>
        <v>95900</v>
      </c>
      <c r="E2" s="123">
        <f>E3+E4+E5</f>
        <v>105490</v>
      </c>
      <c r="F2" s="123">
        <f t="shared" ref="F2:J2" si="0">F3+F4+F5</f>
        <v>116039</v>
      </c>
      <c r="G2" s="123">
        <f t="shared" si="0"/>
        <v>127642.9</v>
      </c>
      <c r="H2" s="123">
        <f t="shared" si="0"/>
        <v>140407.19</v>
      </c>
      <c r="I2" s="123">
        <f t="shared" si="0"/>
        <v>154447.90900000001</v>
      </c>
      <c r="J2" s="123">
        <f t="shared" si="0"/>
        <v>169892.69990000004</v>
      </c>
      <c r="K2" s="98"/>
    </row>
    <row r="3" spans="1:11">
      <c r="A3" s="18" t="s">
        <v>80</v>
      </c>
      <c r="B3" s="17" t="s">
        <v>79</v>
      </c>
      <c r="C3" s="99"/>
      <c r="D3" s="124">
        <v>35000</v>
      </c>
      <c r="E3" s="124">
        <f>D3*1.1</f>
        <v>38500</v>
      </c>
      <c r="F3" s="124">
        <f t="shared" ref="F3:J3" si="1">E3*1.1</f>
        <v>42350</v>
      </c>
      <c r="G3" s="124">
        <f t="shared" si="1"/>
        <v>46585.000000000007</v>
      </c>
      <c r="H3" s="124">
        <f t="shared" si="1"/>
        <v>51243.500000000015</v>
      </c>
      <c r="I3" s="124">
        <f t="shared" si="1"/>
        <v>56367.85000000002</v>
      </c>
      <c r="J3" s="124">
        <f t="shared" si="1"/>
        <v>62004.635000000024</v>
      </c>
      <c r="K3" s="100"/>
    </row>
    <row r="4" spans="1:11">
      <c r="A4" s="18" t="s">
        <v>84</v>
      </c>
      <c r="B4" s="17" t="s">
        <v>79</v>
      </c>
      <c r="C4" s="99"/>
      <c r="D4" s="124">
        <v>60000</v>
      </c>
      <c r="E4" s="124">
        <f>D4*1.1</f>
        <v>66000</v>
      </c>
      <c r="F4" s="124">
        <f t="shared" ref="F4:J4" si="2">E4*1.1</f>
        <v>72600</v>
      </c>
      <c r="G4" s="124">
        <f t="shared" si="2"/>
        <v>79860</v>
      </c>
      <c r="H4" s="124">
        <f t="shared" si="2"/>
        <v>87846</v>
      </c>
      <c r="I4" s="124">
        <f t="shared" si="2"/>
        <v>96630.6</v>
      </c>
      <c r="J4" s="124">
        <f t="shared" si="2"/>
        <v>106293.66000000002</v>
      </c>
      <c r="K4" s="100"/>
    </row>
    <row r="5" spans="1:11">
      <c r="A5" s="18" t="s">
        <v>235</v>
      </c>
      <c r="B5" s="17" t="s">
        <v>79</v>
      </c>
      <c r="C5" s="99"/>
      <c r="D5" s="124">
        <v>900</v>
      </c>
      <c r="E5" s="124">
        <f>D5*1.1</f>
        <v>990.00000000000011</v>
      </c>
      <c r="F5" s="124">
        <f t="shared" ref="F5:J5" si="3">E5*1.1</f>
        <v>1089.0000000000002</v>
      </c>
      <c r="G5" s="124">
        <f t="shared" si="3"/>
        <v>1197.9000000000003</v>
      </c>
      <c r="H5" s="124">
        <f t="shared" si="3"/>
        <v>1317.6900000000005</v>
      </c>
      <c r="I5" s="124">
        <f t="shared" si="3"/>
        <v>1449.4590000000007</v>
      </c>
      <c r="J5" s="124">
        <f t="shared" si="3"/>
        <v>1594.4049000000009</v>
      </c>
      <c r="K5" s="100"/>
    </row>
    <row r="6" spans="1:11">
      <c r="A6" s="19" t="s">
        <v>85</v>
      </c>
      <c r="B6" s="16" t="s">
        <v>79</v>
      </c>
      <c r="C6" s="97"/>
      <c r="D6" s="126">
        <v>15000</v>
      </c>
      <c r="E6" s="126">
        <f>E7+E8</f>
        <v>16500</v>
      </c>
      <c r="F6" s="126">
        <f t="shared" ref="F6:J6" si="4">F7+F8</f>
        <v>18150.000000000004</v>
      </c>
      <c r="G6" s="126">
        <f t="shared" si="4"/>
        <v>19965.000000000004</v>
      </c>
      <c r="H6" s="126">
        <f t="shared" si="4"/>
        <v>21961.500000000007</v>
      </c>
      <c r="I6" s="126">
        <f t="shared" si="4"/>
        <v>24157.650000000012</v>
      </c>
      <c r="J6" s="126">
        <f t="shared" si="4"/>
        <v>26573.415000000019</v>
      </c>
      <c r="K6" s="98"/>
    </row>
    <row r="7" spans="1:11">
      <c r="A7" s="18" t="s">
        <v>81</v>
      </c>
      <c r="B7" s="17" t="s">
        <v>79</v>
      </c>
      <c r="C7" s="99"/>
      <c r="D7" s="124">
        <v>12500</v>
      </c>
      <c r="E7" s="124">
        <f>D7*1.1</f>
        <v>13750.000000000002</v>
      </c>
      <c r="F7" s="124">
        <f t="shared" ref="F7:J7" si="5">E7*1.1</f>
        <v>15125.000000000004</v>
      </c>
      <c r="G7" s="124">
        <f t="shared" si="5"/>
        <v>16637.500000000004</v>
      </c>
      <c r="H7" s="124">
        <f t="shared" si="5"/>
        <v>18301.250000000007</v>
      </c>
      <c r="I7" s="124">
        <f t="shared" si="5"/>
        <v>20131.375000000011</v>
      </c>
      <c r="J7" s="124">
        <f t="shared" si="5"/>
        <v>22144.512500000015</v>
      </c>
      <c r="K7" s="100"/>
    </row>
    <row r="8" spans="1:11">
      <c r="A8" s="18" t="s">
        <v>82</v>
      </c>
      <c r="B8" s="17" t="s">
        <v>79</v>
      </c>
      <c r="C8" s="99"/>
      <c r="D8" s="124">
        <v>2500</v>
      </c>
      <c r="E8" s="124">
        <f>D8*1.1</f>
        <v>2750</v>
      </c>
      <c r="F8" s="124">
        <f t="shared" ref="F8:J8" si="6">E8*1.1</f>
        <v>3025.0000000000005</v>
      </c>
      <c r="G8" s="124">
        <f t="shared" si="6"/>
        <v>3327.5000000000009</v>
      </c>
      <c r="H8" s="124">
        <f t="shared" si="6"/>
        <v>3660.2500000000014</v>
      </c>
      <c r="I8" s="124">
        <f t="shared" si="6"/>
        <v>4026.2750000000019</v>
      </c>
      <c r="J8" s="124">
        <f t="shared" si="6"/>
        <v>4428.9025000000029</v>
      </c>
      <c r="K8" s="100"/>
    </row>
    <row r="9" spans="1:11">
      <c r="A9" s="131"/>
      <c r="B9" s="137" t="s">
        <v>70</v>
      </c>
      <c r="C9" s="138"/>
      <c r="D9" s="139">
        <f>D2+D6</f>
        <v>110900</v>
      </c>
      <c r="E9" s="139">
        <f t="shared" ref="E9:J9" si="7">E2+E6</f>
        <v>121990</v>
      </c>
      <c r="F9" s="139">
        <f t="shared" si="7"/>
        <v>134189</v>
      </c>
      <c r="G9" s="139">
        <f t="shared" si="7"/>
        <v>147607.9</v>
      </c>
      <c r="H9" s="139">
        <f t="shared" si="7"/>
        <v>162368.69</v>
      </c>
      <c r="I9" s="139">
        <f t="shared" si="7"/>
        <v>178605.55900000004</v>
      </c>
      <c r="J9" s="139">
        <f t="shared" si="7"/>
        <v>196466.11490000004</v>
      </c>
      <c r="K9" s="100"/>
    </row>
    <row r="10" spans="1:11">
      <c r="A10" s="131"/>
      <c r="B10" s="17"/>
      <c r="C10" s="99"/>
      <c r="D10" s="133" t="s">
        <v>246</v>
      </c>
      <c r="E10" s="134"/>
      <c r="F10" s="134"/>
      <c r="G10" s="134"/>
      <c r="H10" s="134"/>
      <c r="I10" s="134"/>
      <c r="J10" s="135"/>
      <c r="K10" s="100"/>
    </row>
    <row r="11" spans="1:11">
      <c r="A11" s="131"/>
      <c r="B11" s="17"/>
      <c r="C11" s="99"/>
      <c r="D11" s="78" t="s">
        <v>3</v>
      </c>
      <c r="E11" s="78" t="s">
        <v>4</v>
      </c>
      <c r="F11" s="78" t="s">
        <v>5</v>
      </c>
      <c r="G11" s="78" t="s">
        <v>6</v>
      </c>
      <c r="H11" s="78" t="s">
        <v>7</v>
      </c>
      <c r="I11" s="78" t="s">
        <v>8</v>
      </c>
      <c r="J11" s="78" t="s">
        <v>9</v>
      </c>
      <c r="K11" s="100"/>
    </row>
    <row r="12" spans="1:11">
      <c r="A12" s="19" t="s">
        <v>87</v>
      </c>
      <c r="B12" s="16" t="s">
        <v>79</v>
      </c>
      <c r="C12" s="97"/>
      <c r="D12" s="126">
        <f>D13</f>
        <v>5250</v>
      </c>
      <c r="E12" s="126">
        <f>E13</f>
        <v>5512.5</v>
      </c>
      <c r="F12" s="126">
        <f t="shared" ref="F12:I12" si="8">F13</f>
        <v>5788.125</v>
      </c>
      <c r="G12" s="126">
        <f t="shared" si="8"/>
        <v>6077.53125</v>
      </c>
      <c r="H12" s="126">
        <f t="shared" si="8"/>
        <v>6381.4078125000005</v>
      </c>
      <c r="I12" s="126">
        <f t="shared" si="8"/>
        <v>6700.4782031250006</v>
      </c>
      <c r="J12" s="126">
        <f>J13</f>
        <v>7035.5021132812508</v>
      </c>
      <c r="K12" s="100"/>
    </row>
    <row r="13" spans="1:11" ht="51" customHeight="1">
      <c r="A13" s="127" t="s">
        <v>271</v>
      </c>
      <c r="B13" s="17" t="s">
        <v>79</v>
      </c>
      <c r="C13" s="99"/>
      <c r="D13" s="124">
        <f>5000*1.05</f>
        <v>5250</v>
      </c>
      <c r="E13" s="124">
        <f>D13*1.05</f>
        <v>5512.5</v>
      </c>
      <c r="F13" s="124">
        <f t="shared" ref="F13:J13" si="9">E13*1.05</f>
        <v>5788.125</v>
      </c>
      <c r="G13" s="124">
        <f t="shared" si="9"/>
        <v>6077.53125</v>
      </c>
      <c r="H13" s="124">
        <f t="shared" si="9"/>
        <v>6381.4078125000005</v>
      </c>
      <c r="I13" s="124">
        <f t="shared" si="9"/>
        <v>6700.4782031250006</v>
      </c>
      <c r="J13" s="124">
        <f t="shared" si="9"/>
        <v>7035.5021132812508</v>
      </c>
      <c r="K13" s="98"/>
    </row>
    <row r="14" spans="1:11" ht="15" customHeight="1">
      <c r="A14" s="19" t="s">
        <v>240</v>
      </c>
      <c r="B14" s="16" t="s">
        <v>79</v>
      </c>
      <c r="C14" s="97"/>
      <c r="D14" s="126">
        <f>D15</f>
        <v>6559.9999999999991</v>
      </c>
      <c r="E14" s="126">
        <f t="shared" ref="E14:J14" si="10">E15</f>
        <v>6887.9999999999991</v>
      </c>
      <c r="F14" s="126">
        <f t="shared" si="10"/>
        <v>7232.4</v>
      </c>
      <c r="G14" s="126">
        <f t="shared" si="10"/>
        <v>7594.0199999999995</v>
      </c>
      <c r="H14" s="126">
        <f t="shared" si="10"/>
        <v>7973.7209999999995</v>
      </c>
      <c r="I14" s="126">
        <f t="shared" si="10"/>
        <v>8372.4070499999998</v>
      </c>
      <c r="J14" s="126">
        <f t="shared" si="10"/>
        <v>8791.0274024999999</v>
      </c>
      <c r="K14" s="98"/>
    </row>
    <row r="15" spans="1:11" ht="30.75" customHeight="1">
      <c r="A15" s="127" t="s">
        <v>239</v>
      </c>
      <c r="B15" s="17" t="s">
        <v>79</v>
      </c>
      <c r="C15" s="99"/>
      <c r="D15" s="124">
        <f>(5000-1800)*2.05</f>
        <v>6559.9999999999991</v>
      </c>
      <c r="E15" s="124">
        <f>D15*1.05</f>
        <v>6887.9999999999991</v>
      </c>
      <c r="F15" s="124">
        <f t="shared" ref="F15:J15" si="11">E15*1.05</f>
        <v>7232.4</v>
      </c>
      <c r="G15" s="124">
        <f t="shared" si="11"/>
        <v>7594.0199999999995</v>
      </c>
      <c r="H15" s="124">
        <f t="shared" si="11"/>
        <v>7973.7209999999995</v>
      </c>
      <c r="I15" s="124">
        <f t="shared" si="11"/>
        <v>8372.4070499999998</v>
      </c>
      <c r="J15" s="124">
        <f t="shared" si="11"/>
        <v>8791.0274024999999</v>
      </c>
      <c r="K15" s="98"/>
    </row>
    <row r="16" spans="1:11" ht="30.75" customHeight="1">
      <c r="A16" s="132"/>
      <c r="B16" s="137" t="s">
        <v>70</v>
      </c>
      <c r="C16" s="138"/>
      <c r="D16" s="139">
        <f>D12+D14</f>
        <v>11810</v>
      </c>
      <c r="E16" s="139">
        <f t="shared" ref="E16:J16" si="12">E12+E14</f>
        <v>12400.5</v>
      </c>
      <c r="F16" s="139">
        <f t="shared" si="12"/>
        <v>13020.525</v>
      </c>
      <c r="G16" s="139">
        <f t="shared" si="12"/>
        <v>13671.55125</v>
      </c>
      <c r="H16" s="139">
        <f t="shared" si="12"/>
        <v>14355.128812499999</v>
      </c>
      <c r="I16" s="139">
        <f t="shared" si="12"/>
        <v>15072.885253125001</v>
      </c>
      <c r="J16" s="139">
        <f t="shared" si="12"/>
        <v>15826.529515781251</v>
      </c>
      <c r="K16" s="98"/>
    </row>
    <row r="17" spans="1:11" ht="30.75" customHeight="1">
      <c r="A17" s="132"/>
      <c r="B17" s="17"/>
      <c r="C17" s="99"/>
      <c r="D17" s="133" t="s">
        <v>242</v>
      </c>
      <c r="E17" s="134"/>
      <c r="F17" s="134"/>
      <c r="G17" s="134"/>
      <c r="H17" s="134"/>
      <c r="I17" s="134"/>
      <c r="J17" s="135"/>
      <c r="K17" s="98"/>
    </row>
    <row r="18" spans="1:11">
      <c r="A18" s="122"/>
      <c r="B18" s="17"/>
      <c r="C18" s="99"/>
      <c r="D18" s="78" t="s">
        <v>3</v>
      </c>
      <c r="E18" s="78" t="s">
        <v>4</v>
      </c>
      <c r="F18" s="78" t="s">
        <v>5</v>
      </c>
      <c r="G18" s="78" t="s">
        <v>6</v>
      </c>
      <c r="H18" s="78" t="s">
        <v>7</v>
      </c>
      <c r="I18" s="78" t="s">
        <v>8</v>
      </c>
      <c r="J18" s="78" t="s">
        <v>9</v>
      </c>
      <c r="K18" s="100"/>
    </row>
    <row r="19" spans="1:11">
      <c r="A19" s="19" t="s">
        <v>86</v>
      </c>
      <c r="B19" s="16" t="s">
        <v>79</v>
      </c>
      <c r="C19" s="97"/>
      <c r="D19" s="126">
        <f>SUM(D20:D34)</f>
        <v>136131.96</v>
      </c>
      <c r="E19" s="126">
        <f>+SUM(E20:E34)</f>
        <v>109401.5992</v>
      </c>
      <c r="F19" s="126">
        <f>+SUM(F20:F34)</f>
        <v>118437.58118400001</v>
      </c>
      <c r="G19" s="126">
        <f>+SUM(G20:G34)</f>
        <v>128313.64030768003</v>
      </c>
      <c r="H19" s="126">
        <f>+SUM(H20:H34)</f>
        <v>139110.74198883362</v>
      </c>
      <c r="I19" s="126">
        <f>+SUM(I20:I34)</f>
        <v>150917.7987473603</v>
      </c>
      <c r="J19" s="126">
        <f>+SUM(J20:J34)</f>
        <v>163832.45749699508</v>
      </c>
      <c r="K19" s="100"/>
    </row>
    <row r="20" spans="1:11">
      <c r="A20" s="20" t="s">
        <v>87</v>
      </c>
      <c r="B20" s="17" t="s">
        <v>79</v>
      </c>
      <c r="C20" s="99"/>
      <c r="D20" s="125">
        <v>1000</v>
      </c>
      <c r="E20" s="125">
        <f>D20*1.05</f>
        <v>1050</v>
      </c>
      <c r="F20" s="125">
        <f t="shared" ref="F20:J20" si="13">E20*1.05</f>
        <v>1102.5</v>
      </c>
      <c r="G20" s="125">
        <f t="shared" si="13"/>
        <v>1157.625</v>
      </c>
      <c r="H20" s="125">
        <f t="shared" si="13"/>
        <v>1215.5062500000001</v>
      </c>
      <c r="I20" s="125">
        <f t="shared" si="13"/>
        <v>1276.2815625000003</v>
      </c>
      <c r="J20" s="125">
        <f t="shared" si="13"/>
        <v>1340.0956406250004</v>
      </c>
      <c r="K20" s="100"/>
    </row>
    <row r="21" spans="1:11">
      <c r="A21" s="20" t="s">
        <v>88</v>
      </c>
      <c r="B21" s="17" t="s">
        <v>79</v>
      </c>
      <c r="C21" s="99"/>
      <c r="D21" s="125">
        <v>22500</v>
      </c>
      <c r="E21" s="125">
        <f>D21*1.1</f>
        <v>24750.000000000004</v>
      </c>
      <c r="F21" s="125">
        <f t="shared" ref="F21:J21" si="14">E21*1.1</f>
        <v>27225.000000000007</v>
      </c>
      <c r="G21" s="125">
        <f t="shared" si="14"/>
        <v>29947.500000000011</v>
      </c>
      <c r="H21" s="125">
        <f t="shared" si="14"/>
        <v>32942.250000000015</v>
      </c>
      <c r="I21" s="125">
        <f t="shared" si="14"/>
        <v>36236.47500000002</v>
      </c>
      <c r="J21" s="125">
        <f t="shared" si="14"/>
        <v>39860.122500000027</v>
      </c>
      <c r="K21" s="100"/>
    </row>
    <row r="22" spans="1:11">
      <c r="A22" s="20" t="s">
        <v>89</v>
      </c>
      <c r="B22" s="17" t="s">
        <v>79</v>
      </c>
      <c r="C22" s="99"/>
      <c r="D22" s="125">
        <v>2500</v>
      </c>
      <c r="E22" s="125">
        <f>D22*1.1</f>
        <v>2750</v>
      </c>
      <c r="F22" s="125">
        <f t="shared" ref="F22:J22" si="15">E22*1.1</f>
        <v>3025.0000000000005</v>
      </c>
      <c r="G22" s="125">
        <f t="shared" si="15"/>
        <v>3327.5000000000009</v>
      </c>
      <c r="H22" s="125">
        <f t="shared" si="15"/>
        <v>3660.2500000000014</v>
      </c>
      <c r="I22" s="125">
        <f t="shared" si="15"/>
        <v>4026.2750000000019</v>
      </c>
      <c r="J22" s="125">
        <f t="shared" si="15"/>
        <v>4428.9025000000029</v>
      </c>
      <c r="K22" s="100"/>
    </row>
    <row r="23" spans="1:11">
      <c r="A23" s="20" t="s">
        <v>90</v>
      </c>
      <c r="B23" s="17" t="s">
        <v>79</v>
      </c>
      <c r="C23" s="99"/>
      <c r="D23" s="125">
        <v>20000</v>
      </c>
      <c r="E23" s="125">
        <f>D23*1.1</f>
        <v>22000</v>
      </c>
      <c r="F23" s="125">
        <f t="shared" ref="F23:J23" si="16">E23*1.1</f>
        <v>24200.000000000004</v>
      </c>
      <c r="G23" s="125">
        <f t="shared" si="16"/>
        <v>26620.000000000007</v>
      </c>
      <c r="H23" s="125">
        <f t="shared" si="16"/>
        <v>29282.000000000011</v>
      </c>
      <c r="I23" s="125">
        <f t="shared" si="16"/>
        <v>32210.200000000015</v>
      </c>
      <c r="J23" s="125">
        <f t="shared" si="16"/>
        <v>35431.220000000023</v>
      </c>
      <c r="K23" s="100"/>
    </row>
    <row r="24" spans="1:11">
      <c r="A24" s="20" t="s">
        <v>91</v>
      </c>
      <c r="B24" s="17" t="s">
        <v>79</v>
      </c>
      <c r="C24" s="99"/>
      <c r="D24" s="125">
        <v>12000</v>
      </c>
      <c r="E24" s="125">
        <f>D24*1.05</f>
        <v>12600</v>
      </c>
      <c r="F24" s="125">
        <f t="shared" ref="F24:J24" si="17">E24*1.05</f>
        <v>13230</v>
      </c>
      <c r="G24" s="125">
        <f t="shared" si="17"/>
        <v>13891.5</v>
      </c>
      <c r="H24" s="125">
        <f t="shared" si="17"/>
        <v>14586.075000000001</v>
      </c>
      <c r="I24" s="125">
        <f t="shared" si="17"/>
        <v>15315.378750000002</v>
      </c>
      <c r="J24" s="125">
        <f t="shared" si="17"/>
        <v>16081.147687500003</v>
      </c>
      <c r="K24" s="100"/>
    </row>
    <row r="25" spans="1:11">
      <c r="A25" s="20" t="s">
        <v>92</v>
      </c>
      <c r="B25" s="17" t="s">
        <v>79</v>
      </c>
      <c r="C25" s="99"/>
      <c r="D25" s="125">
        <v>3000</v>
      </c>
      <c r="E25" s="125">
        <f>D25*1.05</f>
        <v>3150</v>
      </c>
      <c r="F25" s="125">
        <f t="shared" ref="F25:J25" si="18">E25*1.05</f>
        <v>3307.5</v>
      </c>
      <c r="G25" s="125">
        <f t="shared" si="18"/>
        <v>3472.875</v>
      </c>
      <c r="H25" s="125">
        <f t="shared" si="18"/>
        <v>3646.5187500000002</v>
      </c>
      <c r="I25" s="125">
        <f t="shared" si="18"/>
        <v>3828.8446875000004</v>
      </c>
      <c r="J25" s="125">
        <f t="shared" si="18"/>
        <v>4020.2869218750006</v>
      </c>
      <c r="K25" s="100"/>
    </row>
    <row r="26" spans="1:11">
      <c r="A26" s="20" t="s">
        <v>93</v>
      </c>
      <c r="B26" s="17" t="s">
        <v>79</v>
      </c>
      <c r="C26" s="99"/>
      <c r="D26" s="125">
        <v>2000</v>
      </c>
      <c r="E26" s="125">
        <f>D26*1.05</f>
        <v>2100</v>
      </c>
      <c r="F26" s="125">
        <f t="shared" ref="F26:J26" si="19">E26*1.05</f>
        <v>2205</v>
      </c>
      <c r="G26" s="125">
        <f t="shared" si="19"/>
        <v>2315.25</v>
      </c>
      <c r="H26" s="125">
        <f t="shared" si="19"/>
        <v>2431.0125000000003</v>
      </c>
      <c r="I26" s="125">
        <f t="shared" si="19"/>
        <v>2552.5631250000006</v>
      </c>
      <c r="J26" s="125">
        <f t="shared" si="19"/>
        <v>2680.1912812500009</v>
      </c>
      <c r="K26" s="100"/>
    </row>
    <row r="27" spans="1:11">
      <c r="A27" s="20" t="s">
        <v>95</v>
      </c>
      <c r="B27" s="17" t="s">
        <v>79</v>
      </c>
      <c r="C27" s="99"/>
      <c r="D27" s="125">
        <v>2500</v>
      </c>
      <c r="E27" s="125">
        <f>D27*1.05</f>
        <v>2625</v>
      </c>
      <c r="F27" s="125">
        <f t="shared" ref="F27:J27" si="20">E27*1.05</f>
        <v>2756.25</v>
      </c>
      <c r="G27" s="125">
        <f t="shared" si="20"/>
        <v>2894.0625</v>
      </c>
      <c r="H27" s="125">
        <f t="shared" si="20"/>
        <v>3038.765625</v>
      </c>
      <c r="I27" s="125">
        <f t="shared" si="20"/>
        <v>3190.7039062500003</v>
      </c>
      <c r="J27" s="125">
        <f t="shared" si="20"/>
        <v>3350.2391015625003</v>
      </c>
      <c r="K27" s="100"/>
    </row>
    <row r="28" spans="1:11">
      <c r="A28" s="20" t="s">
        <v>96</v>
      </c>
      <c r="B28" s="17" t="s">
        <v>79</v>
      </c>
      <c r="C28" s="99"/>
      <c r="D28" s="125">
        <v>5000</v>
      </c>
      <c r="E28" s="125">
        <f>D28*1.1</f>
        <v>5500</v>
      </c>
      <c r="F28" s="125">
        <f t="shared" ref="F28:J28" si="21">E28*1.1</f>
        <v>6050.0000000000009</v>
      </c>
      <c r="G28" s="125">
        <f t="shared" si="21"/>
        <v>6655.0000000000018</v>
      </c>
      <c r="H28" s="125">
        <f t="shared" si="21"/>
        <v>7320.5000000000027</v>
      </c>
      <c r="I28" s="125">
        <f t="shared" si="21"/>
        <v>8052.5500000000038</v>
      </c>
      <c r="J28" s="125">
        <f t="shared" si="21"/>
        <v>8857.8050000000057</v>
      </c>
      <c r="K28" s="100"/>
    </row>
    <row r="29" spans="1:11">
      <c r="A29" s="21" t="s">
        <v>97</v>
      </c>
      <c r="B29" s="17" t="s">
        <v>79</v>
      </c>
      <c r="C29" s="99"/>
      <c r="D29" s="125">
        <v>40000</v>
      </c>
      <c r="E29" s="125">
        <v>5000</v>
      </c>
      <c r="F29" s="125">
        <v>5000</v>
      </c>
      <c r="G29" s="125">
        <v>5000</v>
      </c>
      <c r="H29" s="125">
        <v>5000</v>
      </c>
      <c r="I29" s="125">
        <v>5000</v>
      </c>
      <c r="J29" s="125">
        <v>5000</v>
      </c>
      <c r="K29" s="100"/>
    </row>
    <row r="30" spans="1:11">
      <c r="A30" s="20" t="s">
        <v>98</v>
      </c>
      <c r="B30" s="17" t="s">
        <v>79</v>
      </c>
      <c r="C30" s="99"/>
      <c r="D30" s="125">
        <v>10900</v>
      </c>
      <c r="E30" s="125">
        <f>D30*1.1</f>
        <v>11990.000000000002</v>
      </c>
      <c r="F30" s="125">
        <f t="shared" ref="F30:J30" si="22">E30*1.1</f>
        <v>13189.000000000004</v>
      </c>
      <c r="G30" s="125">
        <f t="shared" si="22"/>
        <v>14507.900000000005</v>
      </c>
      <c r="H30" s="125">
        <f t="shared" si="22"/>
        <v>15958.690000000008</v>
      </c>
      <c r="I30" s="125">
        <f t="shared" si="22"/>
        <v>17554.559000000008</v>
      </c>
      <c r="J30" s="125">
        <f t="shared" si="22"/>
        <v>19310.014900000009</v>
      </c>
      <c r="K30" s="100"/>
    </row>
    <row r="31" spans="1:11">
      <c r="A31" s="20" t="s">
        <v>99</v>
      </c>
      <c r="B31" s="17" t="s">
        <v>79</v>
      </c>
      <c r="C31" s="99"/>
      <c r="D31" s="125">
        <v>10000</v>
      </c>
      <c r="E31" s="125">
        <f>D31*1.1</f>
        <v>11000</v>
      </c>
      <c r="F31" s="125">
        <f t="shared" ref="F31:J31" si="23">E31*1.1</f>
        <v>12100.000000000002</v>
      </c>
      <c r="G31" s="125">
        <f t="shared" si="23"/>
        <v>13310.000000000004</v>
      </c>
      <c r="H31" s="125">
        <f t="shared" si="23"/>
        <v>14641.000000000005</v>
      </c>
      <c r="I31" s="125">
        <f t="shared" si="23"/>
        <v>16105.100000000008</v>
      </c>
      <c r="J31" s="125">
        <f t="shared" si="23"/>
        <v>17715.610000000011</v>
      </c>
      <c r="K31" s="100"/>
    </row>
    <row r="32" spans="1:11">
      <c r="A32" s="20" t="s">
        <v>243</v>
      </c>
      <c r="B32" s="17" t="s">
        <v>79</v>
      </c>
      <c r="C32" s="99"/>
      <c r="D32" s="125">
        <v>2731.96</v>
      </c>
      <c r="E32" s="125">
        <f>D32*1.02</f>
        <v>2786.5992000000001</v>
      </c>
      <c r="F32" s="125">
        <f t="shared" ref="F32:J32" si="24">E32*1.02</f>
        <v>2842.3311840000001</v>
      </c>
      <c r="G32" s="125">
        <f t="shared" si="24"/>
        <v>2899.1778076800001</v>
      </c>
      <c r="H32" s="125">
        <f t="shared" si="24"/>
        <v>2957.1613638336003</v>
      </c>
      <c r="I32" s="125">
        <f t="shared" si="24"/>
        <v>3016.3045911102722</v>
      </c>
      <c r="J32" s="125">
        <f t="shared" si="24"/>
        <v>3076.6306829324776</v>
      </c>
      <c r="K32" s="100"/>
    </row>
    <row r="33" spans="1:11">
      <c r="A33" s="20" t="s">
        <v>100</v>
      </c>
      <c r="B33" s="17" t="s">
        <v>79</v>
      </c>
      <c r="C33" s="99"/>
      <c r="D33" s="125">
        <v>1500</v>
      </c>
      <c r="E33" s="125">
        <f>D33*1.05</f>
        <v>1575</v>
      </c>
      <c r="F33" s="125">
        <f t="shared" ref="F33:J33" si="25">E33*1.05</f>
        <v>1653.75</v>
      </c>
      <c r="G33" s="125">
        <f t="shared" si="25"/>
        <v>1736.4375</v>
      </c>
      <c r="H33" s="125">
        <f t="shared" si="25"/>
        <v>1823.2593750000001</v>
      </c>
      <c r="I33" s="125">
        <f t="shared" si="25"/>
        <v>1914.4223437500002</v>
      </c>
      <c r="J33" s="125">
        <f t="shared" si="25"/>
        <v>2010.1434609375003</v>
      </c>
      <c r="K33" s="23"/>
    </row>
    <row r="34" spans="1:11">
      <c r="A34" s="20" t="s">
        <v>101</v>
      </c>
      <c r="B34" s="17" t="s">
        <v>79</v>
      </c>
      <c r="C34" s="99"/>
      <c r="D34" s="125">
        <v>500</v>
      </c>
      <c r="E34" s="125">
        <f>D34*1.05</f>
        <v>525</v>
      </c>
      <c r="F34" s="125">
        <f t="shared" ref="F34:J34" si="26">E34*1.05</f>
        <v>551.25</v>
      </c>
      <c r="G34" s="125">
        <f t="shared" si="26"/>
        <v>578.8125</v>
      </c>
      <c r="H34" s="125">
        <f t="shared" si="26"/>
        <v>607.75312500000007</v>
      </c>
      <c r="I34" s="125">
        <f t="shared" si="26"/>
        <v>638.14078125000015</v>
      </c>
      <c r="J34" s="125">
        <f t="shared" si="26"/>
        <v>670.04782031250022</v>
      </c>
      <c r="K34" s="100"/>
    </row>
    <row r="35" spans="1:11">
      <c r="A35" s="19" t="s">
        <v>102</v>
      </c>
      <c r="B35" s="16" t="s">
        <v>79</v>
      </c>
      <c r="C35" s="97"/>
      <c r="D35" s="126">
        <f>D36</f>
        <v>10000</v>
      </c>
      <c r="E35" s="126">
        <f t="shared" ref="E35:J35" si="27">E36</f>
        <v>10000</v>
      </c>
      <c r="F35" s="126">
        <f t="shared" si="27"/>
        <v>10000</v>
      </c>
      <c r="G35" s="126">
        <f t="shared" si="27"/>
        <v>10000</v>
      </c>
      <c r="H35" s="126">
        <f t="shared" si="27"/>
        <v>10000</v>
      </c>
      <c r="I35" s="126">
        <f t="shared" si="27"/>
        <v>10000</v>
      </c>
      <c r="J35" s="126">
        <f t="shared" si="27"/>
        <v>10000</v>
      </c>
      <c r="K35" s="98"/>
    </row>
    <row r="36" spans="1:11" ht="15.75" thickBot="1">
      <c r="A36" s="22" t="s">
        <v>244</v>
      </c>
      <c r="B36" s="140" t="s">
        <v>79</v>
      </c>
      <c r="C36" s="141"/>
      <c r="D36" s="142">
        <v>10000</v>
      </c>
      <c r="E36" s="142">
        <v>10000</v>
      </c>
      <c r="F36" s="142">
        <v>10000</v>
      </c>
      <c r="G36" s="142">
        <v>10000</v>
      </c>
      <c r="H36" s="142">
        <v>10000</v>
      </c>
      <c r="I36" s="142">
        <v>10000</v>
      </c>
      <c r="J36" s="142">
        <v>10000</v>
      </c>
      <c r="K36" s="100"/>
    </row>
    <row r="37" spans="1:11">
      <c r="B37" s="137" t="s">
        <v>70</v>
      </c>
      <c r="C37" s="138"/>
      <c r="D37" s="139">
        <f>D19+D35</f>
        <v>146131.96</v>
      </c>
      <c r="E37" s="139">
        <f t="shared" ref="E37:J37" si="28">E19+E35</f>
        <v>119401.5992</v>
      </c>
      <c r="F37" s="139">
        <f t="shared" si="28"/>
        <v>128437.58118400001</v>
      </c>
      <c r="G37" s="139">
        <f t="shared" si="28"/>
        <v>138313.64030768003</v>
      </c>
      <c r="H37" s="139">
        <f t="shared" si="28"/>
        <v>149110.74198883362</v>
      </c>
      <c r="I37" s="139">
        <f t="shared" si="28"/>
        <v>160917.7987473603</v>
      </c>
      <c r="J37" s="139">
        <f t="shared" si="28"/>
        <v>173832.45749699508</v>
      </c>
    </row>
    <row r="40" spans="1:11" ht="15" customHeight="1">
      <c r="A40" s="224" t="s">
        <v>300</v>
      </c>
      <c r="B40" s="224"/>
      <c r="C40" s="224"/>
      <c r="D40" s="224"/>
      <c r="E40" s="224"/>
      <c r="F40" s="224"/>
      <c r="G40" s="224"/>
      <c r="H40" s="224"/>
      <c r="I40" s="224"/>
      <c r="J40" s="224"/>
    </row>
    <row r="41" spans="1:11">
      <c r="A41" s="224"/>
      <c r="B41" s="224"/>
      <c r="C41" s="224"/>
      <c r="D41" s="224"/>
      <c r="E41" s="224"/>
      <c r="F41" s="224"/>
      <c r="G41" s="224"/>
      <c r="H41" s="224"/>
      <c r="I41" s="224"/>
      <c r="J41" s="224"/>
    </row>
    <row r="42" spans="1:11">
      <c r="A42" s="224"/>
      <c r="B42" s="224"/>
      <c r="C42" s="224"/>
      <c r="D42" s="224"/>
      <c r="E42" s="224"/>
      <c r="F42" s="224"/>
      <c r="G42" s="224"/>
      <c r="H42" s="224"/>
      <c r="I42" s="224"/>
      <c r="J42" s="224"/>
    </row>
    <row r="43" spans="1:11">
      <c r="A43" s="224"/>
      <c r="B43" s="224"/>
      <c r="C43" s="224"/>
      <c r="D43" s="224"/>
      <c r="E43" s="224"/>
      <c r="F43" s="224"/>
      <c r="G43" s="224"/>
      <c r="H43" s="224"/>
      <c r="I43" s="224"/>
      <c r="J43" s="224"/>
    </row>
  </sheetData>
  <mergeCells count="3">
    <mergeCell ref="D17:J17"/>
    <mergeCell ref="D10:J10"/>
    <mergeCell ref="A40:J43"/>
  </mergeCells>
  <pageMargins left="0.7" right="0.7" top="0.75" bottom="0.75" header="0.3" footer="0.3"/>
  <pageSetup paperSize="9" orientation="portrait" r:id="rId1"/>
  <ignoredErrors>
    <ignoredError sqref="E6:J6 F14:J14 E13:J13" formula="1"/>
  </ignoredErrors>
</worksheet>
</file>

<file path=xl/worksheets/sheet8.xml><?xml version="1.0" encoding="utf-8"?>
<worksheet xmlns="http://schemas.openxmlformats.org/spreadsheetml/2006/main" xmlns:r="http://schemas.openxmlformats.org/officeDocument/2006/relationships">
  <dimension ref="A1:I26"/>
  <sheetViews>
    <sheetView topLeftCell="A7" workbookViewId="0">
      <selection activeCell="G26" sqref="G26"/>
    </sheetView>
  </sheetViews>
  <sheetFormatPr defaultRowHeight="15"/>
  <cols>
    <col min="1" max="1" width="36" customWidth="1"/>
    <col min="2" max="2" width="18.28515625" style="1" customWidth="1"/>
    <col min="3" max="3" width="13.28515625" customWidth="1"/>
    <col min="4" max="4" width="13" customWidth="1"/>
    <col min="5" max="5" width="14.7109375" customWidth="1"/>
    <col min="6" max="6" width="14.85546875" customWidth="1"/>
    <col min="7" max="7" width="11.7109375" customWidth="1"/>
    <col min="8" max="8" width="14.28515625" customWidth="1"/>
    <col min="9" max="9" width="12" customWidth="1"/>
  </cols>
  <sheetData>
    <row r="1" spans="1:9">
      <c r="A1" t="s">
        <v>289</v>
      </c>
    </row>
    <row r="2" spans="1:9">
      <c r="A2" t="s">
        <v>290</v>
      </c>
      <c r="B2" s="1">
        <f>'Cash Flow do Projecto'!B5-'Cash Flow do Projecto'!C6</f>
        <v>2296180.9207277778</v>
      </c>
      <c r="D2" t="s">
        <v>295</v>
      </c>
      <c r="E2" t="s">
        <v>293</v>
      </c>
    </row>
    <row r="3" spans="1:9" ht="15.75" thickBot="1">
      <c r="A3" t="s">
        <v>291</v>
      </c>
      <c r="B3" s="1">
        <v>1500000</v>
      </c>
      <c r="D3" t="s">
        <v>296</v>
      </c>
      <c r="E3" s="146">
        <v>0.03</v>
      </c>
    </row>
    <row r="4" spans="1:9" ht="15.75" thickBot="1">
      <c r="A4" s="216" t="s">
        <v>292</v>
      </c>
      <c r="B4" s="217">
        <f>B3*0.2</f>
        <v>300000</v>
      </c>
    </row>
    <row r="5" spans="1:9">
      <c r="A5" s="77" t="s">
        <v>294</v>
      </c>
      <c r="B5" s="136">
        <f>B2-(B3-B4)</f>
        <v>1096180.9207277778</v>
      </c>
    </row>
    <row r="6" spans="1:9" ht="15.75" thickBot="1"/>
    <row r="7" spans="1:9">
      <c r="B7" s="209" t="s">
        <v>280</v>
      </c>
      <c r="C7" s="210"/>
      <c r="D7" s="210"/>
      <c r="E7" s="210"/>
      <c r="F7" s="210"/>
      <c r="G7" s="210"/>
      <c r="H7" s="210"/>
      <c r="I7" s="211"/>
    </row>
    <row r="8" spans="1:9">
      <c r="B8" s="212" t="s">
        <v>281</v>
      </c>
      <c r="C8" s="213" t="s">
        <v>282</v>
      </c>
      <c r="D8" s="214" t="s">
        <v>283</v>
      </c>
      <c r="E8" s="214"/>
      <c r="F8" s="214"/>
      <c r="G8" s="213" t="s">
        <v>284</v>
      </c>
      <c r="H8" s="213" t="s">
        <v>285</v>
      </c>
      <c r="I8" s="215" t="s">
        <v>286</v>
      </c>
    </row>
    <row r="9" spans="1:9">
      <c r="B9" s="212"/>
      <c r="C9" s="213"/>
      <c r="D9" s="40" t="s">
        <v>287</v>
      </c>
      <c r="E9" s="40" t="s">
        <v>288</v>
      </c>
      <c r="F9" s="40" t="s">
        <v>1</v>
      </c>
      <c r="G9" s="213"/>
      <c r="H9" s="213"/>
      <c r="I9" s="215"/>
    </row>
    <row r="10" spans="1:9">
      <c r="B10" s="206">
        <v>0</v>
      </c>
      <c r="C10" s="207">
        <v>1096180.92</v>
      </c>
      <c r="D10" s="63">
        <v>0</v>
      </c>
      <c r="E10" s="63">
        <v>0</v>
      </c>
      <c r="F10" s="63">
        <v>0</v>
      </c>
      <c r="G10" s="63">
        <v>0</v>
      </c>
      <c r="H10" s="63">
        <v>0</v>
      </c>
      <c r="I10" s="208">
        <v>0</v>
      </c>
    </row>
    <row r="11" spans="1:9">
      <c r="B11" s="206">
        <v>1</v>
      </c>
      <c r="C11" s="3">
        <f>C10-D11</f>
        <v>1000560.5075999999</v>
      </c>
      <c r="D11" s="3">
        <f>F11-E11</f>
        <v>95620.412400000001</v>
      </c>
      <c r="E11" s="3">
        <f>C10*0.03</f>
        <v>32885.427599999995</v>
      </c>
      <c r="F11" s="3">
        <v>128505.84</v>
      </c>
      <c r="G11" s="3">
        <f>E11*0.04</f>
        <v>1315.4171039999999</v>
      </c>
      <c r="H11" s="3">
        <f>D11+E11+G11</f>
        <v>129821.25710399999</v>
      </c>
      <c r="I11" s="9">
        <f>E11+G11</f>
        <v>34200.844703999996</v>
      </c>
    </row>
    <row r="12" spans="1:9">
      <c r="B12" s="206">
        <v>2</v>
      </c>
      <c r="C12" s="3">
        <f>C11-D12</f>
        <v>902071.48282799986</v>
      </c>
      <c r="D12" s="3">
        <f t="shared" ref="D12:D20" si="0">F12-E12</f>
        <v>98489.024772000004</v>
      </c>
      <c r="E12" s="3">
        <f t="shared" ref="E12:E20" si="1">C11*0.03</f>
        <v>30016.815227999996</v>
      </c>
      <c r="F12" s="3">
        <v>128505.84</v>
      </c>
      <c r="G12" s="3">
        <f t="shared" ref="G12:G20" si="2">E12*0.04</f>
        <v>1200.6726091199998</v>
      </c>
      <c r="H12" s="3">
        <f t="shared" ref="H12:H20" si="3">D12+E12+G12</f>
        <v>129706.51260911999</v>
      </c>
      <c r="I12" s="9">
        <f t="shared" ref="I12:I20" si="4">E12+G12</f>
        <v>31217.487837119996</v>
      </c>
    </row>
    <row r="13" spans="1:9">
      <c r="B13" s="206">
        <v>3</v>
      </c>
      <c r="C13" s="3">
        <f t="shared" ref="C12:C20" si="5">C12-D13</f>
        <v>800627.78731283988</v>
      </c>
      <c r="D13" s="3">
        <f t="shared" si="0"/>
        <v>101443.69551516</v>
      </c>
      <c r="E13" s="3">
        <f t="shared" si="1"/>
        <v>27062.144484839995</v>
      </c>
      <c r="F13" s="3">
        <v>128505.84</v>
      </c>
      <c r="G13" s="3">
        <f t="shared" si="2"/>
        <v>1082.4857793935998</v>
      </c>
      <c r="H13" s="3">
        <f t="shared" si="3"/>
        <v>129588.32577939359</v>
      </c>
      <c r="I13" s="9">
        <f t="shared" si="4"/>
        <v>28144.630264233594</v>
      </c>
    </row>
    <row r="14" spans="1:9">
      <c r="B14" s="206">
        <v>4</v>
      </c>
      <c r="C14" s="3">
        <f t="shared" si="5"/>
        <v>696140.78093222505</v>
      </c>
      <c r="D14" s="3">
        <f t="shared" si="0"/>
        <v>104487.0063806148</v>
      </c>
      <c r="E14" s="3">
        <f t="shared" si="1"/>
        <v>24018.833619385194</v>
      </c>
      <c r="F14" s="3">
        <v>128505.84</v>
      </c>
      <c r="G14" s="3">
        <f t="shared" si="2"/>
        <v>960.75334477540775</v>
      </c>
      <c r="H14" s="3">
        <f t="shared" si="3"/>
        <v>129466.59334477541</v>
      </c>
      <c r="I14" s="9">
        <f t="shared" si="4"/>
        <v>24979.5869641606</v>
      </c>
    </row>
    <row r="15" spans="1:9">
      <c r="B15" s="206">
        <v>5</v>
      </c>
      <c r="C15" s="3">
        <f t="shared" si="5"/>
        <v>588519.16436019179</v>
      </c>
      <c r="D15" s="3">
        <f t="shared" si="0"/>
        <v>107621.61657203325</v>
      </c>
      <c r="E15" s="3">
        <f t="shared" si="1"/>
        <v>20884.22342796675</v>
      </c>
      <c r="F15" s="3">
        <v>128505.84</v>
      </c>
      <c r="G15" s="3">
        <f t="shared" si="2"/>
        <v>835.36893711867003</v>
      </c>
      <c r="H15" s="3">
        <f t="shared" si="3"/>
        <v>129341.20893711866</v>
      </c>
      <c r="I15" s="9">
        <f t="shared" si="4"/>
        <v>21719.59236508542</v>
      </c>
    </row>
    <row r="16" spans="1:9">
      <c r="B16" s="206">
        <v>6</v>
      </c>
      <c r="C16" s="3">
        <f t="shared" si="5"/>
        <v>477668.89929099753</v>
      </c>
      <c r="D16" s="3">
        <f t="shared" si="0"/>
        <v>110850.26506919424</v>
      </c>
      <c r="E16" s="3">
        <f t="shared" si="1"/>
        <v>17655.574930805753</v>
      </c>
      <c r="F16" s="3">
        <v>128505.84</v>
      </c>
      <c r="G16" s="3">
        <f t="shared" si="2"/>
        <v>706.22299723223011</v>
      </c>
      <c r="H16" s="3">
        <f t="shared" si="3"/>
        <v>129212.06299723222</v>
      </c>
      <c r="I16" s="9">
        <f t="shared" si="4"/>
        <v>18361.797928037984</v>
      </c>
    </row>
    <row r="17" spans="1:9">
      <c r="B17" s="206">
        <v>7</v>
      </c>
      <c r="C17" s="3">
        <f t="shared" si="5"/>
        <v>363493.12626972748</v>
      </c>
      <c r="D17" s="3">
        <f t="shared" si="0"/>
        <v>114175.77302127007</v>
      </c>
      <c r="E17" s="3">
        <f t="shared" si="1"/>
        <v>14330.066978729925</v>
      </c>
      <c r="F17" s="3">
        <v>128505.84</v>
      </c>
      <c r="G17" s="3">
        <f t="shared" si="2"/>
        <v>573.20267914919702</v>
      </c>
      <c r="H17" s="3">
        <f t="shared" si="3"/>
        <v>129079.04267914919</v>
      </c>
      <c r="I17" s="9">
        <f t="shared" si="4"/>
        <v>14903.269657879122</v>
      </c>
    </row>
    <row r="18" spans="1:9">
      <c r="B18" s="206">
        <v>8</v>
      </c>
      <c r="C18" s="3">
        <f t="shared" si="5"/>
        <v>245892.08005781932</v>
      </c>
      <c r="D18" s="3">
        <f t="shared" si="0"/>
        <v>117601.04621190818</v>
      </c>
      <c r="E18" s="3">
        <f t="shared" si="1"/>
        <v>10904.793788091823</v>
      </c>
      <c r="F18" s="3">
        <v>128505.84</v>
      </c>
      <c r="G18" s="3">
        <f t="shared" si="2"/>
        <v>436.19175152367296</v>
      </c>
      <c r="H18" s="3">
        <f t="shared" si="3"/>
        <v>128942.03175152367</v>
      </c>
      <c r="I18" s="9">
        <f t="shared" si="4"/>
        <v>11340.985539615496</v>
      </c>
    </row>
    <row r="19" spans="1:9">
      <c r="B19" s="206">
        <v>9</v>
      </c>
      <c r="C19" s="3">
        <f t="shared" si="5"/>
        <v>124763.0024595539</v>
      </c>
      <c r="D19" s="3">
        <f t="shared" si="0"/>
        <v>121129.07759826542</v>
      </c>
      <c r="E19" s="3">
        <f t="shared" si="1"/>
        <v>7376.7624017345788</v>
      </c>
      <c r="F19" s="3">
        <v>128505.84</v>
      </c>
      <c r="G19" s="3">
        <f t="shared" si="2"/>
        <v>295.07049606938318</v>
      </c>
      <c r="H19" s="3">
        <f t="shared" si="3"/>
        <v>128800.91049606938</v>
      </c>
      <c r="I19" s="9">
        <f t="shared" si="4"/>
        <v>7671.8328978039617</v>
      </c>
    </row>
    <row r="20" spans="1:9" ht="15.75" thickBot="1">
      <c r="B20" s="206">
        <v>10</v>
      </c>
      <c r="C20" s="89">
        <f t="shared" si="5"/>
        <v>5.2533340523950756E-2</v>
      </c>
      <c r="D20" s="3">
        <f t="shared" si="0"/>
        <v>124762.94992621338</v>
      </c>
      <c r="E20" s="89">
        <f t="shared" si="1"/>
        <v>3742.890073786617</v>
      </c>
      <c r="F20" s="3">
        <v>128505.84</v>
      </c>
      <c r="G20" s="89">
        <f t="shared" si="2"/>
        <v>149.71560295146469</v>
      </c>
      <c r="H20" s="89">
        <f t="shared" si="3"/>
        <v>128655.55560295146</v>
      </c>
      <c r="I20" s="166">
        <f t="shared" si="4"/>
        <v>3892.6056767380815</v>
      </c>
    </row>
    <row r="23" spans="1:9">
      <c r="A23" s="224" t="s">
        <v>301</v>
      </c>
      <c r="B23" s="224"/>
      <c r="C23" s="224"/>
      <c r="D23" s="224"/>
      <c r="E23" s="224"/>
    </row>
    <row r="24" spans="1:9">
      <c r="A24" s="224"/>
      <c r="B24" s="224"/>
      <c r="C24" s="224"/>
      <c r="D24" s="224"/>
      <c r="E24" s="224"/>
    </row>
    <row r="25" spans="1:9">
      <c r="A25" s="224"/>
      <c r="B25" s="224"/>
      <c r="C25" s="224"/>
      <c r="D25" s="224"/>
      <c r="E25" s="224"/>
    </row>
    <row r="26" spans="1:9" ht="30.75" customHeight="1">
      <c r="A26" s="224"/>
      <c r="B26" s="224"/>
      <c r="C26" s="224"/>
      <c r="D26" s="224"/>
      <c r="E26" s="224"/>
    </row>
  </sheetData>
  <mergeCells count="8">
    <mergeCell ref="I8:I9"/>
    <mergeCell ref="B7:I7"/>
    <mergeCell ref="A23:E26"/>
    <mergeCell ref="B8:B9"/>
    <mergeCell ref="C8:C9"/>
    <mergeCell ref="D8:F8"/>
    <mergeCell ref="G8:G9"/>
    <mergeCell ref="H8:H9"/>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B2:I29"/>
  <sheetViews>
    <sheetView topLeftCell="A7" workbookViewId="0">
      <selection activeCell="G14" sqref="G14"/>
    </sheetView>
  </sheetViews>
  <sheetFormatPr defaultRowHeight="15"/>
  <cols>
    <col min="2" max="2" width="17.140625" customWidth="1"/>
    <col min="3" max="3" width="16.5703125" style="1" customWidth="1"/>
    <col min="4" max="4" width="15" style="1" customWidth="1"/>
    <col min="5" max="5" width="13.140625" style="1" customWidth="1"/>
    <col min="6" max="6" width="13.42578125" style="1" customWidth="1"/>
    <col min="7" max="7" width="14.140625" style="1" customWidth="1"/>
    <col min="8" max="8" width="16" style="1" customWidth="1"/>
    <col min="9" max="9" width="15" style="1" customWidth="1"/>
  </cols>
  <sheetData>
    <row r="2" spans="2:9">
      <c r="B2" s="129" t="s">
        <v>230</v>
      </c>
      <c r="C2" s="129"/>
      <c r="D2" s="129"/>
      <c r="E2" s="129"/>
      <c r="F2" s="129"/>
      <c r="G2" s="129"/>
      <c r="H2" s="129"/>
      <c r="I2" s="129"/>
    </row>
    <row r="4" spans="2:9">
      <c r="B4" s="102"/>
      <c r="C4" s="58" t="s">
        <v>264</v>
      </c>
      <c r="D4" s="58" t="s">
        <v>265</v>
      </c>
      <c r="E4" s="58" t="s">
        <v>180</v>
      </c>
      <c r="F4" s="58" t="s">
        <v>231</v>
      </c>
      <c r="G4" s="58" t="s">
        <v>272</v>
      </c>
      <c r="H4" s="58" t="s">
        <v>232</v>
      </c>
      <c r="I4" s="58" t="s">
        <v>233</v>
      </c>
    </row>
    <row r="5" spans="2:9">
      <c r="B5" s="52" t="s">
        <v>3</v>
      </c>
      <c r="C5" s="3">
        <v>12000</v>
      </c>
      <c r="D5" s="3">
        <v>5000</v>
      </c>
      <c r="E5" s="3">
        <f>'Cash Flow do Projecto'!E6</f>
        <v>840700</v>
      </c>
      <c r="F5" s="3">
        <f>E5*((360-$C$17)/360)</f>
        <v>817347.22222222225</v>
      </c>
      <c r="G5" s="3">
        <f>I23</f>
        <v>547094.0148</v>
      </c>
      <c r="H5" s="3">
        <f>G5*((360-$C$18)/360)</f>
        <v>478707.26295</v>
      </c>
      <c r="I5" s="3">
        <f>C5+D5+F5-H5</f>
        <v>355639.95927222224</v>
      </c>
    </row>
    <row r="6" spans="2:9">
      <c r="B6" s="52" t="s">
        <v>4</v>
      </c>
      <c r="C6" s="3">
        <v>0</v>
      </c>
      <c r="D6" s="3">
        <v>0</v>
      </c>
      <c r="E6" s="3">
        <f>'Cash Flow do Projecto'!E7</f>
        <v>1068125</v>
      </c>
      <c r="F6" s="3">
        <f t="shared" ref="F6:F11" si="0">E6*((360-$C$17)/360)</f>
        <v>1038454.8611111111</v>
      </c>
      <c r="G6" s="3">
        <f>'Cash Flow do Projecto'!F7</f>
        <v>689363.03256028797</v>
      </c>
      <c r="H6" s="3">
        <f t="shared" ref="H6:H10" si="1">G6*((360-$C$18)/360)</f>
        <v>603192.65349025198</v>
      </c>
      <c r="I6" s="3">
        <f t="shared" ref="I6:I11" si="2">C6+D6+F6-H6</f>
        <v>435262.20762085915</v>
      </c>
    </row>
    <row r="7" spans="2:9">
      <c r="B7" s="52" t="s">
        <v>5</v>
      </c>
      <c r="C7" s="3">
        <v>0</v>
      </c>
      <c r="D7" s="3">
        <v>0</v>
      </c>
      <c r="E7" s="3">
        <f>'Cash Flow do Projecto'!E8</f>
        <v>1258550</v>
      </c>
      <c r="F7" s="3">
        <f t="shared" si="0"/>
        <v>1223590.2777777778</v>
      </c>
      <c r="G7" s="3">
        <f>'Cash Flow do Projecto'!F8</f>
        <v>761884.81155667664</v>
      </c>
      <c r="H7" s="3">
        <f t="shared" si="1"/>
        <v>666649.21011209209</v>
      </c>
      <c r="I7" s="3">
        <f t="shared" si="2"/>
        <v>556941.06766568567</v>
      </c>
    </row>
    <row r="8" spans="2:9">
      <c r="B8" s="52" t="s">
        <v>6</v>
      </c>
      <c r="C8" s="3">
        <v>0</v>
      </c>
      <c r="D8" s="3">
        <v>0</v>
      </c>
      <c r="E8" s="3">
        <f>'Cash Flow do Projecto'!E9</f>
        <v>1540825</v>
      </c>
      <c r="F8" s="3">
        <f t="shared" si="0"/>
        <v>1498024.3055555555</v>
      </c>
      <c r="G8" s="3">
        <f>'Cash Flow do Projecto'!F9</f>
        <v>853638.51829549589</v>
      </c>
      <c r="H8" s="3">
        <f t="shared" si="1"/>
        <v>746933.70350855892</v>
      </c>
      <c r="I8" s="3">
        <f t="shared" si="2"/>
        <v>751090.60204699659</v>
      </c>
    </row>
    <row r="9" spans="2:9">
      <c r="B9" s="52" t="s">
        <v>7</v>
      </c>
      <c r="C9" s="3">
        <v>0</v>
      </c>
      <c r="D9" s="3">
        <v>0</v>
      </c>
      <c r="E9" s="3">
        <f>'Cash Flow do Projecto'!E10</f>
        <v>1719050</v>
      </c>
      <c r="F9" s="3">
        <f t="shared" si="0"/>
        <v>1671298.611111111</v>
      </c>
      <c r="G9" s="3">
        <f>'Cash Flow do Projecto'!F10</f>
        <v>916751.6600205251</v>
      </c>
      <c r="H9" s="3">
        <f t="shared" si="1"/>
        <v>802157.70251795952</v>
      </c>
      <c r="I9" s="3">
        <f t="shared" si="2"/>
        <v>869140.90859315149</v>
      </c>
    </row>
    <row r="10" spans="2:9">
      <c r="B10" s="52" t="s">
        <v>8</v>
      </c>
      <c r="C10" s="3">
        <v>0</v>
      </c>
      <c r="D10" s="3">
        <v>0</v>
      </c>
      <c r="E10" s="3">
        <f>'Cash Flow do Projecto'!E11</f>
        <v>2060850</v>
      </c>
      <c r="F10" s="3">
        <f t="shared" si="0"/>
        <v>2003604.1666666667</v>
      </c>
      <c r="G10" s="3">
        <f>'Cash Flow do Projecto'!F11</f>
        <v>1082709.3004640192</v>
      </c>
      <c r="H10" s="3">
        <f t="shared" si="1"/>
        <v>947370.63790601678</v>
      </c>
      <c r="I10" s="3">
        <f t="shared" si="2"/>
        <v>1056233.52876065</v>
      </c>
    </row>
    <row r="11" spans="2:9">
      <c r="B11" s="52" t="s">
        <v>9</v>
      </c>
      <c r="C11" s="3">
        <v>0</v>
      </c>
      <c r="D11" s="3">
        <v>0</v>
      </c>
      <c r="E11" s="3">
        <f>'Cash Flow do Projecto'!E12</f>
        <v>2229750</v>
      </c>
      <c r="F11" s="3">
        <f t="shared" si="0"/>
        <v>2167812.5</v>
      </c>
      <c r="G11" s="3">
        <f>'Cash Flow do Projecto'!F12</f>
        <v>1180688.4475046312</v>
      </c>
      <c r="H11" s="3">
        <f>G11*((360-$C$18)/360)</f>
        <v>1033102.3915665523</v>
      </c>
      <c r="I11" s="3">
        <f t="shared" si="2"/>
        <v>1134710.1084334478</v>
      </c>
    </row>
    <row r="12" spans="2:9">
      <c r="B12" s="201"/>
      <c r="C12" s="202"/>
      <c r="D12" s="202"/>
      <c r="E12" s="202"/>
      <c r="F12" s="202"/>
      <c r="G12" s="202"/>
      <c r="H12" s="203" t="s">
        <v>274</v>
      </c>
      <c r="I12" s="203">
        <f>I10-I11</f>
        <v>-78476.579672797816</v>
      </c>
    </row>
    <row r="13" spans="2:9">
      <c r="B13" s="201"/>
      <c r="C13" s="202"/>
      <c r="D13" s="202"/>
      <c r="E13" s="202"/>
      <c r="F13" s="202"/>
      <c r="G13" s="202"/>
      <c r="H13" s="203" t="s">
        <v>276</v>
      </c>
      <c r="I13" s="203">
        <v>-17500</v>
      </c>
    </row>
    <row r="14" spans="2:9" ht="33.75" customHeight="1">
      <c r="H14" s="204" t="s">
        <v>275</v>
      </c>
      <c r="I14" s="196">
        <f>I12-I13</f>
        <v>-60976.579672797816</v>
      </c>
    </row>
    <row r="15" spans="2:9">
      <c r="B15" s="35" t="s">
        <v>234</v>
      </c>
    </row>
    <row r="17" spans="2:9" ht="46.5" customHeight="1">
      <c r="B17" s="191" t="s">
        <v>266</v>
      </c>
      <c r="C17" s="192">
        <v>10</v>
      </c>
      <c r="D17" s="194" t="s">
        <v>270</v>
      </c>
      <c r="E17" s="194"/>
      <c r="F17" s="194"/>
      <c r="G17" s="194"/>
      <c r="H17" s="194"/>
      <c r="I17" s="194"/>
    </row>
    <row r="18" spans="2:9">
      <c r="B18" t="s">
        <v>267</v>
      </c>
      <c r="C18" s="193">
        <v>45</v>
      </c>
    </row>
    <row r="22" spans="2:9">
      <c r="B22" t="s">
        <v>272</v>
      </c>
      <c r="C22" s="170" t="s">
        <v>161</v>
      </c>
      <c r="D22" s="71" t="s">
        <v>268</v>
      </c>
      <c r="E22" s="162" t="s">
        <v>241</v>
      </c>
      <c r="F22" s="51" t="s">
        <v>94</v>
      </c>
      <c r="G22" s="162" t="s">
        <v>273</v>
      </c>
      <c r="H22" s="51" t="s">
        <v>87</v>
      </c>
      <c r="I22" s="198" t="s">
        <v>70</v>
      </c>
    </row>
    <row r="23" spans="2:9">
      <c r="B23" t="s">
        <v>3</v>
      </c>
      <c r="C23" s="43">
        <f>'Custos com Pessoal'!G17</f>
        <v>267766</v>
      </c>
      <c r="D23" s="43">
        <f>DRLP!K6*1.13</f>
        <v>165129.11479999998</v>
      </c>
      <c r="E23" s="197">
        <f>DRLP!C6*1.06</f>
        <v>10668.9</v>
      </c>
      <c r="F23" s="43">
        <f>DRLP!D6</f>
        <v>90825</v>
      </c>
      <c r="G23" s="197">
        <f>DRLP!G6*1.21</f>
        <v>6352.5</v>
      </c>
      <c r="H23" s="43">
        <f>DRLP!G6*1.21</f>
        <v>6352.5</v>
      </c>
      <c r="I23" s="196">
        <f>C23+D23+E23+F23+G23+H23</f>
        <v>547094.0148</v>
      </c>
    </row>
    <row r="24" spans="2:9">
      <c r="B24" t="s">
        <v>4</v>
      </c>
      <c r="C24" s="43">
        <f>'Custos com Pessoal'!G18</f>
        <v>279652.32</v>
      </c>
      <c r="D24" s="43">
        <f>DRLP!K7*1.13</f>
        <v>134923.80709599997</v>
      </c>
      <c r="E24" s="197">
        <f>DRLP!C7*1.06</f>
        <v>12476.2</v>
      </c>
      <c r="F24" s="43">
        <f>DRLP!D7</f>
        <v>116112.49999999999</v>
      </c>
      <c r="G24" s="197">
        <f>DRLP!G7*1.21</f>
        <v>6670.125</v>
      </c>
      <c r="H24" s="43">
        <f>DRLP!G7*1.21</f>
        <v>6670.125</v>
      </c>
      <c r="I24" s="196">
        <f t="shared" ref="I24:I29" si="3">C24+D24+E24+F24+G24+H24</f>
        <v>556505.07709599996</v>
      </c>
    </row>
    <row r="25" spans="2:9">
      <c r="B25" t="s">
        <v>5</v>
      </c>
      <c r="C25" s="43">
        <f>'Custos com Pessoal'!G19</f>
        <v>293584.25</v>
      </c>
      <c r="D25" s="43">
        <f>DRLP!K8*1.13</f>
        <v>145134.46673792001</v>
      </c>
      <c r="E25" s="197">
        <f>DRLP!C8*1.06</f>
        <v>15582</v>
      </c>
      <c r="F25" s="43">
        <f>DRLP!D8</f>
        <v>136150</v>
      </c>
      <c r="G25" s="197">
        <f>DRLP!G8*1.21</f>
        <v>7003.6312499999995</v>
      </c>
      <c r="H25" s="43">
        <f>DRLP!G8*1.21</f>
        <v>7003.6312499999995</v>
      </c>
      <c r="I25" s="196">
        <f t="shared" si="3"/>
        <v>604457.97923791991</v>
      </c>
    </row>
    <row r="26" spans="2:9">
      <c r="B26" t="s">
        <v>6</v>
      </c>
      <c r="C26" s="43">
        <f>'Custos com Pessoal'!G20</f>
        <v>306688.60250000004</v>
      </c>
      <c r="D26" s="43">
        <f>DRLP!K9*1.13</f>
        <v>156294.41354767841</v>
      </c>
      <c r="E26" s="197">
        <f>DRLP!C9*1.06</f>
        <v>16917.600000000002</v>
      </c>
      <c r="F26" s="43">
        <f>DRLP!D9</f>
        <v>167256.25</v>
      </c>
      <c r="G26" s="197">
        <f>DRLP!G9*1.21</f>
        <v>7353.8128124999994</v>
      </c>
      <c r="H26" s="43">
        <f>DRLP!G9*1.21</f>
        <v>7353.8128124999994</v>
      </c>
      <c r="I26" s="196">
        <f t="shared" si="3"/>
        <v>661864.4916726785</v>
      </c>
    </row>
    <row r="27" spans="2:9">
      <c r="B27" t="s">
        <v>7</v>
      </c>
      <c r="C27" s="43">
        <f>'Custos com Pessoal'!G21</f>
        <v>321974.05262500001</v>
      </c>
      <c r="D27" s="43">
        <f>DRLP!K10*1.13</f>
        <v>168495.13844738196</v>
      </c>
      <c r="E27" s="197">
        <f>DRLP!C10*1.06</f>
        <v>19525.2</v>
      </c>
      <c r="F27" s="43">
        <f>DRLP!D10</f>
        <v>187302.5</v>
      </c>
      <c r="G27" s="197">
        <f>DRLP!G10*1.21</f>
        <v>7721.5034531250003</v>
      </c>
      <c r="H27" s="43">
        <f>DRLP!G10*1.21</f>
        <v>7721.5034531250003</v>
      </c>
      <c r="I27" s="196">
        <f t="shared" si="3"/>
        <v>712739.89797863201</v>
      </c>
    </row>
    <row r="28" spans="2:9">
      <c r="B28" t="s">
        <v>8</v>
      </c>
      <c r="C28" s="43">
        <f>'Custos com Pessoal'!G22</f>
        <v>336421.06175624998</v>
      </c>
      <c r="D28" s="43">
        <f>DRLP!K11*1.13</f>
        <v>181837.11258451713</v>
      </c>
      <c r="E28" s="197">
        <f>DRLP!C11*1.06</f>
        <v>23404.800000000003</v>
      </c>
      <c r="F28" s="43">
        <f>DRLP!D11</f>
        <v>227237.5</v>
      </c>
      <c r="G28" s="197">
        <f>DRLP!G11*1.21</f>
        <v>8107.5786257812506</v>
      </c>
      <c r="H28" s="43">
        <f>DRLP!G11*1.21</f>
        <v>8107.5786257812506</v>
      </c>
      <c r="I28" s="196">
        <f t="shared" si="3"/>
        <v>785115.63159232959</v>
      </c>
    </row>
    <row r="29" spans="2:9">
      <c r="B29" t="s">
        <v>9</v>
      </c>
      <c r="C29" s="43">
        <f>'Custos com Pessoal'!G23</f>
        <v>353192.76484406256</v>
      </c>
      <c r="D29" s="43">
        <f>DRLP!K12*1.13</f>
        <v>196430.67697160441</v>
      </c>
      <c r="E29" s="197">
        <f>DRLP!C12*1.06</f>
        <v>27560</v>
      </c>
      <c r="F29" s="43">
        <f>DRLP!D12</f>
        <v>243486.24999999997</v>
      </c>
      <c r="G29" s="197">
        <f>DRLP!G12*1.21</f>
        <v>8512.9575570703128</v>
      </c>
      <c r="H29" s="43">
        <f>DRLP!G12*1.21</f>
        <v>8512.9575570703128</v>
      </c>
      <c r="I29" s="196">
        <f t="shared" si="3"/>
        <v>837695.60692980757</v>
      </c>
    </row>
  </sheetData>
  <mergeCells count="2">
    <mergeCell ref="D17:I17"/>
    <mergeCell ref="B2:I2"/>
  </mergeCells>
  <pageMargins left="0.7" right="0.7" top="0.75" bottom="0.75" header="0.3" footer="0.3"/>
  <pageSetup paperSize="9" orientation="portrait" horizontalDpi="200" verticalDpi="200" r:id="rId1"/>
</worksheet>
</file>

<file path=xl/worksheets/sheet10.xml><?xml version="1.0" encoding="utf-8"?>
<worksheet xmlns="http://schemas.openxmlformats.org/spreadsheetml/2006/main" xmlns:r="http://schemas.openxmlformats.org/officeDocument/2006/relationships">
  <dimension ref="A2:R30"/>
  <sheetViews>
    <sheetView topLeftCell="D13" workbookViewId="0">
      <selection activeCell="J25" sqref="J25"/>
    </sheetView>
  </sheetViews>
  <sheetFormatPr defaultRowHeight="15"/>
  <cols>
    <col min="2" max="2" width="13.28515625" style="1" bestFit="1" customWidth="1"/>
    <col min="3" max="3" width="11.140625" style="1" customWidth="1"/>
    <col min="4" max="4" width="15.42578125" style="1" customWidth="1"/>
    <col min="5" max="6" width="13.85546875" customWidth="1"/>
    <col min="7" max="7" width="12.28515625" customWidth="1"/>
    <col min="8" max="8" width="12.85546875" customWidth="1"/>
    <col min="9" max="9" width="11.5703125" bestFit="1" customWidth="1"/>
    <col min="10" max="10" width="13.140625" customWidth="1"/>
    <col min="11" max="11" width="11.5703125" style="1" bestFit="1" customWidth="1"/>
    <col min="12" max="12" width="12.85546875" customWidth="1"/>
    <col min="13" max="13" width="15" bestFit="1" customWidth="1"/>
    <col min="14" max="14" width="13.85546875" bestFit="1" customWidth="1"/>
    <col min="15" max="15" width="13.5703125" style="1" bestFit="1" customWidth="1"/>
    <col min="16" max="16" width="13" customWidth="1"/>
    <col min="17" max="17" width="12.140625" style="1" customWidth="1"/>
    <col min="18" max="18" width="13.5703125" style="1" customWidth="1"/>
  </cols>
  <sheetData>
    <row r="2" spans="1:18">
      <c r="I2" s="47" t="s">
        <v>151</v>
      </c>
      <c r="J2" s="48"/>
      <c r="K2" s="143"/>
      <c r="L2" s="48"/>
      <c r="M2" s="48"/>
    </row>
    <row r="3" spans="1:18" ht="15.75" thickBot="1"/>
    <row r="4" spans="1:18">
      <c r="A4" s="152" t="s">
        <v>152</v>
      </c>
      <c r="B4" s="173" t="s">
        <v>61</v>
      </c>
      <c r="C4" s="167" t="s">
        <v>254</v>
      </c>
      <c r="D4" s="168"/>
      <c r="E4" s="169"/>
      <c r="F4" s="159" t="s">
        <v>153</v>
      </c>
      <c r="G4" s="160"/>
      <c r="H4" s="160"/>
      <c r="I4" s="161"/>
      <c r="J4" s="167" t="s">
        <v>154</v>
      </c>
      <c r="K4" s="168"/>
      <c r="L4" s="169"/>
      <c r="M4" s="153" t="s">
        <v>155</v>
      </c>
      <c r="N4" s="49" t="s">
        <v>156</v>
      </c>
      <c r="O4" s="57" t="s">
        <v>157</v>
      </c>
      <c r="P4" s="49" t="s">
        <v>158</v>
      </c>
      <c r="Q4" s="57" t="s">
        <v>259</v>
      </c>
      <c r="R4" s="57" t="s">
        <v>159</v>
      </c>
    </row>
    <row r="5" spans="1:18" ht="45" customHeight="1">
      <c r="A5" s="171"/>
      <c r="B5" s="174"/>
      <c r="C5" s="170" t="s">
        <v>241</v>
      </c>
      <c r="D5" s="71" t="s">
        <v>94</v>
      </c>
      <c r="E5" s="163" t="s">
        <v>160</v>
      </c>
      <c r="F5" s="162" t="s">
        <v>252</v>
      </c>
      <c r="G5" s="51" t="s">
        <v>87</v>
      </c>
      <c r="H5" s="51" t="s">
        <v>253</v>
      </c>
      <c r="I5" s="163" t="s">
        <v>160</v>
      </c>
      <c r="J5" s="162" t="s">
        <v>161</v>
      </c>
      <c r="K5" s="144" t="s">
        <v>245</v>
      </c>
      <c r="L5" s="163" t="s">
        <v>160</v>
      </c>
      <c r="M5" s="177"/>
      <c r="N5" s="50"/>
      <c r="O5" s="58"/>
      <c r="P5" s="50"/>
      <c r="Q5" s="58"/>
      <c r="R5" s="58"/>
    </row>
    <row r="6" spans="1:18">
      <c r="A6" s="172">
        <v>1</v>
      </c>
      <c r="B6" s="175">
        <f>'Receitas Exploração'!B38:D38</f>
        <v>840700</v>
      </c>
      <c r="C6" s="164">
        <f>'Receitas Exploração'!B43</f>
        <v>10065</v>
      </c>
      <c r="D6" s="3">
        <f>'Receitas Exploração'!D39*0.175</f>
        <v>90825</v>
      </c>
      <c r="E6" s="9">
        <f>C6+D6</f>
        <v>100890</v>
      </c>
      <c r="F6" s="164">
        <f>'Despesas Exploração'!D9</f>
        <v>110900</v>
      </c>
      <c r="G6" s="3">
        <f>'Despesas Exploração'!D12</f>
        <v>5250</v>
      </c>
      <c r="H6" s="3">
        <f>'Despesas Exploração'!D14</f>
        <v>6559.9999999999991</v>
      </c>
      <c r="I6" s="9">
        <f>F6++G6+H6</f>
        <v>122710</v>
      </c>
      <c r="J6" s="164">
        <f>'Custos com Pessoal'!G17</f>
        <v>267766</v>
      </c>
      <c r="K6" s="3">
        <f>'Despesas Exploração'!D37</f>
        <v>146131.96</v>
      </c>
      <c r="L6" s="9">
        <f>J6+K6</f>
        <v>413897.95999999996</v>
      </c>
      <c r="M6" s="158">
        <f>B6-D6-I6-L6</f>
        <v>213267.04000000004</v>
      </c>
      <c r="N6" s="3">
        <f>Amortizações!K3</f>
        <v>106989.459825</v>
      </c>
      <c r="O6" s="3">
        <f>Financiamento!I11</f>
        <v>34200.844703999996</v>
      </c>
      <c r="P6" s="3">
        <f>M6-N6-O6</f>
        <v>72076.735471000051</v>
      </c>
      <c r="Q6" s="3">
        <v>0</v>
      </c>
      <c r="R6" s="3">
        <f>P6-Q6</f>
        <v>72076.735471000051</v>
      </c>
    </row>
    <row r="7" spans="1:18">
      <c r="A7" s="172">
        <v>2</v>
      </c>
      <c r="B7" s="175">
        <f>'Receitas Exploração'!E38</f>
        <v>1068125</v>
      </c>
      <c r="C7" s="164">
        <f>'Receitas Exploração'!E43</f>
        <v>11770</v>
      </c>
      <c r="D7" s="3">
        <f>'Receitas Exploração'!G39*0.175</f>
        <v>116112.49999999999</v>
      </c>
      <c r="E7" s="9">
        <f t="shared" ref="E7:E12" si="0">C7+D7</f>
        <v>127882.49999999999</v>
      </c>
      <c r="F7" s="164">
        <f>'Despesas Exploração'!E9</f>
        <v>121990</v>
      </c>
      <c r="G7" s="3">
        <f>G6*1.05</f>
        <v>5512.5</v>
      </c>
      <c r="H7" s="3">
        <f>H6*1.05</f>
        <v>6887.9999999999991</v>
      </c>
      <c r="I7" s="9">
        <f t="shared" ref="I7:I12" si="1">F7++G7+H7</f>
        <v>134390.5</v>
      </c>
      <c r="J7" s="164">
        <f>'Custos com Pessoal'!G18</f>
        <v>279652.32</v>
      </c>
      <c r="K7" s="3">
        <f>'Despesas Exploração'!E37</f>
        <v>119401.5992</v>
      </c>
      <c r="L7" s="9">
        <f t="shared" ref="L7:L12" si="2">J7+K7</f>
        <v>399053.9192</v>
      </c>
      <c r="M7" s="158">
        <f>B7-D7-I7-L7</f>
        <v>418568.0808</v>
      </c>
      <c r="N7" s="3">
        <f>Amortizações!K4</f>
        <v>106989.45936000001</v>
      </c>
      <c r="O7" s="3">
        <f>Financiamento!I12</f>
        <v>31217.487837119996</v>
      </c>
      <c r="P7" s="3">
        <f t="shared" ref="P7:P12" si="3">M7-N7-O7</f>
        <v>280361.13360288</v>
      </c>
      <c r="Q7" s="3">
        <f>P7*0.1</f>
        <v>28036.113360288</v>
      </c>
      <c r="R7" s="3">
        <f t="shared" ref="R7:R12" si="4">P7-Q7</f>
        <v>252325.020242592</v>
      </c>
    </row>
    <row r="8" spans="1:18">
      <c r="A8" s="172">
        <v>3</v>
      </c>
      <c r="B8" s="175">
        <f>'Receitas Exploração'!H38</f>
        <v>1258550</v>
      </c>
      <c r="C8" s="164">
        <f>'Receitas Exploração'!H43</f>
        <v>14700</v>
      </c>
      <c r="D8" s="3">
        <f>'Receitas Exploração'!J39*0.175</f>
        <v>136150</v>
      </c>
      <c r="E8" s="9">
        <f t="shared" si="0"/>
        <v>150850</v>
      </c>
      <c r="F8" s="164">
        <f>'Despesas Exploração'!F9</f>
        <v>134189</v>
      </c>
      <c r="G8" s="3">
        <f t="shared" ref="G8:G12" si="5">G7*1.05</f>
        <v>5788.125</v>
      </c>
      <c r="H8" s="3">
        <f t="shared" ref="H8:H12" si="6">H7*1.05</f>
        <v>7232.4</v>
      </c>
      <c r="I8" s="9">
        <f t="shared" si="1"/>
        <v>147209.52499999999</v>
      </c>
      <c r="J8" s="164">
        <f>'Custos com Pessoal'!G19</f>
        <v>293584.25</v>
      </c>
      <c r="K8" s="3">
        <f>'Despesas Exploração'!F37</f>
        <v>128437.58118400001</v>
      </c>
      <c r="L8" s="9">
        <f t="shared" si="2"/>
        <v>422021.83118400001</v>
      </c>
      <c r="M8" s="158">
        <f>B8-D8-I8-L8</f>
        <v>553168.64381599997</v>
      </c>
      <c r="N8" s="3">
        <f>Amortizações!K5</f>
        <v>106989.459825</v>
      </c>
      <c r="O8" s="3">
        <f>Financiamento!I13</f>
        <v>28144.630264233594</v>
      </c>
      <c r="P8" s="3">
        <f t="shared" si="3"/>
        <v>418034.55372676637</v>
      </c>
      <c r="Q8" s="3">
        <f t="shared" ref="Q8:Q10" si="7">P8*0.1</f>
        <v>41803.455372676639</v>
      </c>
      <c r="R8" s="3">
        <f t="shared" si="4"/>
        <v>376231.09835408971</v>
      </c>
    </row>
    <row r="9" spans="1:18">
      <c r="A9" s="172">
        <v>4</v>
      </c>
      <c r="B9" s="175">
        <f>'Receitas Exploração'!K38</f>
        <v>1540825</v>
      </c>
      <c r="C9" s="164">
        <f>'Receitas Exploração'!K43</f>
        <v>15960</v>
      </c>
      <c r="D9" s="3">
        <f>'Receitas Exploração'!M39*0.175</f>
        <v>167256.25</v>
      </c>
      <c r="E9" s="9">
        <f t="shared" si="0"/>
        <v>183216.25</v>
      </c>
      <c r="F9" s="164">
        <f>'Despesas Exploração'!G9</f>
        <v>147607.9</v>
      </c>
      <c r="G9" s="3">
        <f t="shared" si="5"/>
        <v>6077.53125</v>
      </c>
      <c r="H9" s="3">
        <f t="shared" si="6"/>
        <v>7594.0199999999995</v>
      </c>
      <c r="I9" s="9">
        <f t="shared" si="1"/>
        <v>161279.45124999998</v>
      </c>
      <c r="J9" s="164">
        <f>'Custos com Pessoal'!G20</f>
        <v>306688.60250000004</v>
      </c>
      <c r="K9" s="3">
        <f>'Despesas Exploração'!G37</f>
        <v>138313.64030768003</v>
      </c>
      <c r="L9" s="9">
        <f t="shared" si="2"/>
        <v>445002.24280768004</v>
      </c>
      <c r="M9" s="158">
        <f>B9-D9-I9-L9</f>
        <v>767287.05594232003</v>
      </c>
      <c r="N9" s="3">
        <f>Amortizações!K6</f>
        <v>100901.72660000001</v>
      </c>
      <c r="O9" s="3">
        <f>Financiamento!I14</f>
        <v>24979.5869641606</v>
      </c>
      <c r="P9" s="3">
        <f t="shared" si="3"/>
        <v>641405.74237815943</v>
      </c>
      <c r="Q9" s="3">
        <f t="shared" si="7"/>
        <v>64140.574237815948</v>
      </c>
      <c r="R9" s="3">
        <f t="shared" si="4"/>
        <v>577265.16814034351</v>
      </c>
    </row>
    <row r="10" spans="1:18">
      <c r="A10" s="172">
        <v>5</v>
      </c>
      <c r="B10" s="175">
        <f>'Receitas Exploração'!N38</f>
        <v>1719050</v>
      </c>
      <c r="C10" s="164">
        <f>'Receitas Exploração'!N43</f>
        <v>18420</v>
      </c>
      <c r="D10" s="3">
        <f>'Receitas Exploração'!P39*0.175</f>
        <v>187302.5</v>
      </c>
      <c r="E10" s="9">
        <f t="shared" si="0"/>
        <v>205722.5</v>
      </c>
      <c r="F10" s="164">
        <f>'Despesas Exploração'!G9</f>
        <v>147607.9</v>
      </c>
      <c r="G10" s="3">
        <f t="shared" si="5"/>
        <v>6381.4078125000005</v>
      </c>
      <c r="H10" s="3">
        <f t="shared" si="6"/>
        <v>7973.7209999999995</v>
      </c>
      <c r="I10" s="9">
        <f t="shared" si="1"/>
        <v>161963.02881249998</v>
      </c>
      <c r="J10" s="164">
        <f>'Custos com Pessoal'!G21</f>
        <v>321974.05262500001</v>
      </c>
      <c r="K10" s="3">
        <f>'Despesas Exploração'!H37</f>
        <v>149110.74198883362</v>
      </c>
      <c r="L10" s="9">
        <f t="shared" si="2"/>
        <v>471084.79461383366</v>
      </c>
      <c r="M10" s="158">
        <f>B10-D10-I10-L10</f>
        <v>898699.67657366639</v>
      </c>
      <c r="N10" s="3">
        <f>Amortizações!K7</f>
        <v>97166.718266666678</v>
      </c>
      <c r="O10" s="3">
        <f>Financiamento!I15</f>
        <v>21719.59236508542</v>
      </c>
      <c r="P10" s="3">
        <f t="shared" si="3"/>
        <v>779813.36594191438</v>
      </c>
      <c r="Q10" s="3">
        <f t="shared" si="7"/>
        <v>77981.336594191438</v>
      </c>
      <c r="R10" s="3">
        <f t="shared" si="4"/>
        <v>701832.02934772288</v>
      </c>
    </row>
    <row r="11" spans="1:18">
      <c r="A11" s="172">
        <v>6</v>
      </c>
      <c r="B11" s="175">
        <f>'Receitas Exploração'!Q38</f>
        <v>2060850</v>
      </c>
      <c r="C11" s="164">
        <f>'Receitas Exploração'!Q43</f>
        <v>22080</v>
      </c>
      <c r="D11" s="3">
        <f>'Receitas Exploração'!S39*0.175</f>
        <v>227237.5</v>
      </c>
      <c r="E11" s="9">
        <f t="shared" si="0"/>
        <v>249317.5</v>
      </c>
      <c r="F11" s="164">
        <f>'Despesas Exploração'!H9</f>
        <v>162368.69</v>
      </c>
      <c r="G11" s="3">
        <f t="shared" si="5"/>
        <v>6700.4782031250006</v>
      </c>
      <c r="H11" s="3">
        <f t="shared" si="6"/>
        <v>8372.4070499999998</v>
      </c>
      <c r="I11" s="9">
        <f t="shared" si="1"/>
        <v>177441.57525312502</v>
      </c>
      <c r="J11" s="164">
        <f>'Custos com Pessoal'!G22</f>
        <v>336421.06175624998</v>
      </c>
      <c r="K11" s="3">
        <f>'Despesas Exploração'!I37</f>
        <v>160917.7987473603</v>
      </c>
      <c r="L11" s="9">
        <f t="shared" si="2"/>
        <v>497338.86050361028</v>
      </c>
      <c r="M11" s="158">
        <f>B11-D11-I11-L11</f>
        <v>1158832.0642432647</v>
      </c>
      <c r="N11" s="3">
        <f>Amortizações!K8</f>
        <v>83061.168266666675</v>
      </c>
      <c r="O11" s="3">
        <f>Financiamento!I16</f>
        <v>18361.797928037984</v>
      </c>
      <c r="P11" s="3">
        <f>M11-N11-O11</f>
        <v>1057409.0980485601</v>
      </c>
      <c r="Q11" s="3">
        <f>P11*0.15</f>
        <v>158611.364707284</v>
      </c>
      <c r="R11" s="3">
        <f t="shared" si="4"/>
        <v>898797.73334127606</v>
      </c>
    </row>
    <row r="12" spans="1:18" ht="15.75" thickBot="1">
      <c r="A12" s="172">
        <v>7</v>
      </c>
      <c r="B12" s="176">
        <f>'Receitas Exploração'!T38</f>
        <v>2229750</v>
      </c>
      <c r="C12" s="165">
        <f>'Receitas Exploração'!T43</f>
        <v>26000</v>
      </c>
      <c r="D12" s="89">
        <f>'Receitas Exploração'!V39*0.175</f>
        <v>243486.24999999997</v>
      </c>
      <c r="E12" s="166">
        <f t="shared" si="0"/>
        <v>269486.25</v>
      </c>
      <c r="F12" s="165">
        <f>'Despesas Exploração'!J9</f>
        <v>196466.11490000004</v>
      </c>
      <c r="G12" s="89">
        <f t="shared" si="5"/>
        <v>7035.5021132812508</v>
      </c>
      <c r="H12" s="89">
        <f t="shared" si="6"/>
        <v>8791.0274024999999</v>
      </c>
      <c r="I12" s="166">
        <f t="shared" si="1"/>
        <v>212292.64441578131</v>
      </c>
      <c r="J12" s="165">
        <f>'Custos com Pessoal'!G23</f>
        <v>353192.76484406256</v>
      </c>
      <c r="K12" s="89">
        <f>'Despesas Exploração'!J37</f>
        <v>173832.45749699508</v>
      </c>
      <c r="L12" s="166">
        <f t="shared" si="2"/>
        <v>527025.22234105761</v>
      </c>
      <c r="M12" s="158">
        <f>B12-D12-I12-L12</f>
        <v>1246945.883243161</v>
      </c>
      <c r="N12" s="3">
        <f>Amortizações!K9</f>
        <v>86147.075266666667</v>
      </c>
      <c r="O12" s="3">
        <f>Financiamento!I17</f>
        <v>14903.269657879122</v>
      </c>
      <c r="P12" s="3">
        <f t="shared" si="3"/>
        <v>1145895.5383186152</v>
      </c>
      <c r="Q12" s="3">
        <f>P12*0.15</f>
        <v>171884.33074779226</v>
      </c>
      <c r="R12" s="3">
        <f t="shared" si="4"/>
        <v>974011.20757082291</v>
      </c>
    </row>
    <row r="14" spans="1:18">
      <c r="F14" s="222" t="s">
        <v>297</v>
      </c>
      <c r="G14" s="222"/>
      <c r="H14" s="222"/>
      <c r="I14" s="222"/>
      <c r="J14" s="222"/>
      <c r="K14" s="223"/>
      <c r="L14" s="222"/>
      <c r="M14" s="222"/>
      <c r="N14" s="222"/>
      <c r="O14" s="223"/>
      <c r="P14" s="222"/>
      <c r="Q14" s="223"/>
      <c r="R14" s="223"/>
    </row>
    <row r="15" spans="1:18">
      <c r="D15" s="72" t="s">
        <v>162</v>
      </c>
      <c r="F15" s="222" t="s">
        <v>298</v>
      </c>
      <c r="G15" s="222"/>
      <c r="H15" s="222"/>
      <c r="I15" s="222"/>
      <c r="J15" s="222"/>
      <c r="K15" s="223"/>
      <c r="L15" s="222"/>
      <c r="M15" s="222"/>
      <c r="N15" s="222"/>
      <c r="O15" s="223"/>
      <c r="P15" s="222"/>
      <c r="Q15" s="223"/>
      <c r="R15" s="223"/>
    </row>
    <row r="16" spans="1:18">
      <c r="D16" s="72"/>
      <c r="G16" s="53"/>
    </row>
    <row r="17" spans="3:13">
      <c r="C17" s="3"/>
      <c r="D17" s="73" t="s">
        <v>61</v>
      </c>
      <c r="K17" s="145"/>
      <c r="L17" s="55" t="s">
        <v>163</v>
      </c>
      <c r="M17" s="56" t="s">
        <v>164</v>
      </c>
    </row>
    <row r="18" spans="3:13">
      <c r="C18" s="73"/>
      <c r="D18" s="74" t="s">
        <v>164</v>
      </c>
      <c r="E18" s="54" t="s">
        <v>165</v>
      </c>
      <c r="F18" s="54"/>
      <c r="G18" s="54"/>
      <c r="H18" s="54"/>
      <c r="I18" s="54"/>
      <c r="M18" s="56" t="s">
        <v>166</v>
      </c>
    </row>
    <row r="19" spans="3:13">
      <c r="C19" s="3"/>
      <c r="D19" s="73" t="s">
        <v>167</v>
      </c>
      <c r="M19" s="56" t="s">
        <v>168</v>
      </c>
    </row>
    <row r="20" spans="3:13">
      <c r="C20" s="73"/>
      <c r="D20" s="74" t="s">
        <v>166</v>
      </c>
      <c r="E20" s="54" t="s">
        <v>169</v>
      </c>
      <c r="F20" s="54"/>
      <c r="G20" s="54"/>
      <c r="H20" s="54"/>
      <c r="I20" s="54"/>
      <c r="J20" s="54"/>
      <c r="L20" s="130" t="s">
        <v>258</v>
      </c>
      <c r="M20" s="130"/>
    </row>
    <row r="21" spans="3:13">
      <c r="C21" s="3"/>
      <c r="D21" s="73" t="s">
        <v>170</v>
      </c>
      <c r="L21" s="1" t="s">
        <v>3</v>
      </c>
      <c r="M21" s="1">
        <f>E6+I6+L6</f>
        <v>637497.96</v>
      </c>
    </row>
    <row r="22" spans="3:13">
      <c r="C22" s="73"/>
      <c r="D22" s="74" t="s">
        <v>168</v>
      </c>
      <c r="E22" s="54" t="s">
        <v>171</v>
      </c>
      <c r="F22" s="54"/>
      <c r="G22" s="54"/>
      <c r="H22" s="54"/>
      <c r="L22" s="1" t="s">
        <v>4</v>
      </c>
      <c r="M22" s="1">
        <f>E7+I7+L7</f>
        <v>661326.9192</v>
      </c>
    </row>
    <row r="23" spans="3:13">
      <c r="C23" s="3"/>
      <c r="D23" s="73" t="s">
        <v>155</v>
      </c>
      <c r="L23" s="1" t="s">
        <v>5</v>
      </c>
      <c r="M23" s="1">
        <f>E8+I8+L8</f>
        <v>720081.35618400003</v>
      </c>
    </row>
    <row r="24" spans="3:13">
      <c r="C24" s="73"/>
      <c r="D24" s="74" t="s">
        <v>156</v>
      </c>
      <c r="L24" s="1" t="s">
        <v>6</v>
      </c>
      <c r="M24" s="1">
        <f>E9+I9+L9</f>
        <v>789497.94405767997</v>
      </c>
    </row>
    <row r="25" spans="3:13">
      <c r="C25" s="73"/>
      <c r="D25" s="74" t="s">
        <v>172</v>
      </c>
      <c r="L25" s="1" t="s">
        <v>7</v>
      </c>
      <c r="M25" s="1">
        <f>E10+I10+L10</f>
        <v>838770.32342633361</v>
      </c>
    </row>
    <row r="26" spans="3:13">
      <c r="C26" s="3"/>
      <c r="D26" s="73" t="s">
        <v>173</v>
      </c>
      <c r="L26" s="1" t="s">
        <v>8</v>
      </c>
      <c r="M26" s="1">
        <f>E11+I11+L11</f>
        <v>924097.93575673527</v>
      </c>
    </row>
    <row r="27" spans="3:13">
      <c r="C27" s="73"/>
      <c r="D27" s="74" t="s">
        <v>157</v>
      </c>
      <c r="L27" s="1" t="s">
        <v>9</v>
      </c>
      <c r="M27" s="1">
        <f>E12+I12+L12</f>
        <v>1008804.116756839</v>
      </c>
    </row>
    <row r="28" spans="3:13">
      <c r="C28" s="3"/>
      <c r="D28" s="73" t="s">
        <v>158</v>
      </c>
    </row>
    <row r="29" spans="3:13">
      <c r="C29" s="73"/>
      <c r="D29" s="74" t="s">
        <v>174</v>
      </c>
    </row>
    <row r="30" spans="3:13">
      <c r="C30" s="3"/>
      <c r="D30" s="75" t="s">
        <v>159</v>
      </c>
    </row>
  </sheetData>
  <mergeCells count="4">
    <mergeCell ref="L20:M20"/>
    <mergeCell ref="C4:E4"/>
    <mergeCell ref="J4:L4"/>
    <mergeCell ref="F4:I4"/>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K32"/>
  <sheetViews>
    <sheetView tabSelected="1" workbookViewId="0">
      <selection activeCell="G26" sqref="G26"/>
    </sheetView>
  </sheetViews>
  <sheetFormatPr defaultRowHeight="15"/>
  <cols>
    <col min="2" max="2" width="14" style="1" bestFit="1" customWidth="1"/>
    <col min="3" max="3" width="12.140625" style="1" bestFit="1" customWidth="1"/>
    <col min="4" max="4" width="19.28515625" customWidth="1"/>
    <col min="5" max="6" width="13.28515625" style="1" bestFit="1" customWidth="1"/>
    <col min="7" max="7" width="14" bestFit="1" customWidth="1"/>
    <col min="8" max="8" width="15.5703125" customWidth="1"/>
    <col min="9" max="9" width="11.7109375" customWidth="1"/>
    <col min="10" max="10" width="16.85546875" bestFit="1" customWidth="1"/>
    <col min="11" max="11" width="18.140625" bestFit="1" customWidth="1"/>
    <col min="12" max="12" width="12.7109375" customWidth="1"/>
  </cols>
  <sheetData>
    <row r="1" spans="1:11">
      <c r="G1" s="59"/>
      <c r="H1" s="59"/>
      <c r="I1" s="59"/>
    </row>
    <row r="2" spans="1:11">
      <c r="A2" s="60"/>
      <c r="B2" s="120" t="s">
        <v>175</v>
      </c>
      <c r="C2" s="120"/>
      <c r="D2" s="120"/>
      <c r="E2" s="120" t="s">
        <v>176</v>
      </c>
      <c r="F2" s="120"/>
      <c r="G2" s="120"/>
      <c r="H2" s="120" t="s">
        <v>177</v>
      </c>
      <c r="I2" s="120"/>
      <c r="J2" s="120"/>
      <c r="K2" s="120"/>
    </row>
    <row r="3" spans="1:11">
      <c r="A3" s="52" t="s">
        <v>152</v>
      </c>
      <c r="B3" s="76" t="s">
        <v>178</v>
      </c>
      <c r="C3" s="76" t="s">
        <v>179</v>
      </c>
      <c r="D3" s="52" t="s">
        <v>160</v>
      </c>
      <c r="E3" s="76" t="s">
        <v>180</v>
      </c>
      <c r="F3" s="76" t="s">
        <v>181</v>
      </c>
      <c r="G3" s="52" t="s">
        <v>182</v>
      </c>
      <c r="H3" s="52" t="s">
        <v>183</v>
      </c>
      <c r="I3" s="52" t="s">
        <v>184</v>
      </c>
      <c r="J3" s="52" t="s">
        <v>185</v>
      </c>
      <c r="K3" s="52" t="s">
        <v>186</v>
      </c>
    </row>
    <row r="4" spans="1:11">
      <c r="A4" s="50"/>
      <c r="B4" s="76" t="s">
        <v>187</v>
      </c>
      <c r="C4" s="76" t="s">
        <v>188</v>
      </c>
      <c r="D4" s="61" t="s">
        <v>189</v>
      </c>
      <c r="E4" s="76" t="s">
        <v>190</v>
      </c>
      <c r="F4" s="76" t="s">
        <v>191</v>
      </c>
      <c r="G4" s="52" t="s">
        <v>192</v>
      </c>
      <c r="H4" s="52"/>
      <c r="I4" s="52"/>
      <c r="J4" s="52"/>
      <c r="K4" s="52"/>
    </row>
    <row r="5" spans="1:11">
      <c r="A5" s="52">
        <v>0</v>
      </c>
      <c r="B5" s="76">
        <f>Investimento!B24</f>
        <v>2651820.88</v>
      </c>
      <c r="C5" s="76">
        <v>0</v>
      </c>
      <c r="D5" s="3">
        <f>B5-C5</f>
        <v>2651820.88</v>
      </c>
      <c r="E5" s="76"/>
      <c r="F5" s="76"/>
      <c r="G5" s="52"/>
      <c r="H5" s="3">
        <f>G5-D5</f>
        <v>-2651820.88</v>
      </c>
      <c r="I5" s="52">
        <f>(1+0.05)^0</f>
        <v>1</v>
      </c>
      <c r="J5" s="3">
        <f>H5*I5</f>
        <v>-2651820.88</v>
      </c>
      <c r="K5" s="52"/>
    </row>
    <row r="6" spans="1:11">
      <c r="A6" s="52">
        <v>1</v>
      </c>
      <c r="B6" s="3">
        <v>0</v>
      </c>
      <c r="C6" s="3">
        <f>ICC!I5</f>
        <v>355639.95927222224</v>
      </c>
      <c r="D6" s="3">
        <f>B6-C6</f>
        <v>-355639.95927222224</v>
      </c>
      <c r="E6" s="3">
        <f>DRLP!B6</f>
        <v>840700</v>
      </c>
      <c r="F6" s="3">
        <f>DRLP!M21+DRLP!Q6</f>
        <v>637497.96</v>
      </c>
      <c r="G6" s="3">
        <f>E6-F6</f>
        <v>203202.04000000004</v>
      </c>
      <c r="H6" s="3">
        <f t="shared" ref="H6:H12" si="0">G6-D6</f>
        <v>558841.99927222228</v>
      </c>
      <c r="I6" s="25">
        <f>(1.05)^-1</f>
        <v>0.95238095238095233</v>
      </c>
      <c r="J6" s="3">
        <f>H6*I6</f>
        <v>532230.47549735452</v>
      </c>
      <c r="K6" s="3">
        <f>J5+J6</f>
        <v>-2119590.4045026451</v>
      </c>
    </row>
    <row r="7" spans="1:11">
      <c r="A7" s="52">
        <v>2</v>
      </c>
      <c r="B7" s="3">
        <f>Investimento!C24</f>
        <v>0</v>
      </c>
      <c r="C7" s="3">
        <f>ICC!I6-ICC!I5</f>
        <v>79622.248348636902</v>
      </c>
      <c r="D7" s="3">
        <f t="shared" ref="D7:D11" si="1">B7-C7</f>
        <v>-79622.248348636902</v>
      </c>
      <c r="E7" s="3">
        <f>DRLP!B7</f>
        <v>1068125</v>
      </c>
      <c r="F7" s="3">
        <f>DRLP!M22+DRLP!Q7</f>
        <v>689363.03256028797</v>
      </c>
      <c r="G7" s="3">
        <f t="shared" ref="G7:G12" si="2">E7-F7</f>
        <v>378761.96743971203</v>
      </c>
      <c r="H7" s="3">
        <f t="shared" si="0"/>
        <v>458384.21578834893</v>
      </c>
      <c r="I7" s="25">
        <f>(1.05)^-2</f>
        <v>0.90702947845804982</v>
      </c>
      <c r="J7" s="3">
        <f t="shared" ref="J7:J12" si="3">H7*I7</f>
        <v>415767.99617990828</v>
      </c>
      <c r="K7" s="3">
        <f>K6+J7</f>
        <v>-1703822.4083227369</v>
      </c>
    </row>
    <row r="8" spans="1:11">
      <c r="A8" s="52">
        <v>3</v>
      </c>
      <c r="B8" s="3">
        <f>Investimento!D24</f>
        <v>0</v>
      </c>
      <c r="C8" s="3">
        <f>ICC!I7-ICC!I6</f>
        <v>121678.86004482652</v>
      </c>
      <c r="D8" s="3">
        <f t="shared" si="1"/>
        <v>-121678.86004482652</v>
      </c>
      <c r="E8" s="3">
        <f>DRLP!B8</f>
        <v>1258550</v>
      </c>
      <c r="F8" s="3">
        <f>DRLP!M23+DRLP!Q8</f>
        <v>761884.81155667664</v>
      </c>
      <c r="G8" s="3">
        <f t="shared" si="2"/>
        <v>496665.18844332336</v>
      </c>
      <c r="H8" s="3">
        <f t="shared" si="0"/>
        <v>618344.04848814989</v>
      </c>
      <c r="I8" s="25">
        <f>(1.05)^-3</f>
        <v>0.86383759853147601</v>
      </c>
      <c r="J8" s="3">
        <f t="shared" si="3"/>
        <v>534148.83791223401</v>
      </c>
      <c r="K8" s="3">
        <f t="shared" ref="K8:K13" si="4">K7+J8</f>
        <v>-1169673.5704105028</v>
      </c>
    </row>
    <row r="9" spans="1:11">
      <c r="A9" s="52">
        <v>4</v>
      </c>
      <c r="B9" s="3">
        <f>Investimento!F24</f>
        <v>25864.799999999999</v>
      </c>
      <c r="C9" s="3">
        <f>ICC!I8-ICC!I7</f>
        <v>194149.53438131092</v>
      </c>
      <c r="D9" s="3">
        <f t="shared" si="1"/>
        <v>-168284.73438131093</v>
      </c>
      <c r="E9" s="3">
        <f>DRLP!B9</f>
        <v>1540825</v>
      </c>
      <c r="F9" s="3">
        <f>DRLP!M24+DRLP!Q9</f>
        <v>853638.51829549589</v>
      </c>
      <c r="G9" s="3">
        <f t="shared" si="2"/>
        <v>687186.48170450411</v>
      </c>
      <c r="H9" s="3">
        <f t="shared" si="0"/>
        <v>855471.2160858151</v>
      </c>
      <c r="I9" s="25">
        <f>(1.05)^-4</f>
        <v>0.82270247479188197</v>
      </c>
      <c r="J9" s="3">
        <f t="shared" si="3"/>
        <v>703798.28658702096</v>
      </c>
      <c r="K9" s="3">
        <f t="shared" si="4"/>
        <v>-465875.28382348188</v>
      </c>
    </row>
    <row r="10" spans="1:11">
      <c r="A10" s="52">
        <v>5</v>
      </c>
      <c r="B10" s="3">
        <f>Investimento!G24</f>
        <v>44538.733333333337</v>
      </c>
      <c r="C10" s="3">
        <f>ICC!I9-ICC!I8</f>
        <v>118050.3065461549</v>
      </c>
      <c r="D10" s="3">
        <f t="shared" si="1"/>
        <v>-73511.57321282156</v>
      </c>
      <c r="E10" s="3">
        <f>DRLP!B10</f>
        <v>1719050</v>
      </c>
      <c r="F10" s="3">
        <f>DRLP!M25+DRLP!Q10</f>
        <v>916751.6600205251</v>
      </c>
      <c r="G10" s="3">
        <f t="shared" si="2"/>
        <v>802298.3399794749</v>
      </c>
      <c r="H10" s="3">
        <f t="shared" si="0"/>
        <v>875809.9131922964</v>
      </c>
      <c r="I10" s="25">
        <f>(1.05)^-5</f>
        <v>0.78352616646845896</v>
      </c>
      <c r="J10" s="3">
        <f t="shared" si="3"/>
        <v>686219.98383863387</v>
      </c>
      <c r="K10" s="3">
        <f t="shared" si="4"/>
        <v>220344.70001515199</v>
      </c>
    </row>
    <row r="11" spans="1:11" ht="15.75" thickBot="1">
      <c r="A11" s="52">
        <v>6</v>
      </c>
      <c r="B11" s="3">
        <f>Investimento!H24</f>
        <v>38243.800000000003</v>
      </c>
      <c r="C11" s="3">
        <f>ICC!I10-ICC!I9</f>
        <v>187092.62016749848</v>
      </c>
      <c r="D11" s="3">
        <f t="shared" si="1"/>
        <v>-148848.82016749849</v>
      </c>
      <c r="E11" s="3">
        <f>DRLP!B11</f>
        <v>2060850</v>
      </c>
      <c r="F11" s="3">
        <f>DRLP!M26+DRLP!Q11</f>
        <v>1082709.3004640192</v>
      </c>
      <c r="G11" s="3">
        <f t="shared" si="2"/>
        <v>978140.69953598082</v>
      </c>
      <c r="H11" s="3">
        <f t="shared" si="0"/>
        <v>1126989.5197034793</v>
      </c>
      <c r="I11" s="25">
        <f>(1.05)^-6</f>
        <v>0.74621539663662761</v>
      </c>
      <c r="J11" s="3">
        <f t="shared" si="3"/>
        <v>840976.93145085417</v>
      </c>
      <c r="K11" s="14">
        <f t="shared" si="4"/>
        <v>1061321.6314660062</v>
      </c>
    </row>
    <row r="12" spans="1:11" ht="15.75" thickBot="1">
      <c r="A12" s="52">
        <v>7</v>
      </c>
      <c r="B12" s="3">
        <f>Investimento!I27</f>
        <v>-3962710.79</v>
      </c>
      <c r="C12" s="3">
        <f>ICC!I14</f>
        <v>-60976.579672797816</v>
      </c>
      <c r="D12" s="3">
        <f t="shared" ref="D10:D12" si="5">B12+C12</f>
        <v>-4023687.3696727976</v>
      </c>
      <c r="E12" s="3">
        <f>DRLP!B12</f>
        <v>2229750</v>
      </c>
      <c r="F12" s="3">
        <f>DRLP!M27+DRLP!Q12</f>
        <v>1180688.4475046312</v>
      </c>
      <c r="G12" s="3">
        <f t="shared" si="2"/>
        <v>1049061.5524953688</v>
      </c>
      <c r="H12" s="3">
        <f t="shared" si="0"/>
        <v>5072748.9221681664</v>
      </c>
      <c r="I12" s="25">
        <f>(1.05)^-7</f>
        <v>0.71068133013012147</v>
      </c>
      <c r="J12" s="103">
        <f t="shared" si="3"/>
        <v>3605107.9514226126</v>
      </c>
      <c r="K12" s="219">
        <f t="shared" si="4"/>
        <v>4666429.582888619</v>
      </c>
    </row>
    <row r="13" spans="1:11" ht="15.75" thickBot="1">
      <c r="I13" s="199" t="s">
        <v>247</v>
      </c>
      <c r="J13" s="220">
        <f>SUM(J5:J12)</f>
        <v>4666429.582888619</v>
      </c>
      <c r="K13" s="218"/>
    </row>
    <row r="14" spans="1:11">
      <c r="K14" s="202"/>
    </row>
    <row r="15" spans="1:11">
      <c r="G15" s="1"/>
      <c r="J15" s="128" t="s">
        <v>269</v>
      </c>
      <c r="K15" s="128"/>
    </row>
    <row r="16" spans="1:11">
      <c r="C16" s="1" t="s">
        <v>195</v>
      </c>
      <c r="J16" s="77" t="s">
        <v>250</v>
      </c>
      <c r="K16" s="147">
        <v>0.01</v>
      </c>
    </row>
    <row r="17" spans="1:11">
      <c r="C17" s="1" t="s">
        <v>188</v>
      </c>
      <c r="E17" s="1" t="s">
        <v>190</v>
      </c>
      <c r="F17" s="1" t="s">
        <v>196</v>
      </c>
      <c r="J17" s="150" t="s">
        <v>249</v>
      </c>
      <c r="K17" s="151">
        <v>0.01</v>
      </c>
    </row>
    <row r="18" spans="1:11">
      <c r="C18" s="3" t="s">
        <v>197</v>
      </c>
      <c r="D18" s="25"/>
      <c r="E18" s="3" t="s">
        <v>61</v>
      </c>
      <c r="F18" s="103" t="s">
        <v>198</v>
      </c>
      <c r="G18" s="63" t="s">
        <v>199</v>
      </c>
      <c r="J18" s="77" t="s">
        <v>251</v>
      </c>
      <c r="K18" s="147">
        <f>K16+K17</f>
        <v>0.02</v>
      </c>
    </row>
    <row r="19" spans="1:11" ht="15.75" thickBot="1">
      <c r="F19" s="189"/>
      <c r="G19" s="63" t="s">
        <v>200</v>
      </c>
      <c r="J19" s="148" t="s">
        <v>248</v>
      </c>
      <c r="K19" s="149">
        <v>0.03</v>
      </c>
    </row>
    <row r="20" spans="1:11">
      <c r="A20" s="64" t="s">
        <v>201</v>
      </c>
      <c r="B20" s="73" t="s">
        <v>4</v>
      </c>
      <c r="C20" s="73" t="s">
        <v>202</v>
      </c>
      <c r="G20" s="63" t="s">
        <v>203</v>
      </c>
      <c r="J20" s="77" t="s">
        <v>247</v>
      </c>
      <c r="K20" s="147">
        <f>K18+K19</f>
        <v>0.05</v>
      </c>
    </row>
    <row r="21" spans="1:11">
      <c r="B21" s="73" t="s">
        <v>5</v>
      </c>
      <c r="C21" s="73" t="s">
        <v>204</v>
      </c>
      <c r="F21" s="76" t="s">
        <v>205</v>
      </c>
    </row>
    <row r="22" spans="1:11">
      <c r="B22" s="73" t="s">
        <v>6</v>
      </c>
      <c r="C22" s="73" t="s">
        <v>206</v>
      </c>
      <c r="F22" s="190" t="s">
        <v>207</v>
      </c>
      <c r="J22" s="35"/>
    </row>
    <row r="23" spans="1:11">
      <c r="C23" s="73" t="s">
        <v>208</v>
      </c>
      <c r="F23" s="76" t="s">
        <v>174</v>
      </c>
    </row>
    <row r="24" spans="1:11">
      <c r="J24" s="50" t="s">
        <v>263</v>
      </c>
      <c r="K24" s="200">
        <f>J13</f>
        <v>4666429.582888619</v>
      </c>
    </row>
    <row r="25" spans="1:11">
      <c r="J25" s="62" t="s">
        <v>193</v>
      </c>
      <c r="K25" s="101">
        <f>IRR(J5:J12)</f>
        <v>0.22824360394718257</v>
      </c>
    </row>
    <row r="26" spans="1:11">
      <c r="J26" s="62" t="s">
        <v>194</v>
      </c>
      <c r="K26" s="52" t="s">
        <v>279</v>
      </c>
    </row>
    <row r="28" spans="1:11">
      <c r="J28" s="221" t="s">
        <v>194</v>
      </c>
    </row>
    <row r="29" spans="1:11">
      <c r="I29" t="s">
        <v>278</v>
      </c>
      <c r="J29" s="205" t="s">
        <v>277</v>
      </c>
    </row>
    <row r="30" spans="1:11">
      <c r="I30">
        <v>12</v>
      </c>
      <c r="J30">
        <v>684741</v>
      </c>
    </row>
    <row r="31" spans="1:11">
      <c r="J31">
        <v>475210</v>
      </c>
    </row>
    <row r="32" spans="1:11">
      <c r="J32">
        <f>I30*J31/J30</f>
        <v>8.3279955486819102</v>
      </c>
    </row>
  </sheetData>
  <mergeCells count="4">
    <mergeCell ref="B2:D2"/>
    <mergeCell ref="E2:G2"/>
    <mergeCell ref="H2:K2"/>
    <mergeCell ref="J15:K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11</vt:i4>
      </vt:variant>
    </vt:vector>
  </HeadingPairs>
  <TitlesOfParts>
    <vt:vector size="11" baseType="lpstr">
      <vt:lpstr>Investimento</vt:lpstr>
      <vt:lpstr>Amortizações</vt:lpstr>
      <vt:lpstr>Estrutura accionista</vt:lpstr>
      <vt:lpstr>Pacotes</vt:lpstr>
      <vt:lpstr>Receitas Exploração</vt:lpstr>
      <vt:lpstr>Custos com Pessoal</vt:lpstr>
      <vt:lpstr>Despesas Exploração</vt:lpstr>
      <vt:lpstr>Financiamento</vt:lpstr>
      <vt:lpstr>ICC</vt:lpstr>
      <vt:lpstr>DRLP</vt:lpstr>
      <vt:lpstr>Cash Flow do Projecto</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2006-10-20T13:27:00Z</dcterms:created>
  <dcterms:modified xsi:type="dcterms:W3CDTF">2010-08-01T21:39:26Z</dcterms:modified>
</cp:coreProperties>
</file>