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Regras de Utilização" sheetId="1" r:id="rId4"/>
    <sheet name="Pressupostos" sheetId="2" r:id="rId5"/>
    <sheet name="VN" sheetId="3" r:id="rId6"/>
    <sheet name="CMVMC" sheetId="4" r:id="rId7"/>
    <sheet name="FSE" sheetId="5" r:id="rId8"/>
    <sheet name="Gastos com Pessoal" sheetId="6" r:id="rId9"/>
    <sheet name="FundoManeio" sheetId="7" r:id="rId10"/>
    <sheet name="Investimento" sheetId="8" r:id="rId11"/>
    <sheet name="Financiamento" sheetId="9" r:id="rId12"/>
    <sheet name="Ponto Crítico" sheetId="10" r:id="rId13"/>
    <sheet name="DR" sheetId="11" r:id="rId14"/>
    <sheet name="Cash Flow" sheetId="12" r:id="rId15"/>
    <sheet name="PlanoFinanceiro" sheetId="13" r:id="rId16"/>
    <sheet name="Balanço" sheetId="14" r:id="rId17"/>
    <sheet name="Indicadores" sheetId="15" r:id="rId18"/>
    <sheet name="Avaliação" sheetId="16" r:id="rId19"/>
    <sheet name="Calculos Auxiliares" sheetId="17" r:id="rId20"/>
  </sheets>
</workbook>
</file>

<file path=xl/comments1.xml><?xml version="1.0" encoding="utf-8"?>
<comments xmlns="http://schemas.openxmlformats.org/spreadsheetml/2006/main">
  <authors>
    <author>iPhone</author>
  </authors>
  <commentList>
    <comment ref="C47" authorId="0">
      <text>
        <r>
          <rPr>
            <sz val="11"/>
            <color indexed="8"/>
            <rFont val="Helvetica"/>
          </rPr>
          <t>iPhone:
D</t>
        </r>
      </text>
    </comment>
  </commentList>
</comments>
</file>

<file path=xl/sharedStrings.xml><?xml version="1.0" encoding="utf-8"?>
<sst xmlns="http://schemas.openxmlformats.org/spreadsheetml/2006/main" uniqueCount="434">
  <si>
    <t>Regras de utilização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</si>
  <si>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</si>
  <si>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>Principais regras de utilização:</t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</si>
  <si>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Só devem ser inseridos valores nas células com fundo branco;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</si>
  <si>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Os valores que se encontrem a azul, poderão ser alterados, mas dentro dos mesmos parâmetros;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</si>
  <si>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A utilização deste modelo tem por base um trabalho prévio por parte do utilizador no que diz respeito à previsão de proveitos e de custos;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</si>
  <si>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No caso de pretender efectuar uma análise de sensibilidade, utilize este mesmo modelo, mas com diferentes valores.</t>
    </r>
  </si>
  <si>
    <t>Passos para preenchimento: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</si>
  <si>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</si>
  <si>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Colocar o nome da empresa na célula E1 na sheet de "Pressupostos";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</si>
  <si>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</si>
  <si>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</si>
  <si>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</si>
  <si>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</si>
  <si>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Posteriormente, definir o quadro de investimento da empresa / projecto na sheet de Investimentos, repartida pelas diferentes rubricas de investimento em activo fixo;</t>
  </si>
  <si>
    <t>Na sheet de Fundo Maneio, definir a Reserva de Segurança de Tesouraria. Esta rubrica representa um valor mínimo de disponibilidades a manter ao longo do projecto;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</si>
  <si>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</si>
  <si>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Os inputs do modelo estão inseridos, sendo necessário apenas fazer o acerto de disponibilidades. Assim sendo, na sheet de Plano Financeiro carregar no rectângulo que indica "Acerto do modelo"</t>
  </si>
  <si>
    <t>NOTA</t>
  </si>
  <si>
    <t>No caso de empresas industriais é aconselhado o uso da sheet Calculos Auxiliares. Esta sheet  constitui uma base de cálculo indispensável ao suporte previsional do modelo de projecções.</t>
  </si>
  <si>
    <t>Empresa:</t>
  </si>
  <si>
    <t>Dissolve, Lda</t>
  </si>
  <si>
    <t>Pressupostos Gerais</t>
  </si>
  <si>
    <t>Valide os pressupostos aqui indicados e ajuste-os de acordo com o seu projecto</t>
  </si>
  <si>
    <t>Unidade monetária</t>
  </si>
  <si>
    <t>Euros</t>
  </si>
  <si>
    <t>1º Ano actividade</t>
  </si>
  <si>
    <t>Prazo médio de Recebimento (dias) / (meses)</t>
  </si>
  <si>
    <t>Prazo médio de Pagamento (dias) / (meses)</t>
  </si>
  <si>
    <t>Prazo médio de Stockagem (dias) / (meses)</t>
  </si>
  <si>
    <t xml:space="preserve">Taxa de IVA - Vendas </t>
  </si>
  <si>
    <t>Taxa de IVA - Prestação Serviços</t>
  </si>
  <si>
    <t>Taxa de IVA - CMVMC</t>
  </si>
  <si>
    <t>Taxa de IVA - FSE</t>
  </si>
  <si>
    <t>Taxa de IVA - Investimento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</si>
  <si>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</si>
  <si>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</si>
  <si>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</si>
  <si>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</si>
  <si>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 xml:space="preserve">Taxa média de IRS </t>
  </si>
  <si>
    <t>Taxa de IRC</t>
  </si>
  <si>
    <t>Taxa de Aplicações Financeiras Curto Prazo</t>
  </si>
  <si>
    <t>Taxa de juro de empréstimo Curto Prazo</t>
  </si>
  <si>
    <t>Taxa de juro de empréstimo ML Prazo</t>
  </si>
  <si>
    <t>Taxa de juro de activos sem risco - Rf</t>
  </si>
  <si>
    <r>
      <rPr>
        <sz val="8"/>
        <color indexed="17"/>
        <rFont val="Arial Narrow"/>
      </rPr>
      <t xml:space="preserve">NOTA: Quando não se aplica </t>
    </r>
    <r>
      <rPr>
        <i val="1"/>
        <u val="single"/>
        <sz val="8"/>
        <color indexed="17"/>
        <rFont val="Arial Narrow"/>
      </rPr>
      <t>Beta</t>
    </r>
    <r>
      <rPr>
        <sz val="8"/>
        <color indexed="17"/>
        <rFont val="Arial Narrow"/>
      </rPr>
      <t xml:space="preserve">, colocar: </t>
    </r>
  </si>
  <si>
    <t>Prémio de risco de mercado - (Rm-Rf)* ou pº</t>
  </si>
  <si>
    <r>
      <rPr>
        <sz val="8"/>
        <color indexed="17"/>
        <rFont val="Arial Narrow"/>
      </rPr>
      <t xml:space="preserve">   - O prémio de risco (</t>
    </r>
    <r>
      <rPr>
        <sz val="8"/>
        <color indexed="8"/>
        <rFont val="Arial Narrow"/>
      </rPr>
      <t>pº</t>
    </r>
    <r>
      <rPr>
        <sz val="8"/>
        <color indexed="17"/>
        <rFont val="Arial Narrow"/>
      </rPr>
      <t xml:space="preserve">) adequado ao projecto </t>
    </r>
  </si>
  <si>
    <t>Beta empresas equivalentes</t>
  </si>
  <si>
    <t xml:space="preserve">   - Beta = 100%</t>
  </si>
  <si>
    <t>Taxa de crescimento dos cash flows na perpetuidade</t>
  </si>
  <si>
    <t>==&gt; R(Tx actualização) = Rf + pº</t>
  </si>
  <si>
    <t>* Rendimento esperado de mercado</t>
  </si>
  <si>
    <t>Métodos de avaliação considerados:</t>
  </si>
  <si>
    <t>Free Cash Flow to Firm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</si>
  <si>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</si>
  <si>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>Free Cash Flow to Equity</t>
  </si>
  <si>
    <t xml:space="preserve">No método de avaliação pelo desconto de fluxos de caixa líquido do acionista (FCFE – do inglês Free Cashflow to Equity), o objetivo é avaliar directamente o património líquido da empresa. </t>
  </si>
  <si>
    <r>
      <rPr>
        <sz val="10"/>
        <color indexed="12"/>
        <rFont val="Arial Narrow"/>
      </rPr>
      <t>Dissolve, Lda</t>
    </r>
  </si>
  <si>
    <t>s</t>
  </si>
  <si>
    <t>Vendas + Prestações de Serviços</t>
  </si>
  <si>
    <t>Taxa de variação dos preços</t>
  </si>
  <si>
    <t>VENDAS - MERCADO NACIONAL</t>
  </si>
  <si>
    <t>Produto A *</t>
  </si>
  <si>
    <t>Quantidades vendidas</t>
  </si>
  <si>
    <t>Taxa de crescimento das unidades vendidas</t>
  </si>
  <si>
    <t xml:space="preserve">Preço Unitário </t>
  </si>
  <si>
    <t>Produto B *</t>
  </si>
  <si>
    <t>Produto C *</t>
  </si>
  <si>
    <t>Produto D *</t>
  </si>
  <si>
    <t xml:space="preserve">TOTAL </t>
  </si>
  <si>
    <t>VENDAS - EXPORTAÇÃO</t>
  </si>
  <si>
    <t>* Produtos / Familias de Produtos / Mercadorias</t>
  </si>
  <si>
    <t>NOTA: Caso não tenha conhecimento das quantidades, colocar o valor das vendas na linha das "Quantidades Vendidas" e o valor 1 na linha do "Preço Unitário".</t>
  </si>
  <si>
    <t>PRESTAÇÕES DE SERVIÇOS - MERCADO NACIONAL</t>
  </si>
  <si>
    <t>Serviço A -  Operação EVS / MISTURA</t>
  </si>
  <si>
    <t xml:space="preserve">Taxa de crescimento </t>
  </si>
  <si>
    <t>Serviço B - Realização</t>
  </si>
  <si>
    <t>Serviço C - Alugueres</t>
  </si>
  <si>
    <t>Serviço D - Avenças</t>
  </si>
  <si>
    <t>PRESTAÇÕES DE SERVIÇOS - EXPORTAÇÕES</t>
  </si>
  <si>
    <t>Serviço A</t>
  </si>
  <si>
    <t>Serviço B</t>
  </si>
  <si>
    <t>Serviço C</t>
  </si>
  <si>
    <t>Serviço D</t>
  </si>
  <si>
    <t>TOTAL VENDAS - MERCADO NACIONAL</t>
  </si>
  <si>
    <t>TOTAL VENDAS - EXPORTAÇÕES</t>
  </si>
  <si>
    <t>TOTAL VENDAS</t>
  </si>
  <si>
    <t>IVA VENDAS</t>
  </si>
  <si>
    <t>TOTAL PRESTAÇÕES DE SERVIÇOS - MERCADO NACIONAL</t>
  </si>
  <si>
    <t>TOTAL PRESTAÇÕES DE SERVIÇOS - EXPORTAÇÕES</t>
  </si>
  <si>
    <t>TOTAL PRESTAÇÕES SERVIÇOS</t>
  </si>
  <si>
    <t>IVA PRESTAÇÕES DE SERVIÇOS</t>
  </si>
  <si>
    <t>TOTAL VOLUME DE NEGÓCIOS</t>
  </si>
  <si>
    <t>IVA</t>
  </si>
  <si>
    <t>TOTAL VOLUME DE NEGÓCIOS + IVA</t>
  </si>
  <si>
    <t>Perdas por imparidade</t>
  </si>
  <si>
    <t>EMPRESA:</t>
  </si>
  <si>
    <t>CMVMC - Custo das Mercadorias Vendidas e Matérias Consumidas</t>
  </si>
  <si>
    <t>CMVMC</t>
  </si>
  <si>
    <t>Margem Bruta</t>
  </si>
  <si>
    <t>MERCADO NACIONAL</t>
  </si>
  <si>
    <t>MERCADO EXTERNO</t>
  </si>
  <si>
    <t>TOTAL CMVMC</t>
  </si>
  <si>
    <t>TOTAL CMVMC + IVA</t>
  </si>
  <si>
    <t>NOTA: Mapa construído caso a caso:</t>
  </si>
  <si>
    <t>a) Introduzir a Margem Bruta directamente, quando conhecida e passível de ser utilizada, ou efectuar a respectiva fórmula de cálculo;</t>
  </si>
  <si>
    <t>b) Efectuar os cálculos auxiliares considerados necessários para alcançar a o nível de matéria-prima por unidade produzida e introduzir manualmente os valores;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</si>
  <si>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</si>
  <si>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</si>
  <si>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FSE - Fornecimentos e Serviços Externos</t>
  </si>
  <si>
    <t>Nº Meses</t>
  </si>
  <si>
    <t>Taxa de crescimento</t>
  </si>
  <si>
    <t>Tx IVA</t>
  </si>
  <si>
    <t>CF</t>
  </si>
  <si>
    <t>CV</t>
  </si>
  <si>
    <t>Valor Mensal</t>
  </si>
  <si>
    <t>Subcontratos</t>
  </si>
  <si>
    <t>Serviços especializados</t>
  </si>
  <si>
    <t>Facturação - InvoiceXpress</t>
  </si>
  <si>
    <t>Alojamento/desenvolvimento Web Site</t>
  </si>
  <si>
    <t>Vigilância e segurança</t>
  </si>
  <si>
    <t>Honorários</t>
  </si>
  <si>
    <t>Comissões Bancárias</t>
  </si>
  <si>
    <t>Conservação e reparação</t>
  </si>
  <si>
    <t>Materiais</t>
  </si>
  <si>
    <t>Consumíveis</t>
  </si>
  <si>
    <t>Livros e documentação técnica</t>
  </si>
  <si>
    <t>Material de escritório</t>
  </si>
  <si>
    <t>Artigos para oferta</t>
  </si>
  <si>
    <t>Energia e fluidos</t>
  </si>
  <si>
    <t>Electricidade</t>
  </si>
  <si>
    <t>Combustíveis</t>
  </si>
  <si>
    <t>Água</t>
  </si>
  <si>
    <t>Deslocações, estadas e transportes</t>
  </si>
  <si>
    <t>Deslocações e Estadas</t>
  </si>
  <si>
    <t>Transportes de pessoal</t>
  </si>
  <si>
    <t>Transportes de mercadorias</t>
  </si>
  <si>
    <t>Serviços diversos</t>
  </si>
  <si>
    <t>Rendas e alugueres</t>
  </si>
  <si>
    <t>Comunicação</t>
  </si>
  <si>
    <t>Seguros</t>
  </si>
  <si>
    <t xml:space="preserve">Manutenções </t>
  </si>
  <si>
    <t>Contencioso e notariado</t>
  </si>
  <si>
    <t>Despesas de representação</t>
  </si>
  <si>
    <t>Limpeza, higiene e conforto</t>
  </si>
  <si>
    <t>Outros serviços</t>
  </si>
  <si>
    <t xml:space="preserve">TOTAL FSE  </t>
  </si>
  <si>
    <t>FSE - Custos Fixos</t>
  </si>
  <si>
    <t>FSE - Custos Variáveis</t>
  </si>
  <si>
    <t>TOTAL FSE</t>
  </si>
  <si>
    <t>FSE + IVA</t>
  </si>
  <si>
    <t>Gastos com o Pessoal</t>
  </si>
  <si>
    <t>Incremento Anual (Vencimentos + Sub. Almoço)</t>
  </si>
  <si>
    <t>Quadro de Pessoal</t>
  </si>
  <si>
    <t>Administração / Direcção</t>
  </si>
  <si>
    <t>Administrativa Financeira</t>
  </si>
  <si>
    <t>Comercial / Marketing</t>
  </si>
  <si>
    <t>Produção / Operacional</t>
  </si>
  <si>
    <t>Qualidade</t>
  </si>
  <si>
    <t>Manutenção</t>
  </si>
  <si>
    <t>Aprovisionamento</t>
  </si>
  <si>
    <t>Investigação &amp; Desenvolvimento</t>
  </si>
  <si>
    <t>Outros</t>
  </si>
  <si>
    <t>TOTAL</t>
  </si>
  <si>
    <t>Remuneração base mensal</t>
  </si>
  <si>
    <t>Remuneração base anual - TOTAL Colaboradores</t>
  </si>
  <si>
    <t>Outros Gastos</t>
  </si>
  <si>
    <t>Segurança Social</t>
  </si>
  <si>
    <t>Órgãos Sociais</t>
  </si>
  <si>
    <t>Pessoal</t>
  </si>
  <si>
    <t>Seguros Acidentes de Trabalho</t>
  </si>
  <si>
    <t>Subsídio Alimentação</t>
  </si>
  <si>
    <t>Comissões &amp; Prémios</t>
  </si>
  <si>
    <t xml:space="preserve">Formação </t>
  </si>
  <si>
    <t>Outros custos com pessoal</t>
  </si>
  <si>
    <t>TOTAL OUTROS GASTOS</t>
  </si>
  <si>
    <t>TOTAL GASTOS COM PESSOAL</t>
  </si>
  <si>
    <t>QUADRO RESUMO</t>
  </si>
  <si>
    <t>Remunerações</t>
  </si>
  <si>
    <t>Encargos sobre remunerações</t>
  </si>
  <si>
    <t>Seguros Acidentes de Trabalho e doenças profissionais</t>
  </si>
  <si>
    <t>Gastos de acção social</t>
  </si>
  <si>
    <t>Outros gastos com pessoal</t>
  </si>
  <si>
    <t>Retenções Colaboradores</t>
  </si>
  <si>
    <t>Retenção SS Colaborador</t>
  </si>
  <si>
    <t>Gerência / Administração</t>
  </si>
  <si>
    <t>Outro Pessoal</t>
  </si>
  <si>
    <t>Retenção IRS Colaborador</t>
  </si>
  <si>
    <t>TOTAL Retenções</t>
  </si>
  <si>
    <t>Investimento em Fundo Maneio Necessário</t>
  </si>
  <si>
    <t>Necessidades Fundo Maneio</t>
  </si>
  <si>
    <t>Reserva Segurança Tesouraria</t>
  </si>
  <si>
    <t>Clientes</t>
  </si>
  <si>
    <t>Inventários</t>
  </si>
  <si>
    <t>Estado</t>
  </si>
  <si>
    <t>*</t>
  </si>
  <si>
    <t>Recursos Fundo Maneio</t>
  </si>
  <si>
    <t>Fornecedores</t>
  </si>
  <si>
    <t>Fundo Maneio Necessário</t>
  </si>
  <si>
    <t>Investimento em Fundo de Maneio</t>
  </si>
  <si>
    <t>* A considerar caso seja necessário</t>
  </si>
  <si>
    <t>ESTADO</t>
  </si>
  <si>
    <t>SS</t>
  </si>
  <si>
    <t>IRS</t>
  </si>
  <si>
    <t>Investimento</t>
  </si>
  <si>
    <t>Investimento por ano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</si>
  <si>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</si>
  <si>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</si>
  <si>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</si>
  <si>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</si>
  <si>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</si>
  <si>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</si>
  <si>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Terrenos e Recursos Naturais</t>
  </si>
  <si>
    <t>Edificios e Outras Construções</t>
  </si>
  <si>
    <t>Equipamento  Básico</t>
  </si>
  <si>
    <t>Equipamento de Transporte</t>
  </si>
  <si>
    <t>Equipamento Administrativo</t>
  </si>
  <si>
    <t>Equipamentos biológicos</t>
  </si>
  <si>
    <t>Outros activos fixos tangiveis</t>
  </si>
  <si>
    <t>Total Activos Fixos Tangíveis</t>
  </si>
  <si>
    <t>Activos Intangíveis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</si>
  <si>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</si>
  <si>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</si>
  <si>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</si>
  <si>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</si>
  <si>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</si>
  <si>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Total Activos Intangíveis</t>
  </si>
  <si>
    <t>Total Investimento</t>
  </si>
  <si>
    <t xml:space="preserve">Valores Acumulados </t>
  </si>
  <si>
    <t xml:space="preserve">   Terrenos e Recursos Naturais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</si>
  <si>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</si>
  <si>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</si>
  <si>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</si>
  <si>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</si>
  <si>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 xml:space="preserve">   Equipamentos biológicos</t>
  </si>
  <si>
    <t xml:space="preserve">   Outros activos fixos tangiveis</t>
  </si>
  <si>
    <t xml:space="preserve">Total </t>
  </si>
  <si>
    <t>Taxas de Depreciações e amortizações</t>
  </si>
  <si>
    <t>* nota: se a taxa a utilizar for 33,33%, colocar mais uma casa decimal, considerando 33,333%</t>
  </si>
  <si>
    <t>Depreciações e amortizações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</si>
  <si>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</si>
  <si>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</si>
  <si>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</si>
  <si>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</si>
  <si>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</si>
  <si>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Depreciações &amp; Amortizações acumuladas</t>
  </si>
  <si>
    <t>Valores Balanço</t>
  </si>
  <si>
    <t>Financiamento</t>
  </si>
  <si>
    <t xml:space="preserve">Investimento </t>
  </si>
  <si>
    <t>Margem de segurança</t>
  </si>
  <si>
    <t>Necessidades de financiamento</t>
  </si>
  <si>
    <t>Fontes de Financiamento</t>
  </si>
  <si>
    <t>Meios Libertos</t>
  </si>
  <si>
    <t xml:space="preserve">Capital </t>
  </si>
  <si>
    <t>Outros instrumentos de capital</t>
  </si>
  <si>
    <t xml:space="preserve">Empréstimos de Sócios </t>
  </si>
  <si>
    <t>Financiamento bancário e outras Inst. Crédito</t>
  </si>
  <si>
    <t>Subsidios</t>
  </si>
  <si>
    <t>N.º de anos reembolso</t>
  </si>
  <si>
    <t>Taxa de juro associada</t>
  </si>
  <si>
    <t>Capital em dívida (início período)</t>
  </si>
  <si>
    <t>Taxa de Juro</t>
  </si>
  <si>
    <t>Juro Anual</t>
  </si>
  <si>
    <t>Reembolso Anual</t>
  </si>
  <si>
    <t>Imposto Selo (0,4%)</t>
  </si>
  <si>
    <t>Serviço da dívida</t>
  </si>
  <si>
    <t>Valor em dívida</t>
  </si>
  <si>
    <t>Valor em divida</t>
  </si>
  <si>
    <t>Capital em dívida</t>
  </si>
  <si>
    <t>Juros pagos com Imposto Selo incluído</t>
  </si>
  <si>
    <t>Reembolso</t>
  </si>
  <si>
    <t>Ponto Crítico Operacional Previsional</t>
  </si>
  <si>
    <t>Vendas e serviços prestados</t>
  </si>
  <si>
    <t>Variação nos inventários da produção</t>
  </si>
  <si>
    <t>FSE Variáveis</t>
  </si>
  <si>
    <t>Margem Bruta de Contribuição</t>
  </si>
  <si>
    <t>Ponto Crítico</t>
  </si>
  <si>
    <t>Demonstração de Resultados Previsional</t>
  </si>
  <si>
    <t>Subsídios à Exploração</t>
  </si>
  <si>
    <t>Ganhos/perdas imputados de subsidiárias, associadas e empreendimentos conjuntos</t>
  </si>
  <si>
    <t>Trabalhos para a própria entidade</t>
  </si>
  <si>
    <t>Fornecimento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</si>
  <si>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</si>
  <si>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</si>
  <si>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</si>
  <si>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</si>
  <si>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</si>
  <si>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</si>
  <si>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</si>
  <si>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</si>
  <si>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EBITDA (Resultado antes de depreciações, gastos de financiamento e impostos)</t>
  </si>
  <si>
    <t>Gastos/reversões de depreciação e amortização</t>
  </si>
  <si>
    <t>Imparidade de activos depreciáveis/amortizáveis (perdas/reversões)</t>
  </si>
  <si>
    <t>EBIT (Resultado Operacional)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</si>
  <si>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</si>
  <si>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</si>
  <si>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</si>
  <si>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</si>
  <si>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</si>
  <si>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Mapa de Cash Flows Operacionais</t>
  </si>
  <si>
    <t>Meios Libertos do Projecto</t>
  </si>
  <si>
    <t>Resultados Operacionais (EBIT) x (1-IRC)</t>
  </si>
  <si>
    <t>Provisões do exercício</t>
  </si>
  <si>
    <t>Investim./Desinvest. em Fundo Maneio</t>
  </si>
  <si>
    <t xml:space="preserve">   Fundo de Maneio</t>
  </si>
  <si>
    <t>CASH FLOW de Exploração</t>
  </si>
  <si>
    <t>Investim./Desinvest. em Capital Fixo</t>
  </si>
  <si>
    <t xml:space="preserve">   Capital Fixo</t>
  </si>
  <si>
    <t>Free cash-flow</t>
  </si>
  <si>
    <t>CASH FLOW acumulado</t>
  </si>
  <si>
    <t>Plano de Financiamento</t>
  </si>
  <si>
    <t>ORIGENS DE FUNDOS</t>
  </si>
  <si>
    <t>Meios Libertos Brutos</t>
  </si>
  <si>
    <t>Capital Social (entrada de fundos)</t>
  </si>
  <si>
    <t>Empréstimos Obtidos</t>
  </si>
  <si>
    <t>Desinvest. em Capital Fixo</t>
  </si>
  <si>
    <t>Desinvest. em FMN</t>
  </si>
  <si>
    <t>Proveitos Financeiros</t>
  </si>
  <si>
    <t>Total das Origens</t>
  </si>
  <si>
    <t>APLICAÇÕES DE FUNDOS</t>
  </si>
  <si>
    <t>Inv. Capital Fixo</t>
  </si>
  <si>
    <t>Inv Fundo de Maneio</t>
  </si>
  <si>
    <t xml:space="preserve">Imposto sobre os Lucros </t>
  </si>
  <si>
    <t xml:space="preserve">Pagamento de Dividendos </t>
  </si>
  <si>
    <t>Reembolso de Empréstimos</t>
  </si>
  <si>
    <t>Encargos Financeiros</t>
  </si>
  <si>
    <t>Total das Aplicações</t>
  </si>
  <si>
    <t>Saldo de Tesouraria Anual</t>
  </si>
  <si>
    <t>Saldo de Tesouraria Acumulado</t>
  </si>
  <si>
    <t>Aplicações / Empréstimo Curto Prazo</t>
  </si>
  <si>
    <t>Soma Controlo</t>
  </si>
  <si>
    <r>
      <rPr>
        <sz val="8"/>
        <color indexed="12"/>
        <rFont val="Arial Narrow"/>
      </rPr>
      <t>Dissolve, Lda</t>
    </r>
  </si>
  <si>
    <t>Balanço Previsional</t>
  </si>
  <si>
    <t>ACTIVO</t>
  </si>
  <si>
    <t>Activo Não Corrente</t>
  </si>
  <si>
    <t>Investimentos financeiros</t>
  </si>
  <si>
    <t>Activo corrente</t>
  </si>
  <si>
    <t>Estado e Outros Entes Públicos</t>
  </si>
  <si>
    <t>Accionistas/sócios</t>
  </si>
  <si>
    <t>Outras contas a receber</t>
  </si>
  <si>
    <t>Diferimentos</t>
  </si>
  <si>
    <t>Caixa e depósitos bancários</t>
  </si>
  <si>
    <t>TOTAL ACTIVO</t>
  </si>
  <si>
    <t>CAPITAL PRÓPRIO</t>
  </si>
  <si>
    <t>Capital realizado</t>
  </si>
  <si>
    <t>Acções (quotas próprias)</t>
  </si>
  <si>
    <t>Outros instrumentos de capital próprio</t>
  </si>
  <si>
    <t>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</si>
  <si>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</si>
  <si>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</si>
  <si>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</si>
  <si>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</si>
  <si>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</si>
  <si>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Passivo não corrente</t>
  </si>
  <si>
    <t>Provisões</t>
  </si>
  <si>
    <t>Financiamentos obtidos</t>
  </si>
  <si>
    <t>Outras Contas a pagar</t>
  </si>
  <si>
    <t>Passivo corrente</t>
  </si>
  <si>
    <t>Financiamentos Obtidos</t>
  </si>
  <si>
    <t>Outras contas a pagar</t>
  </si>
  <si>
    <t>TOTAL PASSIVO</t>
  </si>
  <si>
    <t>TOTAL PASSIVO + CAPITAIS PRÓPRIOS</t>
  </si>
  <si>
    <t>Principais Indicadores</t>
  </si>
  <si>
    <t>INDICADORES ECONÓMICOS</t>
  </si>
  <si>
    <t>Taxa de Crescimento do Negócio</t>
  </si>
  <si>
    <t>Rentabilidade Líquida sobre o rédito</t>
  </si>
  <si>
    <t>INDICADORES ECONÓMICOS - FINANCEIROS</t>
  </si>
  <si>
    <t>Return On Investment (ROI)</t>
  </si>
  <si>
    <t>Rendibilidade do Activo</t>
  </si>
  <si>
    <t>Rotação do Activo</t>
  </si>
  <si>
    <t>Rendibilidade dos Capitais Próprios (ROE)</t>
  </si>
  <si>
    <t>INDICADORES FINANCEIROS</t>
  </si>
  <si>
    <t>Autonomia Financeira</t>
  </si>
  <si>
    <t>Solvabilidade Total</t>
  </si>
  <si>
    <t>Cobertura dos encargos financeiros</t>
  </si>
  <si>
    <t>INDICADORES DE LIQUIDEZ</t>
  </si>
  <si>
    <t>Liquidez Corrente</t>
  </si>
  <si>
    <t>Liquidez Reduzida</t>
  </si>
  <si>
    <t>INDICADORES DE RISCO NEGÓCIO</t>
  </si>
  <si>
    <t>Grau de Alavanca Operacional</t>
  </si>
  <si>
    <t>Grau de Alavanca Financeira</t>
  </si>
  <si>
    <t>Avaliação do Projecto / Empresa</t>
  </si>
  <si>
    <t>Na perspectiva do Investidor</t>
  </si>
  <si>
    <t>Free Cash Flow do Equity</t>
  </si>
  <si>
    <t>CF Acum</t>
  </si>
  <si>
    <t>Taxa de juro de activos sem risco</t>
  </si>
  <si>
    <t>Ano 0</t>
  </si>
  <si>
    <t>Prémio de risco de mercado</t>
  </si>
  <si>
    <t>Ano 1</t>
  </si>
  <si>
    <t>Taxa de Actualização</t>
  </si>
  <si>
    <t>Ano 2</t>
  </si>
  <si>
    <t>Factor actualização</t>
  </si>
  <si>
    <t>Ano 3</t>
  </si>
  <si>
    <t>Ano 4</t>
  </si>
  <si>
    <t>Fluxos Actualizados</t>
  </si>
  <si>
    <t>Ano 5</t>
  </si>
  <si>
    <t>Ano 6</t>
  </si>
  <si>
    <t>Valor Actual Líquido (VAL)</t>
  </si>
  <si>
    <t>Taxa Interna de Rentibilidade</t>
  </si>
  <si>
    <t>Pay Back period</t>
  </si>
  <si>
    <t>Anos</t>
  </si>
  <si>
    <t>Na perspectiva do Projecto</t>
  </si>
  <si>
    <t>WACC</t>
  </si>
  <si>
    <t>Factor de actualização</t>
  </si>
  <si>
    <t>Fluxos actualizados</t>
  </si>
  <si>
    <t>Cálculo do WACC</t>
  </si>
  <si>
    <t>Passivo Remunerado</t>
  </si>
  <si>
    <t>Capital Próprio</t>
  </si>
  <si>
    <t>% Passivo remunerado</t>
  </si>
  <si>
    <t>% Capital Próprio</t>
  </si>
  <si>
    <t>Custo</t>
  </si>
  <si>
    <t>Custo Financiamento</t>
  </si>
  <si>
    <t>Custo financiamento com efeito fiscal</t>
  </si>
  <si>
    <t>Custo Capital</t>
  </si>
  <si>
    <t>Custo ponderado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</si>
  <si>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</si>
  <si>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</si>
  <si>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</si>
  <si>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</si>
  <si>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Produto A</t>
  </si>
  <si>
    <t>Produto B</t>
  </si>
  <si>
    <t>Produto C</t>
  </si>
  <si>
    <t>Produto D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</si>
  <si>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</si>
  <si>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</si>
  <si>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</si>
  <si>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</si>
  <si>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</si>
  <si>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</si>
  <si>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</si>
  <si>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Valor do consumo 2*</t>
  </si>
  <si>
    <t>1* obtido da  multiplicação da produção pelo consumo de matéria prima por unidade de produto acabado.</t>
  </si>
  <si>
    <t>2* obtido da multiplicação do consumo das matérias-primas pelo preço.</t>
  </si>
</sst>
</file>

<file path=xl/styles.xml><?xml version="1.0" encoding="utf-8"?>
<styleSheet xmlns="http://schemas.openxmlformats.org/spreadsheetml/2006/main">
  <numFmts count="11">
    <numFmt numFmtId="0" formatCode="General"/>
    <numFmt numFmtId="59" formatCode="0.0"/>
    <numFmt numFmtId="60" formatCode="0.0%"/>
    <numFmt numFmtId="61" formatCode="#,##0;[Red]#,##0"/>
    <numFmt numFmtId="62" formatCode="#,##0.0"/>
    <numFmt numFmtId="63" formatCode="#,##0.00;[Red]#,##0.00"/>
    <numFmt numFmtId="64" formatCode="0;[Red]0"/>
    <numFmt numFmtId="65" formatCode="0.000%"/>
    <numFmt numFmtId="66" formatCode="#,##0&quot; &quot;;&quot;-&quot;#,##0&quot; &quot;"/>
    <numFmt numFmtId="67" formatCode="0.000"/>
    <numFmt numFmtId="68" formatCode="[$USD] #,##0.00_);[Red]\([$USD] #,##0.00\)"/>
  </numFmts>
  <fonts count="39">
    <font>
      <sz val="12"/>
      <color indexed="8"/>
      <name val="Verdana"/>
    </font>
    <font>
      <sz val="8"/>
      <color indexed="8"/>
      <name val="Arial"/>
    </font>
    <font>
      <sz val="10"/>
      <color indexed="8"/>
      <name val="Tahoma"/>
    </font>
    <font>
      <sz val="13"/>
      <color indexed="8"/>
      <name val="Tahoma"/>
    </font>
    <font>
      <sz val="8"/>
      <color indexed="8"/>
      <name val="Arial Narrow"/>
    </font>
    <font>
      <b val="1"/>
      <sz val="12"/>
      <color indexed="11"/>
      <name val="Arial Narrow"/>
    </font>
    <font>
      <i val="1"/>
      <sz val="12"/>
      <color indexed="8"/>
      <name val="Arial Narrow"/>
    </font>
    <font>
      <b val="1"/>
      <u val="single"/>
      <sz val="10"/>
      <color indexed="8"/>
      <name val="Arial Narrow"/>
    </font>
    <font>
      <sz val="10"/>
      <color indexed="8"/>
      <name val="ITC Zapf Dingbats"/>
    </font>
    <font>
      <sz val="10"/>
      <color indexed="8"/>
      <name val="Arial Narrow"/>
    </font>
    <font>
      <b val="1"/>
      <sz val="8"/>
      <color indexed="12"/>
      <name val="Arial Narrow"/>
    </font>
    <font>
      <b val="1"/>
      <sz val="10"/>
      <color indexed="12"/>
      <name val="Arial Narrow"/>
    </font>
    <font>
      <sz val="8"/>
      <color indexed="14"/>
      <name val="Arial Narrow"/>
    </font>
    <font>
      <sz val="10"/>
      <color indexed="12"/>
      <name val="Arial Narrow"/>
    </font>
    <font>
      <sz val="8"/>
      <color indexed="15"/>
      <name val="Arial Narrow"/>
    </font>
    <font>
      <sz val="8"/>
      <color indexed="17"/>
      <name val="Arial Narrow"/>
    </font>
    <font>
      <i val="1"/>
      <u val="single"/>
      <sz val="8"/>
      <color indexed="17"/>
      <name val="Arial Narrow"/>
    </font>
    <font>
      <b val="1"/>
      <sz val="8"/>
      <color indexed="8"/>
      <name val="Arial Narrow"/>
    </font>
    <font>
      <sz val="8"/>
      <color indexed="8"/>
      <name val="Trebuchet MS"/>
    </font>
    <font>
      <sz val="8"/>
      <color indexed="12"/>
      <name val="Arial Narrow"/>
    </font>
    <font>
      <b val="1"/>
      <sz val="8"/>
      <color indexed="11"/>
      <name val="Arial Narrow"/>
    </font>
    <font>
      <sz val="8"/>
      <color indexed="18"/>
      <name val="Arial Narrow"/>
    </font>
    <font>
      <b val="1"/>
      <sz val="8"/>
      <color indexed="17"/>
      <name val="Arial Narrow"/>
    </font>
    <font>
      <sz val="11"/>
      <color indexed="8"/>
      <name val="Helvetica"/>
    </font>
    <font>
      <b val="1"/>
      <u val="single"/>
      <sz val="8"/>
      <color indexed="8"/>
      <name val="Arial Narrow"/>
    </font>
    <font>
      <b val="1"/>
      <i val="1"/>
      <u val="single"/>
      <sz val="8"/>
      <color indexed="8"/>
      <name val="Arial Narrow"/>
    </font>
    <font>
      <i val="1"/>
      <sz val="8"/>
      <color indexed="8"/>
      <name val="Arial Narrow"/>
    </font>
    <font>
      <sz val="8"/>
      <color indexed="19"/>
      <name val="Arial Narrow"/>
    </font>
    <font>
      <b val="1"/>
      <i val="1"/>
      <sz val="8"/>
      <color indexed="8"/>
      <name val="Arial Narrow"/>
    </font>
    <font>
      <b val="1"/>
      <sz val="8"/>
      <color indexed="19"/>
      <name val="Arial Narrow"/>
    </font>
    <font>
      <sz val="8"/>
      <color indexed="21"/>
      <name val="Arial Narrow"/>
    </font>
    <font>
      <sz val="8"/>
      <color indexed="22"/>
      <name val="Arial Narrow"/>
    </font>
    <font>
      <sz val="8"/>
      <color indexed="23"/>
      <name val="Arial Narrow"/>
    </font>
    <font>
      <sz val="8"/>
      <color indexed="8"/>
      <name val="Tahoma"/>
    </font>
    <font>
      <b val="1"/>
      <sz val="8"/>
      <color indexed="8"/>
      <name val="Arial"/>
    </font>
    <font>
      <b val="1"/>
      <sz val="10"/>
      <color indexed="24"/>
      <name val="Arial Narrow"/>
    </font>
    <font>
      <sz val="8"/>
      <color indexed="9"/>
      <name val="Arial Narrow"/>
    </font>
    <font>
      <u val="single"/>
      <sz val="8"/>
      <color indexed="8"/>
      <name val="Arial Narrow"/>
    </font>
    <font>
      <sz val="12"/>
      <color indexed="8"/>
      <name val="Helvetica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20"/>
        <bgColor auto="1"/>
      </patternFill>
    </fill>
  </fills>
  <borders count="105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/>
      <top/>
      <bottom style="thin">
        <color indexed="9"/>
      </bottom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/>
      <bottom style="thin">
        <color indexed="10"/>
      </bottom>
      <diagonal/>
    </border>
    <border>
      <left style="thin">
        <color indexed="9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/>
      <diagonal/>
    </border>
    <border>
      <left style="thin">
        <color indexed="10"/>
      </left>
      <right/>
      <top/>
      <bottom style="thin">
        <color indexed="9"/>
      </bottom>
      <diagonal/>
    </border>
    <border>
      <left style="thin">
        <color indexed="10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10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/>
      <bottom/>
      <diagonal/>
    </border>
    <border>
      <left/>
      <right style="thin">
        <color indexed="10"/>
      </right>
      <top/>
      <bottom style="thin">
        <color indexed="11"/>
      </bottom>
      <diagonal/>
    </border>
    <border>
      <left/>
      <right style="thin">
        <color indexed="10"/>
      </right>
      <top style="thin">
        <color indexed="11"/>
      </top>
      <bottom/>
      <diagonal/>
    </border>
    <border>
      <left/>
      <right style="thin">
        <color indexed="10"/>
      </right>
      <top/>
      <bottom style="thin">
        <color indexed="9"/>
      </bottom>
      <diagonal/>
    </border>
    <border>
      <left/>
      <right style="thin">
        <color indexed="10"/>
      </right>
      <top style="thin">
        <color indexed="9"/>
      </top>
      <bottom/>
      <diagonal/>
    </border>
    <border>
      <left/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/>
      <top style="thin">
        <color indexed="11"/>
      </top>
      <bottom style="thin">
        <color indexed="9"/>
      </bottom>
      <diagonal/>
    </border>
    <border>
      <left/>
      <right/>
      <top style="thin">
        <color indexed="11"/>
      </top>
      <bottom style="thin">
        <color indexed="9"/>
      </bottom>
      <diagonal/>
    </border>
    <border>
      <left/>
      <right style="thin">
        <color indexed="10"/>
      </right>
      <top style="thin">
        <color indexed="11"/>
      </top>
      <bottom style="thin">
        <color indexed="9"/>
      </bottom>
      <diagonal/>
    </border>
    <border>
      <left style="thin">
        <color indexed="10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10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0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0"/>
      </right>
      <top style="thin">
        <color indexed="18"/>
      </top>
      <bottom/>
      <diagonal/>
    </border>
    <border>
      <left style="thin">
        <color indexed="10"/>
      </left>
      <right/>
      <top/>
      <bottom style="thin">
        <color indexed="20"/>
      </bottom>
      <diagonal/>
    </border>
    <border>
      <left/>
      <right/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9"/>
      </bottom>
      <diagonal/>
    </border>
    <border>
      <left style="thin">
        <color indexed="20"/>
      </left>
      <right/>
      <top/>
      <bottom/>
      <diagonal/>
    </border>
    <border>
      <left style="thin">
        <color indexed="9"/>
      </left>
      <right/>
      <top style="thin">
        <color indexed="20"/>
      </top>
      <bottom style="thin">
        <color indexed="9"/>
      </bottom>
      <diagonal/>
    </border>
    <border>
      <left/>
      <right style="thin">
        <color indexed="9"/>
      </right>
      <top style="thin">
        <color indexed="2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/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11"/>
      </top>
      <bottom style="medium">
        <color indexed="9"/>
      </bottom>
      <diagonal/>
    </border>
    <border>
      <left/>
      <right/>
      <top style="thin">
        <color indexed="11"/>
      </top>
      <bottom style="medium">
        <color indexed="9"/>
      </bottom>
      <diagonal/>
    </border>
    <border>
      <left/>
      <right style="thin">
        <color indexed="10"/>
      </right>
      <top style="thin">
        <color indexed="11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24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medium">
        <color indexed="24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24"/>
      </bottom>
      <diagonal/>
    </border>
    <border>
      <left style="medium">
        <color indexed="9"/>
      </left>
      <right style="thin">
        <color indexed="9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24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10"/>
      </left>
      <right/>
      <top style="thin">
        <color indexed="9"/>
      </top>
      <bottom style="medium">
        <color indexed="9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 style="thin">
        <color indexed="10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9"/>
      </top>
      <bottom style="medium">
        <color indexed="20"/>
      </bottom>
      <diagonal/>
    </border>
    <border>
      <left/>
      <right style="thin">
        <color indexed="10"/>
      </right>
      <top style="medium">
        <color indexed="9"/>
      </top>
      <bottom style="medium">
        <color indexed="20"/>
      </bottom>
      <diagonal/>
    </border>
    <border>
      <left style="thin">
        <color indexed="9"/>
      </left>
      <right style="thin">
        <color indexed="9"/>
      </right>
      <top style="medium">
        <color indexed="20"/>
      </top>
      <bottom style="medium">
        <color indexed="24"/>
      </bottom>
      <diagonal/>
    </border>
    <border>
      <left style="thin">
        <color indexed="9"/>
      </left>
      <right style="medium">
        <color indexed="20"/>
      </right>
      <top style="medium">
        <color indexed="20"/>
      </top>
      <bottom style="medium">
        <color indexed="24"/>
      </bottom>
      <diagonal/>
    </border>
    <border>
      <left style="thin">
        <color indexed="9"/>
      </left>
      <right style="medium">
        <color indexed="20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medium">
        <color indexed="20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20"/>
      </bottom>
      <diagonal/>
    </border>
    <border>
      <left style="thin">
        <color indexed="9"/>
      </left>
      <right style="medium">
        <color indexed="20"/>
      </right>
      <top style="thin">
        <color indexed="9"/>
      </top>
      <bottom style="medium">
        <color indexed="20"/>
      </bottom>
      <diagonal/>
    </border>
    <border>
      <left/>
      <right/>
      <top style="medium">
        <color indexed="20"/>
      </top>
      <bottom style="medium">
        <color indexed="9"/>
      </bottom>
      <diagonal/>
    </border>
    <border>
      <left/>
      <right style="thin">
        <color indexed="10"/>
      </right>
      <top style="medium">
        <color indexed="20"/>
      </top>
      <bottom style="medium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627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2" fillId="2" borderId="1" applyNumberFormat="0" applyFont="1" applyFill="1" applyBorder="1" applyAlignment="1" applyProtection="0">
      <alignment vertical="bottom"/>
    </xf>
    <xf numFmtId="1" fontId="4" borderId="2" applyNumberFormat="1" applyFont="1" applyFill="0" applyBorder="1" applyAlignment="1" applyProtection="0">
      <alignment vertical="bottom"/>
    </xf>
    <xf numFmtId="0" fontId="2" fillId="2" borderId="2" applyNumberFormat="0" applyFont="1" applyFill="1" applyBorder="1" applyAlignment="1" applyProtection="0">
      <alignment vertical="bottom"/>
    </xf>
    <xf numFmtId="0" fontId="2" fillId="2" borderId="3" applyNumberFormat="0" applyFont="1" applyFill="1" applyBorder="1" applyAlignment="1" applyProtection="0">
      <alignment vertical="bottom"/>
    </xf>
    <xf numFmtId="0" fontId="2" fillId="2" borderId="4" applyNumberFormat="0" applyFont="1" applyFill="1" applyBorder="1" applyAlignment="1" applyProtection="0">
      <alignment vertical="bottom"/>
    </xf>
    <xf numFmtId="1" fontId="4" borderId="5" applyNumberFormat="1" applyFont="1" applyFill="0" applyBorder="1" applyAlignment="1" applyProtection="0">
      <alignment vertical="bottom"/>
    </xf>
    <xf numFmtId="0" fontId="2" fillId="2" borderId="5" applyNumberFormat="0" applyFont="1" applyFill="1" applyBorder="1" applyAlignment="1" applyProtection="0">
      <alignment vertical="bottom"/>
    </xf>
    <xf numFmtId="0" fontId="2" fillId="2" borderId="6" applyNumberFormat="0" applyFont="1" applyFill="1" applyBorder="1" applyAlignment="1" applyProtection="0">
      <alignment vertical="bottom"/>
    </xf>
    <xf numFmtId="0" fontId="5" borderId="7" applyNumberFormat="1" applyFont="1" applyFill="0" applyBorder="1" applyAlignment="1" applyProtection="0">
      <alignment horizontal="center" vertical="bottom"/>
    </xf>
    <xf numFmtId="1" fontId="5" borderId="7" applyNumberFormat="1" applyFont="1" applyFill="0" applyBorder="1" applyAlignment="1" applyProtection="0">
      <alignment horizontal="center" vertical="bottom"/>
    </xf>
    <xf numFmtId="1" fontId="4" borderId="8" applyNumberFormat="1" applyFont="1" applyFill="0" applyBorder="1" applyAlignment="1" applyProtection="0">
      <alignment vertical="bottom"/>
    </xf>
    <xf numFmtId="0" fontId="6" borderId="5" applyNumberFormat="1" applyFont="1" applyFill="0" applyBorder="1" applyAlignment="1" applyProtection="0">
      <alignment horizontal="center" vertical="center" wrapText="1"/>
    </xf>
    <xf numFmtId="1" fontId="6" borderId="5" applyNumberFormat="1" applyFont="1" applyFill="0" applyBorder="1" applyAlignment="1" applyProtection="0">
      <alignment horizontal="center" vertical="center" wrapText="1"/>
    </xf>
    <xf numFmtId="0" fontId="7" borderId="5" applyNumberFormat="1" applyFont="1" applyFill="0" applyBorder="1" applyAlignment="1" applyProtection="0">
      <alignment vertical="bottom"/>
    </xf>
    <xf numFmtId="1" fontId="7" borderId="5" applyNumberFormat="1" applyFont="1" applyFill="0" applyBorder="1" applyAlignment="1" applyProtection="0">
      <alignment vertical="bottom"/>
    </xf>
    <xf numFmtId="0" fontId="8" borderId="5" applyNumberFormat="1" applyFont="1" applyFill="0" applyBorder="1" applyAlignment="1" applyProtection="0">
      <alignment horizontal="left" vertical="bottom"/>
    </xf>
    <xf numFmtId="1" fontId="8" borderId="5" applyNumberFormat="1" applyFont="1" applyFill="0" applyBorder="1" applyAlignment="1" applyProtection="0">
      <alignment horizontal="left" vertical="bottom"/>
    </xf>
    <xf numFmtId="0" fontId="8" borderId="5" applyNumberFormat="1" applyFont="1" applyFill="0" applyBorder="1" applyAlignment="1" applyProtection="0">
      <alignment horizontal="left" vertical="bottom" wrapText="1"/>
    </xf>
    <xf numFmtId="1" fontId="8" borderId="5" applyNumberFormat="1" applyFont="1" applyFill="0" applyBorder="1" applyAlignment="1" applyProtection="0">
      <alignment horizontal="left" vertical="bottom" wrapText="1"/>
    </xf>
    <xf numFmtId="1" fontId="9" borderId="5" applyNumberFormat="1" applyFont="1" applyFill="0" applyBorder="1" applyAlignment="1" applyProtection="0">
      <alignment vertical="bottom"/>
    </xf>
    <xf numFmtId="1" fontId="7" borderId="9" applyNumberFormat="1" applyFont="1" applyFill="0" applyBorder="1" applyAlignment="1" applyProtection="0">
      <alignment vertical="bottom"/>
    </xf>
    <xf numFmtId="0" fontId="2" fillId="2" borderId="10" applyNumberFormat="0" applyFont="1" applyFill="1" applyBorder="1" applyAlignment="1" applyProtection="0">
      <alignment vertical="bottom"/>
    </xf>
    <xf numFmtId="0" fontId="10" fillId="3" borderId="11" applyNumberFormat="1" applyFont="1" applyFill="1" applyBorder="1" applyAlignment="1" applyProtection="0">
      <alignment horizontal="center" vertical="center"/>
    </xf>
    <xf numFmtId="0" fontId="9" borderId="12" applyNumberFormat="1" applyFont="1" applyFill="0" applyBorder="1" applyAlignment="1" applyProtection="0">
      <alignment vertical="center" wrapText="1"/>
    </xf>
    <xf numFmtId="1" fontId="7" borderId="13" applyNumberFormat="1" applyFont="1" applyFill="0" applyBorder="1" applyAlignment="1" applyProtection="0">
      <alignment vertical="bottom"/>
    </xf>
    <xf numFmtId="1" fontId="9" borderId="13" applyNumberFormat="1" applyFont="1" applyFill="0" applyBorder="1" applyAlignment="1" applyProtection="0">
      <alignment horizontal="left" vertical="bottom"/>
    </xf>
    <xf numFmtId="1" fontId="9" borderId="5" applyNumberFormat="1" applyFont="1" applyFill="0" applyBorder="1" applyAlignment="1" applyProtection="0">
      <alignment horizontal="left" vertical="bottom"/>
    </xf>
    <xf numFmtId="0" fontId="9" borderId="12" applyNumberFormat="1" applyFont="1" applyFill="0" applyBorder="1" applyAlignment="1" applyProtection="0">
      <alignment vertical="center"/>
    </xf>
    <xf numFmtId="1" fontId="9" borderId="13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vertical="bottom"/>
    </xf>
    <xf numFmtId="0" fontId="2" fillId="2" borderId="14" applyNumberFormat="0" applyFont="1" applyFill="1" applyBorder="1" applyAlignment="1" applyProtection="0">
      <alignment vertical="bottom"/>
    </xf>
    <xf numFmtId="0" fontId="9" borderId="15" applyNumberFormat="1" applyFont="1" applyFill="0" applyBorder="1" applyAlignment="1" applyProtection="0">
      <alignment vertical="center" wrapText="1"/>
    </xf>
    <xf numFmtId="0" fontId="2" fillId="2" borderId="16" applyNumberFormat="0" applyFont="1" applyFill="1" applyBorder="1" applyAlignment="1" applyProtection="0">
      <alignment vertical="bottom"/>
    </xf>
    <xf numFmtId="0" fontId="2" fillId="2" borderId="17" applyNumberFormat="0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1" borderId="1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horizontal="right" vertical="bottom"/>
    </xf>
    <xf numFmtId="0" fontId="13" fillId="4" borderId="2" applyNumberFormat="1" applyFont="1" applyFill="1" applyBorder="1" applyAlignment="1" applyProtection="0">
      <alignment horizontal="right" vertical="bottom"/>
    </xf>
    <xf numFmtId="1" fontId="4" borderId="4" applyNumberFormat="1" applyFont="1" applyFill="0" applyBorder="1" applyAlignment="1" applyProtection="0">
      <alignment vertical="bottom"/>
    </xf>
    <xf numFmtId="0" fontId="5" borderId="18" applyNumberFormat="1" applyFont="1" applyFill="0" applyBorder="1" applyAlignment="1" applyProtection="0">
      <alignment horizontal="center" vertical="bottom"/>
    </xf>
    <xf numFmtId="1" fontId="4" borderId="19" applyNumberFormat="1" applyFont="1" applyFill="0" applyBorder="1" applyAlignment="1" applyProtection="0">
      <alignment vertical="bottom"/>
    </xf>
    <xf numFmtId="1" fontId="14" borderId="8" applyNumberFormat="1" applyFont="1" applyFill="0" applyBorder="1" applyAlignment="1" applyProtection="0">
      <alignment vertical="bottom"/>
    </xf>
    <xf numFmtId="0" fontId="6" borderId="4" applyNumberFormat="1" applyFont="1" applyFill="0" applyBorder="1" applyAlignment="1" applyProtection="0">
      <alignment horizontal="center" vertical="bottom"/>
    </xf>
    <xf numFmtId="1" fontId="6" borderId="5" applyNumberFormat="1" applyFont="1" applyFill="0" applyBorder="1" applyAlignment="1" applyProtection="0">
      <alignment horizontal="center" vertical="bottom"/>
    </xf>
    <xf numFmtId="1" fontId="14" borderId="5" applyNumberFormat="1" applyFont="1" applyFill="0" applyBorder="1" applyAlignment="1" applyProtection="0">
      <alignment vertical="bottom"/>
    </xf>
    <xf numFmtId="1" fontId="4" borderId="20" applyNumberFormat="1" applyFont="1" applyFill="0" applyBorder="1" applyAlignment="1" applyProtection="0">
      <alignment vertical="bottom"/>
    </xf>
    <xf numFmtId="1" fontId="4" borderId="9" applyNumberFormat="1" applyFont="1" applyFill="0" applyBorder="1" applyAlignment="1" applyProtection="0">
      <alignment vertical="bottom"/>
    </xf>
    <xf numFmtId="9" fontId="4" borderId="5" applyNumberFormat="1" applyFont="1" applyFill="0" applyBorder="1" applyAlignment="1" applyProtection="0">
      <alignment vertical="bottom"/>
    </xf>
    <xf numFmtId="2" fontId="4" borderId="5" applyNumberFormat="1" applyFont="1" applyFill="0" applyBorder="1" applyAlignment="1" applyProtection="0">
      <alignment vertical="bottom"/>
    </xf>
    <xf numFmtId="1" fontId="4" borderId="5" applyNumberFormat="1" applyFont="1" applyFill="0" applyBorder="1" applyAlignment="1" applyProtection="0">
      <alignment vertical="bottom" wrapText="1"/>
    </xf>
    <xf numFmtId="0" fontId="4" fillId="5" borderId="11" applyNumberFormat="1" applyFont="1" applyFill="1" applyBorder="1" applyAlignment="1" applyProtection="0">
      <alignment vertical="bottom"/>
    </xf>
    <xf numFmtId="0" fontId="15" borderId="11" applyNumberFormat="1" applyFont="1" applyFill="0" applyBorder="1" applyAlignment="1" applyProtection="0">
      <alignment horizontal="right" vertical="bottom"/>
    </xf>
    <xf numFmtId="9" fontId="4" borderId="12" applyNumberFormat="1" applyFont="1" applyFill="0" applyBorder="1" applyAlignment="1" applyProtection="0">
      <alignment vertical="bottom"/>
    </xf>
    <xf numFmtId="1" fontId="4" borderId="21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horizontal="right" vertical="bottom"/>
    </xf>
    <xf numFmtId="9" fontId="4" borderId="9" applyNumberFormat="1" applyFont="1" applyFill="0" applyBorder="1" applyAlignment="1" applyProtection="0">
      <alignment vertical="bottom"/>
    </xf>
    <xf numFmtId="59" fontId="15" borderId="11" applyNumberFormat="1" applyFont="1" applyFill="0" applyBorder="1" applyAlignment="1" applyProtection="0">
      <alignment horizontal="right" vertical="bottom"/>
    </xf>
    <xf numFmtId="2" fontId="4" borderId="12" applyNumberFormat="1" applyFont="1" applyFill="0" applyBorder="1" applyAlignment="1" applyProtection="0">
      <alignment vertical="bottom"/>
    </xf>
    <xf numFmtId="0" fontId="15" borderId="11" applyNumberFormat="1" applyFont="1" applyFill="0" applyBorder="1" applyAlignment="1" applyProtection="0">
      <alignment vertical="bottom"/>
    </xf>
    <xf numFmtId="9" fontId="4" borderId="22" applyNumberFormat="1" applyFont="1" applyFill="0" applyBorder="1" applyAlignment="1" applyProtection="0">
      <alignment vertical="bottom"/>
    </xf>
    <xf numFmtId="9" fontId="15" borderId="11" applyNumberFormat="1" applyFont="1" applyFill="0" applyBorder="1" applyAlignment="1" applyProtection="0">
      <alignment vertical="bottom"/>
    </xf>
    <xf numFmtId="1" fontId="4" borderId="12" applyNumberFormat="1" applyFont="1" applyFill="0" applyBorder="1" applyAlignment="1" applyProtection="0">
      <alignment vertical="bottom"/>
    </xf>
    <xf numFmtId="9" fontId="15" borderId="12" applyNumberFormat="1" applyFont="1" applyFill="0" applyBorder="1" applyAlignment="1" applyProtection="0">
      <alignment horizontal="left" vertical="bottom"/>
    </xf>
    <xf numFmtId="10" fontId="15" borderId="11" applyNumberFormat="1" applyFont="1" applyFill="0" applyBorder="1" applyAlignment="1" applyProtection="0">
      <alignment vertical="bottom"/>
    </xf>
    <xf numFmtId="2" fontId="4" borderId="9" applyNumberFormat="1" applyFont="1" applyFill="0" applyBorder="1" applyAlignment="1" applyProtection="0">
      <alignment vertical="bottom"/>
    </xf>
    <xf numFmtId="1" fontId="4" borderId="9" applyNumberFormat="1" applyFont="1" applyFill="0" applyBorder="1" applyAlignment="1" applyProtection="0">
      <alignment vertical="bottom" wrapText="1"/>
    </xf>
    <xf numFmtId="0" fontId="15" borderId="23" applyNumberFormat="1" applyFont="1" applyFill="0" applyBorder="1" applyAlignment="1" applyProtection="0">
      <alignment horizontal="left" vertical="center"/>
    </xf>
    <xf numFmtId="9" fontId="15" borderId="22" applyNumberFormat="1" applyFont="1" applyFill="0" applyBorder="1" applyAlignment="1" applyProtection="0">
      <alignment horizontal="left" vertical="center"/>
    </xf>
    <xf numFmtId="9" fontId="15" borderId="24" applyNumberFormat="1" applyFont="1" applyFill="0" applyBorder="1" applyAlignment="1" applyProtection="0">
      <alignment horizontal="left" vertical="center"/>
    </xf>
    <xf numFmtId="0" fontId="2" fillId="2" borderId="12" applyNumberFormat="0" applyFont="1" applyFill="1" applyBorder="1" applyAlignment="1" applyProtection="0">
      <alignment vertical="bottom"/>
    </xf>
    <xf numFmtId="0" fontId="15" borderId="12" applyNumberFormat="1" applyFont="1" applyFill="0" applyBorder="1" applyAlignment="1" applyProtection="0">
      <alignment horizontal="left" vertical="center"/>
    </xf>
    <xf numFmtId="9" fontId="15" borderId="5" applyNumberFormat="1" applyFont="1" applyFill="0" applyBorder="1" applyAlignment="1" applyProtection="0">
      <alignment horizontal="left" vertical="center"/>
    </xf>
    <xf numFmtId="9" fontId="15" borderId="25" applyNumberFormat="1" applyFont="1" applyFill="0" applyBorder="1" applyAlignment="1" applyProtection="0">
      <alignment horizontal="left" vertical="center"/>
    </xf>
    <xf numFmtId="2" fontId="15" borderId="11" applyNumberFormat="1" applyFont="1" applyFill="0" applyBorder="1" applyAlignment="1" applyProtection="0">
      <alignment vertical="bottom"/>
    </xf>
    <xf numFmtId="0" fontId="15" borderId="26" applyNumberFormat="1" applyFont="1" applyFill="0" applyBorder="1" applyAlignment="1" applyProtection="0">
      <alignment horizontal="left" vertical="center"/>
    </xf>
    <xf numFmtId="9" fontId="15" borderId="9" applyNumberFormat="1" applyFont="1" applyFill="0" applyBorder="1" applyAlignment="1" applyProtection="0">
      <alignment horizontal="left" vertical="center"/>
    </xf>
    <xf numFmtId="9" fontId="15" borderId="27" applyNumberFormat="1" applyFont="1" applyFill="0" applyBorder="1" applyAlignment="1" applyProtection="0">
      <alignment horizontal="left" vertical="center"/>
    </xf>
    <xf numFmtId="0" fontId="4" borderId="28" applyNumberFormat="1" applyFont="1" applyFill="0" applyBorder="1" applyAlignment="1" applyProtection="0">
      <alignment vertical="bottom"/>
    </xf>
    <xf numFmtId="1" fontId="4" borderId="22" applyNumberFormat="1" applyFont="1" applyFill="0" applyBorder="1" applyAlignment="1" applyProtection="0">
      <alignment vertical="bottom"/>
    </xf>
    <xf numFmtId="2" fontId="4" borderId="22" applyNumberFormat="1" applyFont="1" applyFill="0" applyBorder="1" applyAlignment="1" applyProtection="0">
      <alignment vertical="bottom"/>
    </xf>
    <xf numFmtId="1" fontId="4" borderId="22" applyNumberFormat="1" applyFont="1" applyFill="0" applyBorder="1" applyAlignment="1" applyProtection="0">
      <alignment vertical="bottom" wrapText="1"/>
    </xf>
    <xf numFmtId="0" fontId="17" borderId="4" applyNumberFormat="1" applyFont="1" applyFill="0" applyBorder="1" applyAlignment="1" applyProtection="0">
      <alignment vertical="bottom"/>
    </xf>
    <xf numFmtId="0" fontId="17" fillId="5" borderId="29" applyNumberFormat="1" applyFont="1" applyFill="1" applyBorder="1" applyAlignment="1" applyProtection="0">
      <alignment horizontal="left" vertical="bottom"/>
    </xf>
    <xf numFmtId="0" fontId="4" borderId="28" applyNumberFormat="1" applyFont="1" applyFill="0" applyBorder="1" applyAlignment="1" applyProtection="0">
      <alignment horizontal="left" vertical="center" wrapText="1"/>
    </xf>
    <xf numFmtId="1" fontId="4" borderId="5" applyNumberFormat="1" applyFont="1" applyFill="0" applyBorder="1" applyAlignment="1" applyProtection="0">
      <alignment horizontal="left" vertical="center" wrapText="1"/>
    </xf>
    <xf numFmtId="1" fontId="4" borderId="4" applyNumberFormat="1" applyFont="1" applyFill="0" applyBorder="1" applyAlignment="1" applyProtection="0">
      <alignment horizontal="left" vertical="center" wrapText="1"/>
    </xf>
    <xf numFmtId="1" fontId="4" borderId="20" applyNumberFormat="1" applyFont="1" applyFill="0" applyBorder="1" applyAlignment="1" applyProtection="0">
      <alignment horizontal="left" vertical="center" wrapText="1"/>
    </xf>
    <xf numFmtId="1" fontId="4" fillId="2" borderId="5" applyNumberFormat="1" applyFont="1" applyFill="1" applyBorder="1" applyAlignment="1" applyProtection="0">
      <alignment vertical="bottom"/>
    </xf>
    <xf numFmtId="1" fontId="4" fillId="2" borderId="6" applyNumberFormat="1" applyFont="1" applyFill="1" applyBorder="1" applyAlignment="1" applyProtection="0">
      <alignment vertical="bottom"/>
    </xf>
    <xf numFmtId="1" fontId="4" fillId="2" borderId="4" applyNumberFormat="1" applyFont="1" applyFill="1" applyBorder="1" applyAlignment="1" applyProtection="0">
      <alignment vertical="bottom"/>
    </xf>
    <xf numFmtId="60" fontId="4" fillId="2" borderId="5" applyNumberFormat="1" applyFont="1" applyFill="1" applyBorder="1" applyAlignment="1" applyProtection="0">
      <alignment vertical="bottom"/>
    </xf>
    <xf numFmtId="2" fontId="4" fillId="2" borderId="5" applyNumberFormat="1" applyFont="1" applyFill="1" applyBorder="1" applyAlignment="1" applyProtection="0">
      <alignment vertical="bottom"/>
    </xf>
    <xf numFmtId="10" fontId="4" fillId="2" borderId="5" applyNumberFormat="1" applyFont="1" applyFill="1" applyBorder="1" applyAlignment="1" applyProtection="0">
      <alignment vertical="bottom"/>
    </xf>
    <xf numFmtId="9" fontId="4" fillId="2" borderId="5" applyNumberFormat="1" applyFont="1" applyFill="1" applyBorder="1" applyAlignment="1" applyProtection="0">
      <alignment vertical="bottom"/>
    </xf>
    <xf numFmtId="1" fontId="4" fillId="2" borderId="5" applyNumberFormat="1" applyFont="1" applyFill="1" applyBorder="1" applyAlignment="1" applyProtection="0">
      <alignment vertical="bottom" wrapText="1"/>
    </xf>
    <xf numFmtId="1" fontId="4" fillId="2" borderId="30" applyNumberFormat="1" applyFont="1" applyFill="1" applyBorder="1" applyAlignment="1" applyProtection="0">
      <alignment vertical="bottom"/>
    </xf>
    <xf numFmtId="1" fontId="4" fillId="2" borderId="16" applyNumberFormat="1" applyFont="1" applyFill="1" applyBorder="1" applyAlignment="1" applyProtection="0">
      <alignment vertical="bottom"/>
    </xf>
    <xf numFmtId="1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8" borderId="1" applyNumberFormat="1" applyFont="1" applyFill="0" applyBorder="1" applyAlignment="1" applyProtection="0">
      <alignment vertical="bottom"/>
    </xf>
    <xf numFmtId="1" fontId="18" borderId="2" applyNumberFormat="1" applyFont="1" applyFill="0" applyBorder="1" applyAlignment="1" applyProtection="0">
      <alignment vertical="bottom"/>
    </xf>
    <xf numFmtId="1" fontId="19" borderId="2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vertical="bottom"/>
    </xf>
    <xf numFmtId="0" fontId="10" borderId="4" applyNumberFormat="1" applyFont="1" applyFill="0" applyBorder="1" applyAlignment="1" applyProtection="0">
      <alignment vertical="bottom"/>
    </xf>
    <xf numFmtId="1" fontId="19" borderId="5" applyNumberFormat="1" applyFont="1" applyFill="0" applyBorder="1" applyAlignment="1" applyProtection="0">
      <alignment vertical="bottom"/>
    </xf>
    <xf numFmtId="0" fontId="4" borderId="5" applyNumberFormat="1" applyFont="1" applyFill="0" applyBorder="1" applyAlignment="1" applyProtection="0">
      <alignment horizontal="right" vertical="bottom"/>
    </xf>
    <xf numFmtId="1" fontId="10" borderId="4" applyNumberFormat="1" applyFont="1" applyFill="0" applyBorder="1" applyAlignment="1" applyProtection="0">
      <alignment vertical="bottom"/>
    </xf>
    <xf numFmtId="1" fontId="4" borderId="5" applyNumberFormat="1" applyFont="1" applyFill="0" applyBorder="1" applyAlignment="1" applyProtection="0">
      <alignment horizontal="right" vertical="bottom"/>
    </xf>
    <xf numFmtId="1" fontId="20" borderId="19" applyNumberFormat="1" applyFont="1" applyFill="0" applyBorder="1" applyAlignment="1" applyProtection="0">
      <alignment horizontal="center" vertical="bottom"/>
    </xf>
    <xf numFmtId="1" fontId="20" borderId="8" applyNumberFormat="1" applyFont="1" applyFill="0" applyBorder="1" applyAlignment="1" applyProtection="0">
      <alignment horizontal="center" vertical="bottom"/>
    </xf>
    <xf numFmtId="1" fontId="20" borderId="4" applyNumberFormat="1" applyFont="1" applyFill="0" applyBorder="1" applyAlignment="1" applyProtection="0">
      <alignment horizontal="center" vertical="bottom"/>
    </xf>
    <xf numFmtId="1" fontId="20" borderId="5" applyNumberFormat="1" applyFont="1" applyFill="0" applyBorder="1" applyAlignment="1" applyProtection="0">
      <alignment horizontal="center" vertical="bottom"/>
    </xf>
    <xf numFmtId="1" fontId="20" borderId="20" applyNumberFormat="1" applyFont="1" applyFill="0" applyBorder="1" applyAlignment="1" applyProtection="0">
      <alignment horizontal="center" vertical="bottom"/>
    </xf>
    <xf numFmtId="1" fontId="20" borderId="9" applyNumberFormat="1" applyFont="1" applyFill="0" applyBorder="1" applyAlignment="1" applyProtection="0">
      <alignment horizontal="center" vertical="bottom"/>
    </xf>
    <xf numFmtId="1" fontId="17" fillId="5" borderId="29" applyNumberFormat="1" applyFont="1" applyFill="1" applyBorder="1" applyAlignment="1" applyProtection="0">
      <alignment horizontal="center" vertical="bottom"/>
    </xf>
    <xf numFmtId="1" fontId="17" fillId="5" borderId="31" applyNumberFormat="1" applyFont="1" applyFill="1" applyBorder="1" applyAlignment="1" applyProtection="0">
      <alignment horizontal="center" vertical="bottom"/>
    </xf>
    <xf numFmtId="0" fontId="17" fillId="5" borderId="11" applyNumberFormat="1" applyFont="1" applyFill="1" applyBorder="1" applyAlignment="1" applyProtection="0">
      <alignment horizontal="center" vertical="bottom"/>
    </xf>
    <xf numFmtId="0" fontId="17" fillId="5" borderId="29" applyNumberFormat="1" applyFont="1" applyFill="1" applyBorder="1" applyAlignment="1" applyProtection="0">
      <alignment horizontal="center" vertical="bottom"/>
    </xf>
    <xf numFmtId="1" fontId="20" fillId="5" borderId="31" applyNumberFormat="1" applyFont="1" applyFill="1" applyBorder="1" applyAlignment="1" applyProtection="0">
      <alignment horizontal="center" vertical="bottom"/>
    </xf>
    <xf numFmtId="61" fontId="17" fillId="5" borderId="11" applyNumberFormat="1" applyFont="1" applyFill="1" applyBorder="1" applyAlignment="1" applyProtection="0">
      <alignment vertical="center"/>
    </xf>
    <xf numFmtId="10" fontId="15" borderId="11" applyNumberFormat="1" applyFont="1" applyFill="0" applyBorder="1" applyAlignment="1" applyProtection="0">
      <alignment horizontal="center" vertical="center"/>
    </xf>
    <xf numFmtId="1" fontId="4" borderId="28" applyNumberFormat="1" applyFont="1" applyFill="0" applyBorder="1" applyAlignment="1" applyProtection="0">
      <alignment vertical="bottom"/>
    </xf>
    <xf numFmtId="0" fontId="20" fillId="5" borderId="29" applyNumberFormat="1" applyFont="1" applyFill="1" applyBorder="1" applyAlignment="1" applyProtection="0">
      <alignment horizontal="center" vertical="bottom"/>
    </xf>
    <xf numFmtId="0" fontId="17" borderId="29" applyNumberFormat="1" applyFont="1" applyFill="0" applyBorder="1" applyAlignment="1" applyProtection="0">
      <alignment horizontal="left" vertical="bottom"/>
    </xf>
    <xf numFmtId="1" fontId="17" borderId="31" applyNumberFormat="1" applyFont="1" applyFill="0" applyBorder="1" applyAlignment="1" applyProtection="0">
      <alignment horizontal="left" vertical="bottom"/>
    </xf>
    <xf numFmtId="61" fontId="17" fillId="6" borderId="11" applyNumberFormat="1" applyFont="1" applyFill="1" applyBorder="1" applyAlignment="1" applyProtection="0">
      <alignment vertical="center"/>
    </xf>
    <xf numFmtId="0" fontId="4" fillId="5" borderId="29" applyNumberFormat="1" applyFont="1" applyFill="1" applyBorder="1" applyAlignment="1" applyProtection="0">
      <alignment horizontal="left" vertical="bottom"/>
    </xf>
    <xf numFmtId="62" fontId="4" fillId="5" borderId="31" applyNumberFormat="1" applyFont="1" applyFill="1" applyBorder="1" applyAlignment="1" applyProtection="0">
      <alignment horizontal="right" vertical="center"/>
    </xf>
    <xf numFmtId="61" fontId="15" fillId="6" borderId="11" applyNumberFormat="1" applyFont="1" applyFill="1" applyBorder="1" applyAlignment="1" applyProtection="0">
      <alignment vertical="center"/>
    </xf>
    <xf numFmtId="61" fontId="4" fillId="6" borderId="11" applyNumberFormat="1" applyFont="1" applyFill="1" applyBorder="1" applyAlignment="1" applyProtection="0">
      <alignment vertical="center"/>
    </xf>
    <xf numFmtId="9" fontId="15" fillId="6" borderId="11" applyNumberFormat="1" applyFont="1" applyFill="1" applyBorder="1" applyAlignment="1" applyProtection="0">
      <alignment vertical="center"/>
    </xf>
    <xf numFmtId="10" fontId="15" fillId="6" borderId="11" applyNumberFormat="1" applyFont="1" applyFill="1" applyBorder="1" applyAlignment="1" applyProtection="0">
      <alignment vertical="center"/>
    </xf>
    <xf numFmtId="63" fontId="15" fillId="6" borderId="11" applyNumberFormat="1" applyFont="1" applyFill="1" applyBorder="1" applyAlignment="1" applyProtection="0">
      <alignment vertical="center"/>
    </xf>
    <xf numFmtId="63" fontId="4" fillId="6" borderId="11" applyNumberFormat="1" applyFont="1" applyFill="1" applyBorder="1" applyAlignment="1" applyProtection="0">
      <alignment vertical="center"/>
    </xf>
    <xf numFmtId="61" fontId="17" fillId="5" borderId="11" applyNumberFormat="1" applyFont="1" applyFill="1" applyBorder="1" applyAlignment="1" applyProtection="0">
      <alignment vertical="bottom"/>
    </xf>
    <xf numFmtId="1" fontId="17" borderId="28" applyNumberFormat="1" applyFont="1" applyFill="0" applyBorder="1" applyAlignment="1" applyProtection="0">
      <alignment horizontal="center" vertical="bottom"/>
    </xf>
    <xf numFmtId="1" fontId="17" borderId="22" applyNumberFormat="1" applyFont="1" applyFill="0" applyBorder="1" applyAlignment="1" applyProtection="0">
      <alignment horizontal="center" vertical="bottom"/>
    </xf>
    <xf numFmtId="61" fontId="17" borderId="22" applyNumberFormat="1" applyFont="1" applyFill="0" applyBorder="1" applyAlignment="1" applyProtection="0">
      <alignment vertical="bottom"/>
    </xf>
    <xf numFmtId="1" fontId="17" borderId="20" applyNumberFormat="1" applyFont="1" applyFill="0" applyBorder="1" applyAlignment="1" applyProtection="0">
      <alignment horizontal="center" vertical="bottom"/>
    </xf>
    <xf numFmtId="1" fontId="17" borderId="9" applyNumberFormat="1" applyFont="1" applyFill="0" applyBorder="1" applyAlignment="1" applyProtection="0">
      <alignment horizontal="center" vertical="bottom"/>
    </xf>
    <xf numFmtId="61" fontId="17" borderId="9" applyNumberFormat="1" applyFont="1" applyFill="0" applyBorder="1" applyAlignment="1" applyProtection="0">
      <alignment vertical="bottom"/>
    </xf>
    <xf numFmtId="0" fontId="21" borderId="28" applyNumberFormat="1" applyFont="1" applyFill="0" applyBorder="1" applyAlignment="1" applyProtection="0">
      <alignment horizontal="left" vertical="bottom"/>
    </xf>
    <xf numFmtId="0" fontId="22" borderId="4" applyNumberFormat="1" applyFont="1" applyFill="0" applyBorder="1" applyAlignment="1" applyProtection="0">
      <alignment vertical="bottom"/>
    </xf>
    <xf numFmtId="62" fontId="17" borderId="5" applyNumberFormat="1" applyFont="1" applyFill="0" applyBorder="1" applyAlignment="1" applyProtection="0">
      <alignment vertical="center"/>
    </xf>
    <xf numFmtId="61" fontId="17" borderId="5" applyNumberFormat="1" applyFont="1" applyFill="0" applyBorder="1" applyAlignment="1" applyProtection="0">
      <alignment vertical="center"/>
    </xf>
    <xf numFmtId="61" fontId="17" borderId="9" applyNumberFormat="1" applyFont="1" applyFill="0" applyBorder="1" applyAlignment="1" applyProtection="0">
      <alignment vertical="center"/>
    </xf>
    <xf numFmtId="62" fontId="17" borderId="9" applyNumberFormat="1" applyFont="1" applyFill="0" applyBorder="1" applyAlignment="1" applyProtection="0">
      <alignment vertical="center"/>
    </xf>
    <xf numFmtId="0" fontId="17" borderId="9" applyNumberFormat="0" applyFont="1" applyFill="0" applyBorder="1" applyAlignment="1" applyProtection="0">
      <alignment horizontal="center" vertical="center"/>
    </xf>
    <xf numFmtId="1" fontId="4" borderId="27" applyNumberFormat="1" applyFont="1" applyFill="0" applyBorder="1" applyAlignment="1" applyProtection="0">
      <alignment vertical="bottom"/>
    </xf>
    <xf numFmtId="1" fontId="4" borderId="11" applyNumberFormat="1" applyFont="1" applyFill="0" applyBorder="1" applyAlignment="1" applyProtection="0">
      <alignment vertical="bottom"/>
    </xf>
    <xf numFmtId="0" fontId="17" borderId="26" applyNumberFormat="0" applyFont="1" applyFill="0" applyBorder="1" applyAlignment="1" applyProtection="0">
      <alignment horizontal="center" vertical="center"/>
    </xf>
    <xf numFmtId="1" fontId="4" fillId="2" borderId="12" applyNumberFormat="1" applyFont="1" applyFill="1" applyBorder="1" applyAlignment="1" applyProtection="0">
      <alignment vertical="bottom"/>
    </xf>
    <xf numFmtId="62" fontId="17" borderId="28" applyNumberFormat="1" applyFont="1" applyFill="0" applyBorder="1" applyAlignment="1" applyProtection="0">
      <alignment horizontal="left" vertical="center"/>
    </xf>
    <xf numFmtId="62" fontId="17" borderId="22" applyNumberFormat="1" applyFont="1" applyFill="0" applyBorder="1" applyAlignment="1" applyProtection="0">
      <alignment horizontal="center" vertical="center"/>
    </xf>
    <xf numFmtId="61" fontId="17" borderId="22" applyNumberFormat="1" applyFont="1" applyFill="0" applyBorder="1" applyAlignment="1" applyProtection="0">
      <alignment vertical="center"/>
    </xf>
    <xf numFmtId="62" fontId="17" borderId="20" applyNumberFormat="1" applyFont="1" applyFill="0" applyBorder="1" applyAlignment="1" applyProtection="0">
      <alignment horizontal="left" vertical="center"/>
    </xf>
    <xf numFmtId="62" fontId="17" borderId="9" applyNumberFormat="1" applyFont="1" applyFill="0" applyBorder="1" applyAlignment="1" applyProtection="0">
      <alignment horizontal="center" vertical="center"/>
    </xf>
    <xf numFmtId="64" fontId="17" fillId="5" borderId="11" applyNumberFormat="1" applyFont="1" applyFill="1" applyBorder="1" applyAlignment="1" applyProtection="0">
      <alignment horizontal="center" vertical="bottom"/>
    </xf>
    <xf numFmtId="0" fontId="20" fillId="5" borderId="29" applyNumberFormat="1" applyFont="1" applyFill="1" applyBorder="1" applyAlignment="1" applyProtection="0">
      <alignment horizontal="left" vertical="bottom"/>
    </xf>
    <xf numFmtId="1" fontId="20" fillId="5" borderId="31" applyNumberFormat="1" applyFont="1" applyFill="1" applyBorder="1" applyAlignment="1" applyProtection="0">
      <alignment horizontal="left" vertical="bottom"/>
    </xf>
    <xf numFmtId="61" fontId="17" borderId="11" applyNumberFormat="1" applyFont="1" applyFill="0" applyBorder="1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left" vertical="bottom"/>
    </xf>
    <xf numFmtId="9" fontId="15" fillId="5" borderId="11" applyNumberFormat="1" applyFont="1" applyFill="1" applyBorder="1" applyAlignment="1" applyProtection="0">
      <alignment horizontal="center" vertical="center"/>
    </xf>
    <xf numFmtId="9" fontId="15" borderId="22" applyNumberFormat="1" applyFont="1" applyFill="0" applyBorder="1" applyAlignment="1" applyProtection="0">
      <alignment horizontal="center" vertical="center"/>
    </xf>
    <xf numFmtId="9" fontId="15" borderId="9" applyNumberFormat="1" applyFont="1" applyFill="0" applyBorder="1" applyAlignment="1" applyProtection="0">
      <alignment horizontal="center" vertical="center"/>
    </xf>
    <xf numFmtId="62" fontId="17" borderId="21" applyNumberFormat="1" applyFont="1" applyFill="0" applyBorder="1" applyAlignment="1" applyProtection="0">
      <alignment horizontal="left" vertical="center"/>
    </xf>
    <xf numFmtId="62" fontId="17" borderId="13" applyNumberFormat="1" applyFont="1" applyFill="0" applyBorder="1" applyAlignment="1" applyProtection="0">
      <alignment horizontal="center" vertical="center"/>
    </xf>
    <xf numFmtId="61" fontId="17" borderId="13" applyNumberFormat="1" applyFont="1" applyFill="0" applyBorder="1" applyAlignment="1" applyProtection="0">
      <alignment vertical="center"/>
    </xf>
    <xf numFmtId="62" fontId="17" borderId="13" applyNumberFormat="1" applyFont="1" applyFill="0" applyBorder="1" applyAlignment="1" applyProtection="0">
      <alignment vertical="center"/>
    </xf>
    <xf numFmtId="0" fontId="20" fillId="5" borderId="11" applyNumberFormat="1" applyFont="1" applyFill="1" applyBorder="1" applyAlignment="1" applyProtection="0">
      <alignment vertical="bottom"/>
    </xf>
    <xf numFmtId="9" fontId="15" borderId="11" applyNumberFormat="1" applyFont="1" applyFill="0" applyBorder="1" applyAlignment="1" applyProtection="0">
      <alignment horizontal="center" vertical="center"/>
    </xf>
    <xf numFmtId="0" fontId="2" applyNumberFormat="1" applyFont="1" applyFill="0" applyBorder="0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center" vertical="center"/>
    </xf>
    <xf numFmtId="0" fontId="17" fillId="5" borderId="11" applyNumberFormat="1" applyFont="1" applyFill="1" applyBorder="1" applyAlignment="1" applyProtection="0">
      <alignment horizontal="center" vertical="center" wrapText="1"/>
    </xf>
    <xf numFmtId="0" fontId="17" fillId="5" borderId="11" applyNumberFormat="1" applyFont="1" applyFill="1" applyBorder="1" applyAlignment="1" applyProtection="0">
      <alignment horizontal="center" vertical="center"/>
    </xf>
    <xf numFmtId="1" fontId="4" fillId="2" borderId="32" applyNumberFormat="1" applyFont="1" applyFill="1" applyBorder="1" applyAlignment="1" applyProtection="0">
      <alignment vertical="bottom"/>
    </xf>
    <xf numFmtId="1" fontId="17" fillId="5" borderId="11" applyNumberFormat="1" applyFont="1" applyFill="1" applyBorder="1" applyAlignment="1" applyProtection="0">
      <alignment horizontal="right" vertical="center" wrapText="1"/>
    </xf>
    <xf numFmtId="61" fontId="17" fillId="5" borderId="11" applyNumberFormat="1" applyFont="1" applyFill="1" applyBorder="1" applyAlignment="1" applyProtection="0">
      <alignment horizontal="right" vertical="center"/>
    </xf>
    <xf numFmtId="0" fontId="17" fillId="5" borderId="11" applyNumberFormat="1" applyFont="1" applyFill="1" applyBorder="1" applyAlignment="1" applyProtection="0">
      <alignment horizontal="left" vertical="bottom"/>
    </xf>
    <xf numFmtId="10" fontId="15" borderId="11" applyNumberFormat="1" applyFont="1" applyFill="0" applyBorder="1" applyAlignment="1" applyProtection="0">
      <alignment horizontal="right" vertical="center"/>
    </xf>
    <xf numFmtId="61" fontId="4" borderId="11" applyNumberFormat="1" applyFont="1" applyFill="0" applyBorder="1" applyAlignment="1" applyProtection="0">
      <alignment horizontal="right" vertical="center"/>
    </xf>
    <xf numFmtId="10" fontId="15" fillId="5" borderId="11" applyNumberFormat="1" applyFont="1" applyFill="1" applyBorder="1" applyAlignment="1" applyProtection="0">
      <alignment horizontal="right" vertical="center"/>
    </xf>
    <xf numFmtId="61" fontId="4" fillId="5" borderId="11" applyNumberFormat="1" applyFont="1" applyFill="1" applyBorder="1" applyAlignment="1" applyProtection="0">
      <alignment horizontal="right" vertical="center"/>
    </xf>
    <xf numFmtId="61" fontId="17" fillId="5" borderId="11" applyNumberFormat="1" applyFont="1" applyFill="1" applyBorder="1" applyAlignment="1" applyProtection="0">
      <alignment horizontal="right" vertical="bottom"/>
    </xf>
    <xf numFmtId="1" fontId="17" borderId="21" applyNumberFormat="1" applyFont="1" applyFill="0" applyBorder="1" applyAlignment="1" applyProtection="0">
      <alignment horizontal="center" vertical="bottom"/>
    </xf>
    <xf numFmtId="1" fontId="17" borderId="13" applyNumberFormat="1" applyFont="1" applyFill="0" applyBorder="1" applyAlignment="1" applyProtection="0">
      <alignment horizontal="center" vertical="bottom"/>
    </xf>
    <xf numFmtId="61" fontId="17" borderId="13" applyNumberFormat="1" applyFont="1" applyFill="0" applyBorder="1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center" vertical="bottom"/>
    </xf>
    <xf numFmtId="61" fontId="4" fillId="5" borderId="11" applyNumberFormat="1" applyFont="1" applyFill="1" applyBorder="1" applyAlignment="1" applyProtection="0">
      <alignment vertical="center"/>
    </xf>
    <xf numFmtId="0" fontId="4" borderId="4" applyNumberFormat="1" applyFont="1" applyFill="0" applyBorder="1" applyAlignment="1" applyProtection="0">
      <alignment horizontal="left" vertical="bottom"/>
    </xf>
    <xf numFmtId="1" fontId="4" borderId="4" applyNumberFormat="1" applyFont="1" applyFill="0" applyBorder="1" applyAlignment="1" applyProtection="0">
      <alignment horizontal="left" vertical="bottom"/>
    </xf>
    <xf numFmtId="1" fontId="21" borderId="4" applyNumberFormat="1" applyFont="1" applyFill="0" applyBorder="1" applyAlignment="1" applyProtection="0">
      <alignment horizontal="left" vertical="bottom"/>
    </xf>
    <xf numFmtId="1" fontId="21" fillId="2" borderId="4" applyNumberFormat="1" applyFont="1" applyFill="1" applyBorder="1" applyAlignment="1" applyProtection="0">
      <alignment horizontal="left" vertical="bottom"/>
    </xf>
    <xf numFmtId="0" fontId="2" applyNumberFormat="1" applyFont="1" applyFill="0" applyBorder="0" applyAlignment="1" applyProtection="0">
      <alignment vertical="bottom"/>
    </xf>
    <xf numFmtId="1" fontId="4" borderId="1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horizontal="left" vertical="bottom"/>
    </xf>
    <xf numFmtId="0" fontId="13" fillId="4" borderId="3" applyNumberFormat="1" applyFont="1" applyFill="1" applyBorder="1" applyAlignment="1" applyProtection="0">
      <alignment vertical="bottom"/>
    </xf>
    <xf numFmtId="1" fontId="10" borderId="5" applyNumberFormat="1" applyFont="1" applyFill="0" applyBorder="1" applyAlignment="1" applyProtection="0">
      <alignment vertical="bottom"/>
    </xf>
    <xf numFmtId="0" fontId="4" borderId="6" applyNumberFormat="1" applyFont="1" applyFill="0" applyBorder="1" applyAlignment="1" applyProtection="0">
      <alignment horizontal="right" vertical="bottom"/>
    </xf>
    <xf numFmtId="1" fontId="4" borderId="6" applyNumberFormat="1" applyFont="1" applyFill="0" applyBorder="1" applyAlignment="1" applyProtection="0">
      <alignment horizontal="right" vertical="bottom"/>
    </xf>
    <xf numFmtId="1" fontId="5" borderId="33" applyNumberFormat="1" applyFont="1" applyFill="0" applyBorder="1" applyAlignment="1" applyProtection="0">
      <alignment horizontal="center" vertical="bottom"/>
    </xf>
    <xf numFmtId="1" fontId="4" borderId="34" applyNumberFormat="1" applyFont="1" applyFill="0" applyBorder="1" applyAlignment="1" applyProtection="0">
      <alignment vertical="bottom"/>
    </xf>
    <xf numFmtId="1" fontId="4" borderId="35" applyNumberFormat="1" applyFont="1" applyFill="0" applyBorder="1" applyAlignment="1" applyProtection="0">
      <alignment vertical="bottom"/>
    </xf>
    <xf numFmtId="1" fontId="17" fillId="5" borderId="13" applyNumberFormat="1" applyFont="1" applyFill="1" applyBorder="1" applyAlignment="1" applyProtection="0">
      <alignment horizontal="center" vertical="bottom"/>
    </xf>
    <xf numFmtId="0" fontId="17" fillId="5" borderId="29" applyNumberFormat="1" applyFont="1" applyFill="1" applyBorder="1" applyAlignment="1" applyProtection="0">
      <alignment vertical="bottom"/>
    </xf>
    <xf numFmtId="1" fontId="17" fillId="5" borderId="13" applyNumberFormat="1" applyFont="1" applyFill="1" applyBorder="1" applyAlignment="1" applyProtection="0">
      <alignment vertical="bottom"/>
    </xf>
    <xf numFmtId="1" fontId="4" fillId="5" borderId="31" applyNumberFormat="1" applyFont="1" applyFill="1" applyBorder="1" applyAlignment="1" applyProtection="0">
      <alignment vertical="bottom"/>
    </xf>
    <xf numFmtId="64" fontId="15" borderId="11" applyNumberFormat="1" applyFont="1" applyFill="0" applyBorder="1" applyAlignment="1" applyProtection="0">
      <alignment horizontal="center" vertical="center"/>
    </xf>
    <xf numFmtId="64" fontId="15" fillId="5" borderId="11" applyNumberFormat="1" applyFont="1" applyFill="1" applyBorder="1" applyAlignment="1" applyProtection="0">
      <alignment horizontal="center" vertical="center"/>
    </xf>
    <xf numFmtId="1" fontId="4" borderId="36" applyNumberFormat="1" applyFont="1" applyFill="0" applyBorder="1" applyAlignment="1" applyProtection="0">
      <alignment vertical="bottom"/>
    </xf>
    <xf numFmtId="0" fontId="17" borderId="35" applyNumberFormat="0" applyFont="1" applyFill="0" applyBorder="1" applyAlignment="1" applyProtection="0">
      <alignment horizontal="center" vertical="center"/>
    </xf>
    <xf numFmtId="1" fontId="17" fillId="5" borderId="11" applyNumberFormat="1" applyFont="1" applyFill="1" applyBorder="1" applyAlignment="1" applyProtection="0">
      <alignment horizontal="center" vertical="bottom"/>
    </xf>
    <xf numFmtId="9" fontId="15" fillId="5" borderId="11" applyNumberFormat="1" applyFont="1" applyFill="1" applyBorder="1" applyAlignment="1" applyProtection="0">
      <alignment vertical="bottom"/>
    </xf>
    <xf numFmtId="4" fontId="15" borderId="11" applyNumberFormat="1" applyFont="1" applyFill="0" applyBorder="1" applyAlignment="1" applyProtection="0">
      <alignment vertical="bottom"/>
    </xf>
    <xf numFmtId="4" fontId="4" borderId="11" applyNumberFormat="1" applyFont="1" applyFill="0" applyBorder="1" applyAlignment="1" applyProtection="0">
      <alignment vertical="center"/>
    </xf>
    <xf numFmtId="4" fontId="15" fillId="5" borderId="11" applyNumberFormat="1" applyFont="1" applyFill="1" applyBorder="1" applyAlignment="1" applyProtection="0">
      <alignment horizontal="center" vertical="center"/>
    </xf>
    <xf numFmtId="0" fontId="4" fillId="5" borderId="11" applyNumberFormat="1" applyFont="1" applyFill="1" applyBorder="1" applyAlignment="1" applyProtection="0">
      <alignment horizontal="left" vertical="bottom"/>
    </xf>
    <xf numFmtId="4" fontId="17" fillId="5" borderId="11" applyNumberFormat="1" applyFont="1" applyFill="1" applyBorder="1" applyAlignment="1" applyProtection="0">
      <alignment vertical="bottom"/>
    </xf>
    <xf numFmtId="4" fontId="4" borderId="13" applyNumberFormat="1" applyFont="1" applyFill="0" applyBorder="1" applyAlignment="1" applyProtection="0">
      <alignment vertical="bottom"/>
    </xf>
    <xf numFmtId="4" fontId="4" borderId="37" applyNumberFormat="1" applyFont="1" applyFill="0" applyBorder="1" applyAlignment="1" applyProtection="0">
      <alignment vertical="bottom"/>
    </xf>
    <xf numFmtId="0" fontId="17" fillId="5" borderId="29" applyNumberFormat="1" applyFont="1" applyFill="1" applyBorder="1" applyAlignment="1" applyProtection="0">
      <alignment horizontal="left" vertical="center"/>
    </xf>
    <xf numFmtId="61" fontId="17" fillId="5" borderId="13" applyNumberFormat="1" applyFont="1" applyFill="1" applyBorder="1" applyAlignment="1" applyProtection="0">
      <alignment horizontal="left" vertical="center"/>
    </xf>
    <xf numFmtId="61" fontId="17" fillId="5" borderId="31" applyNumberFormat="1" applyFont="1" applyFill="1" applyBorder="1" applyAlignment="1" applyProtection="0">
      <alignment vertical="center"/>
    </xf>
    <xf numFmtId="4" fontId="17" fillId="5" borderId="11" applyNumberFormat="1" applyFont="1" applyFill="1" applyBorder="1" applyAlignment="1" applyProtection="0">
      <alignment vertical="center"/>
    </xf>
    <xf numFmtId="1" fontId="17" fillId="5" borderId="13" applyNumberFormat="1" applyFont="1" applyFill="1" applyBorder="1" applyAlignment="1" applyProtection="0">
      <alignment horizontal="left" vertical="bottom"/>
    </xf>
    <xf numFmtId="1" fontId="17" fillId="5" borderId="31" applyNumberFormat="1" applyFont="1" applyFill="1" applyBorder="1" applyAlignment="1" applyProtection="0">
      <alignment horizontal="left" vertical="bottom"/>
    </xf>
    <xf numFmtId="4" fontId="4" fillId="5" borderId="11" applyNumberFormat="1" applyFont="1" applyFill="1" applyBorder="1" applyAlignment="1" applyProtection="0">
      <alignment vertical="center"/>
    </xf>
    <xf numFmtId="61" fontId="17" fillId="5" borderId="31" applyNumberFormat="1" applyFont="1" applyFill="1" applyBorder="1" applyAlignment="1" applyProtection="0">
      <alignment horizontal="left" vertical="center"/>
    </xf>
    <xf numFmtId="0" fontId="2" applyNumberFormat="1" applyFont="1" applyFill="0" applyBorder="0" applyAlignment="1" applyProtection="0">
      <alignment vertical="bottom"/>
    </xf>
    <xf numFmtId="0" fontId="13" fillId="4" borderId="3" applyNumberFormat="1" applyFont="1" applyFill="1" applyBorder="1" applyAlignment="1" applyProtection="0">
      <alignment horizontal="right" vertical="bottom"/>
    </xf>
    <xf numFmtId="1" fontId="10" borderId="4" applyNumberFormat="1" applyFont="1" applyFill="0" applyBorder="1" applyAlignment="1" applyProtection="0">
      <alignment horizontal="left" vertical="bottom"/>
    </xf>
    <xf numFmtId="1" fontId="10" borderId="5" applyNumberFormat="1" applyFont="1" applyFill="0" applyBorder="1" applyAlignment="1" applyProtection="0">
      <alignment horizontal="left" vertical="bottom"/>
    </xf>
    <xf numFmtId="1" fontId="20" borderId="38" applyNumberFormat="1" applyFont="1" applyFill="0" applyBorder="1" applyAlignment="1" applyProtection="0">
      <alignment horizontal="center" vertical="bottom"/>
    </xf>
    <xf numFmtId="1" fontId="20" borderId="39" applyNumberFormat="1" applyFont="1" applyFill="0" applyBorder="1" applyAlignment="1" applyProtection="0">
      <alignment horizontal="center" vertical="bottom"/>
    </xf>
    <xf numFmtId="0" fontId="17" borderId="39" applyNumberFormat="0" applyFont="1" applyFill="0" applyBorder="1" applyAlignment="1" applyProtection="0">
      <alignment horizontal="center" vertical="center"/>
    </xf>
    <xf numFmtId="0" fontId="17" borderId="40" applyNumberFormat="0" applyFont="1" applyFill="0" applyBorder="1" applyAlignment="1" applyProtection="0">
      <alignment horizontal="center" vertical="center"/>
    </xf>
    <xf numFmtId="64" fontId="4" fillId="5" borderId="11" applyNumberFormat="1" applyFont="1" applyFill="1" applyBorder="1" applyAlignment="1" applyProtection="0">
      <alignment horizontal="center" vertical="center"/>
    </xf>
    <xf numFmtId="38" fontId="24" borderId="28" applyNumberFormat="1" applyFont="1" applyFill="0" applyBorder="1" applyAlignment="1" applyProtection="0">
      <alignment vertical="bottom"/>
    </xf>
    <xf numFmtId="38" fontId="24" borderId="22" applyNumberFormat="1" applyFont="1" applyFill="0" applyBorder="1" applyAlignment="1" applyProtection="0">
      <alignment vertical="bottom"/>
    </xf>
    <xf numFmtId="38" fontId="4" borderId="22" applyNumberFormat="1" applyFont="1" applyFill="0" applyBorder="1" applyAlignment="1" applyProtection="0">
      <alignment horizontal="center" vertical="bottom"/>
    </xf>
    <xf numFmtId="38" fontId="24" borderId="20" applyNumberFormat="1" applyFont="1" applyFill="0" applyBorder="1" applyAlignment="1" applyProtection="0">
      <alignment vertical="bottom"/>
    </xf>
    <xf numFmtId="38" fontId="24" borderId="9" applyNumberFormat="1" applyFont="1" applyFill="0" applyBorder="1" applyAlignment="1" applyProtection="0">
      <alignment vertical="bottom"/>
    </xf>
    <xf numFmtId="38" fontId="4" borderId="9" applyNumberFormat="1" applyFont="1" applyFill="0" applyBorder="1" applyAlignment="1" applyProtection="0">
      <alignment horizontal="center" vertical="bottom"/>
    </xf>
    <xf numFmtId="0" fontId="24" fillId="5" borderId="29" applyNumberFormat="1" applyFont="1" applyFill="1" applyBorder="1" applyAlignment="1" applyProtection="0">
      <alignment horizontal="center" vertical="bottom"/>
    </xf>
    <xf numFmtId="1" fontId="24" fillId="5" borderId="13" applyNumberFormat="1" applyFont="1" applyFill="1" applyBorder="1" applyAlignment="1" applyProtection="0">
      <alignment horizontal="center" vertical="bottom"/>
    </xf>
    <xf numFmtId="1" fontId="24" fillId="5" borderId="31" applyNumberFormat="1" applyFont="1" applyFill="1" applyBorder="1" applyAlignment="1" applyProtection="0">
      <alignment horizontal="center" vertical="bottom"/>
    </xf>
    <xf numFmtId="0" fontId="4" fillId="5" borderId="29" applyNumberFormat="1" applyFont="1" applyFill="1" applyBorder="1" applyAlignment="1" applyProtection="0">
      <alignment vertical="bottom"/>
    </xf>
    <xf numFmtId="64" fontId="4" borderId="11" applyNumberFormat="1" applyFont="1" applyFill="0" applyBorder="1" applyAlignment="1" applyProtection="0">
      <alignment horizontal="center" vertical="center"/>
    </xf>
    <xf numFmtId="0" fontId="4" borderId="29" applyNumberFormat="1" applyFont="1" applyFill="0" applyBorder="1" applyAlignment="1" applyProtection="0">
      <alignment vertical="bottom"/>
    </xf>
    <xf numFmtId="1" fontId="17" borderId="13" applyNumberFormat="1" applyFont="1" applyFill="0" applyBorder="1" applyAlignment="1" applyProtection="0">
      <alignment vertical="bottom"/>
    </xf>
    <xf numFmtId="1" fontId="4" borderId="31" applyNumberFormat="1" applyFont="1" applyFill="0" applyBorder="1" applyAlignment="1" applyProtection="0">
      <alignment vertical="bottom"/>
    </xf>
    <xf numFmtId="1" fontId="4" borderId="29" applyNumberFormat="1" applyFont="1" applyFill="0" applyBorder="1" applyAlignment="1" applyProtection="0">
      <alignment vertical="bottom"/>
    </xf>
    <xf numFmtId="64" fontId="17" fillId="5" borderId="11" applyNumberFormat="1" applyFont="1" applyFill="1" applyBorder="1" applyAlignment="1" applyProtection="0">
      <alignment horizontal="center" vertical="center"/>
    </xf>
    <xf numFmtId="3" fontId="4" borderId="11" applyNumberFormat="1" applyFont="1" applyFill="0" applyBorder="1" applyAlignment="1" applyProtection="0">
      <alignment horizontal="right" vertical="center"/>
    </xf>
    <xf numFmtId="1" fontId="17" fillId="5" borderId="22" applyNumberFormat="1" applyFont="1" applyFill="1" applyBorder="1" applyAlignment="1" applyProtection="0">
      <alignment vertical="bottom"/>
    </xf>
    <xf numFmtId="1" fontId="4" fillId="5" borderId="24" applyNumberFormat="1" applyFont="1" applyFill="1" applyBorder="1" applyAlignment="1" applyProtection="0">
      <alignment vertical="bottom"/>
    </xf>
    <xf numFmtId="38" fontId="4" borderId="28" applyNumberFormat="1" applyFont="1" applyFill="0" applyBorder="1" applyAlignment="1" applyProtection="0">
      <alignment horizontal="left" vertical="bottom"/>
    </xf>
    <xf numFmtId="38" fontId="4" borderId="5" applyNumberFormat="1" applyFont="1" applyFill="0" applyBorder="1" applyAlignment="1" applyProtection="0">
      <alignment vertical="bottom"/>
    </xf>
    <xf numFmtId="38" fontId="15" borderId="5" applyNumberFormat="1" applyFont="1" applyFill="0" applyBorder="1" applyAlignment="1" applyProtection="0">
      <alignment vertical="bottom"/>
    </xf>
    <xf numFmtId="61" fontId="4" borderId="22" applyNumberFormat="1" applyFont="1" applyFill="0" applyBorder="1" applyAlignment="1" applyProtection="0">
      <alignment vertical="center"/>
    </xf>
    <xf numFmtId="61" fontId="4" borderId="36" applyNumberFormat="1" applyFont="1" applyFill="0" applyBorder="1" applyAlignment="1" applyProtection="0">
      <alignment vertical="center"/>
    </xf>
    <xf numFmtId="38" fontId="4" borderId="20" applyNumberFormat="1" applyFont="1" applyFill="0" applyBorder="1" applyAlignment="1" applyProtection="0">
      <alignment horizontal="left" vertical="bottom"/>
    </xf>
    <xf numFmtId="38" fontId="4" borderId="9" applyNumberFormat="1" applyFont="1" applyFill="0" applyBorder="1" applyAlignment="1" applyProtection="0">
      <alignment vertical="bottom"/>
    </xf>
    <xf numFmtId="38" fontId="15" borderId="9" applyNumberFormat="1" applyFont="1" applyFill="0" applyBorder="1" applyAlignment="1" applyProtection="0">
      <alignment vertical="bottom"/>
    </xf>
    <xf numFmtId="38" fontId="4" borderId="22" applyNumberFormat="1" applyFont="1" applyFill="0" applyBorder="1" applyAlignment="1" applyProtection="0">
      <alignment vertical="bottom"/>
    </xf>
    <xf numFmtId="38" fontId="15" borderId="22" applyNumberFormat="1" applyFont="1" applyFill="0" applyBorder="1" applyAlignment="1" applyProtection="0">
      <alignment vertical="bottom"/>
    </xf>
    <xf numFmtId="61" fontId="4" borderId="9" applyNumberFormat="1" applyFont="1" applyFill="0" applyBorder="1" applyAlignment="1" applyProtection="0">
      <alignment vertical="bottom"/>
    </xf>
    <xf numFmtId="61" fontId="4" borderId="35" applyNumberFormat="1" applyFont="1" applyFill="0" applyBorder="1" applyAlignment="1" applyProtection="0">
      <alignment vertical="bottom"/>
    </xf>
    <xf numFmtId="0" fontId="25" fillId="5" borderId="29" applyNumberFormat="1" applyFont="1" applyFill="1" applyBorder="1" applyAlignment="1" applyProtection="0">
      <alignment horizontal="center" vertical="bottom"/>
    </xf>
    <xf numFmtId="1" fontId="25" fillId="5" borderId="13" applyNumberFormat="1" applyFont="1" applyFill="1" applyBorder="1" applyAlignment="1" applyProtection="0">
      <alignment horizontal="center" vertical="bottom"/>
    </xf>
    <xf numFmtId="1" fontId="25" fillId="5" borderId="31" applyNumberFormat="1" applyFont="1" applyFill="1" applyBorder="1" applyAlignment="1" applyProtection="0">
      <alignment horizontal="center" vertical="bottom"/>
    </xf>
    <xf numFmtId="1" fontId="4" fillId="5" borderId="13" applyNumberFormat="1" applyFont="1" applyFill="1" applyBorder="1" applyAlignment="1" applyProtection="0">
      <alignment horizontal="left" vertical="bottom"/>
    </xf>
    <xf numFmtId="1" fontId="4" fillId="5" borderId="31" applyNumberFormat="1" applyFont="1" applyFill="1" applyBorder="1" applyAlignment="1" applyProtection="0">
      <alignment horizontal="left" vertical="bottom"/>
    </xf>
    <xf numFmtId="10" fontId="4" fillId="5" borderId="11" applyNumberFormat="1" applyFont="1" applyFill="1" applyBorder="1" applyAlignment="1" applyProtection="0">
      <alignment horizontal="center" vertical="bottom"/>
    </xf>
    <xf numFmtId="61" fontId="4" fillId="5" borderId="11" applyNumberFormat="1" applyFont="1" applyFill="1" applyBorder="1" applyAlignment="1" applyProtection="0">
      <alignment vertical="bottom"/>
    </xf>
    <xf numFmtId="38" fontId="4" fillId="5" borderId="31" applyNumberFormat="1" applyFont="1" applyFill="1" applyBorder="1" applyAlignment="1" applyProtection="0">
      <alignment vertical="bottom"/>
    </xf>
    <xf numFmtId="9" fontId="15" borderId="11" applyNumberFormat="1" applyFont="1" applyFill="0" applyBorder="1" applyAlignment="1" applyProtection="0">
      <alignment horizontal="center" vertical="bottom"/>
    </xf>
    <xf numFmtId="4" fontId="15" borderId="11" applyNumberFormat="1" applyFont="1" applyFill="0" applyBorder="1" applyAlignment="1" applyProtection="0">
      <alignment horizontal="center" vertical="bottom"/>
    </xf>
    <xf numFmtId="61" fontId="4" borderId="11" applyNumberFormat="1" applyFont="1" applyFill="0" applyBorder="1" applyAlignment="1" applyProtection="0">
      <alignment vertical="center"/>
    </xf>
    <xf numFmtId="0" fontId="4" fillId="5" borderId="21" applyNumberFormat="1" applyFont="1" applyFill="1" applyBorder="1" applyAlignment="1" applyProtection="0">
      <alignment vertical="bottom"/>
    </xf>
    <xf numFmtId="1" fontId="4" fillId="5" borderId="13" applyNumberFormat="1" applyFont="1" applyFill="1" applyBorder="1" applyAlignment="1" applyProtection="0">
      <alignment vertical="bottom"/>
    </xf>
    <xf numFmtId="9" fontId="4" fillId="5" borderId="31" applyNumberFormat="1" applyFont="1" applyFill="1" applyBorder="1" applyAlignment="1" applyProtection="0">
      <alignment horizontal="left" vertical="bottom"/>
    </xf>
    <xf numFmtId="0" fontId="17" fillId="5" borderId="29" applyNumberFormat="1" applyFont="1" applyFill="1" applyBorder="1" applyAlignment="1" applyProtection="0">
      <alignment horizontal="center" vertical="center"/>
    </xf>
    <xf numFmtId="61" fontId="17" fillId="5" borderId="13" applyNumberFormat="1" applyFont="1" applyFill="1" applyBorder="1" applyAlignment="1" applyProtection="0">
      <alignment horizontal="center" vertical="center"/>
    </xf>
    <xf numFmtId="61" fontId="17" fillId="5" borderId="31" applyNumberFormat="1" applyFont="1" applyFill="1" applyBorder="1" applyAlignment="1" applyProtection="0">
      <alignment horizontal="center" vertical="center"/>
    </xf>
    <xf numFmtId="38" fontId="4" borderId="21" applyNumberFormat="1" applyFont="1" applyFill="0" applyBorder="1" applyAlignment="1" applyProtection="0">
      <alignment vertical="bottom"/>
    </xf>
    <xf numFmtId="38" fontId="4" borderId="13" applyNumberFormat="1" applyFont="1" applyFill="0" applyBorder="1" applyAlignment="1" applyProtection="0">
      <alignment vertical="bottom"/>
    </xf>
    <xf numFmtId="1" fontId="4" borderId="37" applyNumberFormat="1" applyFont="1" applyFill="0" applyBorder="1" applyAlignment="1" applyProtection="0">
      <alignment vertical="bottom"/>
    </xf>
    <xf numFmtId="38" fontId="4" borderId="28" applyNumberFormat="1" applyFont="1" applyFill="0" applyBorder="1" applyAlignment="1" applyProtection="0">
      <alignment vertical="bottom"/>
    </xf>
    <xf numFmtId="38" fontId="4" borderId="20" applyNumberFormat="1" applyFont="1" applyFill="0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vertical="bottom"/>
    </xf>
    <xf numFmtId="38" fontId="17" borderId="28" applyNumberFormat="1" applyFont="1" applyFill="0" applyBorder="1" applyAlignment="1" applyProtection="0">
      <alignment vertical="bottom"/>
    </xf>
    <xf numFmtId="38" fontId="17" borderId="22" applyNumberFormat="1" applyFont="1" applyFill="0" applyBorder="1" applyAlignment="1" applyProtection="0">
      <alignment vertical="bottom"/>
    </xf>
    <xf numFmtId="61" fontId="4" borderId="22" applyNumberFormat="1" applyFont="1" applyFill="0" applyBorder="1" applyAlignment="1" applyProtection="0">
      <alignment vertical="bottom"/>
    </xf>
    <xf numFmtId="61" fontId="4" borderId="36" applyNumberFormat="1" applyFont="1" applyFill="0" applyBorder="1" applyAlignment="1" applyProtection="0">
      <alignment vertical="bottom"/>
    </xf>
    <xf numFmtId="1" fontId="4" fillId="2" borderId="28" applyNumberFormat="1" applyFont="1" applyFill="1" applyBorder="1" applyAlignment="1" applyProtection="0">
      <alignment vertical="bottom"/>
    </xf>
    <xf numFmtId="1" fontId="4" fillId="2" borderId="22" applyNumberFormat="1" applyFont="1" applyFill="1" applyBorder="1" applyAlignment="1" applyProtection="0">
      <alignment vertical="bottom"/>
    </xf>
    <xf numFmtId="9" fontId="4" fillId="2" borderId="22" applyNumberFormat="1" applyFont="1" applyFill="1" applyBorder="1" applyAlignment="1" applyProtection="0">
      <alignment horizontal="left" vertical="bottom"/>
    </xf>
    <xf numFmtId="61" fontId="4" fillId="2" borderId="22" applyNumberFormat="1" applyFont="1" applyFill="1" applyBorder="1" applyAlignment="1" applyProtection="0">
      <alignment vertical="bottom"/>
    </xf>
    <xf numFmtId="61" fontId="4" fillId="2" borderId="36" applyNumberFormat="1" applyFont="1" applyFill="1" applyBorder="1" applyAlignment="1" applyProtection="0">
      <alignment vertical="bottom"/>
    </xf>
    <xf numFmtId="9" fontId="4" fillId="2" borderId="5" applyNumberFormat="1" applyFont="1" applyFill="1" applyBorder="1" applyAlignment="1" applyProtection="0">
      <alignment horizontal="left" vertical="bottom"/>
    </xf>
    <xf numFmtId="1" fontId="4" fillId="2" borderId="30" applyNumberFormat="1" applyFont="1" applyFill="1" applyBorder="1" applyAlignment="1" applyProtection="0">
      <alignment horizontal="left" vertical="bottom"/>
    </xf>
    <xf numFmtId="1" fontId="4" fillId="2" borderId="16" applyNumberFormat="1" applyFont="1" applyFill="1" applyBorder="1" applyAlignment="1" applyProtection="0">
      <alignment horizontal="left" vertical="bottom"/>
    </xf>
    <xf numFmtId="9" fontId="4" fillId="2" borderId="16" applyNumberFormat="1" applyFont="1" applyFill="1" applyBorder="1" applyAlignment="1" applyProtection="0">
      <alignment horizontal="left" vertical="bottom"/>
    </xf>
    <xf numFmtId="61" fontId="4" fillId="2" borderId="16" applyNumberFormat="1" applyFont="1" applyFill="1" applyBorder="1" applyAlignment="1" applyProtection="0">
      <alignment vertical="bottom"/>
    </xf>
    <xf numFmtId="61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4" fillId="5" borderId="29" applyNumberFormat="1" applyFont="1" applyFill="1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horizontal="center" vertical="center"/>
    </xf>
    <xf numFmtId="3" fontId="15" borderId="11" applyNumberFormat="1" applyFont="1" applyFill="0" applyBorder="1" applyAlignment="1" applyProtection="0">
      <alignment horizontal="right" vertical="center"/>
    </xf>
    <xf numFmtId="3" fontId="4" fillId="5" borderId="11" applyNumberFormat="1" applyFont="1" applyFill="1" applyBorder="1" applyAlignment="1" applyProtection="0">
      <alignment horizontal="right" vertical="center"/>
    </xf>
    <xf numFmtId="0" fontId="4" borderId="29" applyNumberFormat="1" applyFont="1" applyFill="0" applyBorder="1" applyAlignment="1" applyProtection="0">
      <alignment horizontal="left" vertical="bottom"/>
    </xf>
    <xf numFmtId="1" fontId="4" borderId="31" applyNumberFormat="1" applyFont="1" applyFill="0" applyBorder="1" applyAlignment="1" applyProtection="0">
      <alignment horizontal="left" vertical="bottom"/>
    </xf>
    <xf numFmtId="3" fontId="17" fillId="5" borderId="11" applyNumberFormat="1" applyFont="1" applyFill="1" applyBorder="1" applyAlignment="1" applyProtection="0">
      <alignment horizontal="right" vertical="center"/>
    </xf>
    <xf numFmtId="0" fontId="17" fillId="5" borderId="21" applyNumberFormat="1" applyFont="1" applyFill="1" applyBorder="1" applyAlignment="1" applyProtection="0">
      <alignment vertical="bottom"/>
    </xf>
    <xf numFmtId="3" fontId="4" fillId="5" borderId="11" applyNumberFormat="1" applyFont="1" applyFill="1" applyBorder="1" applyAlignment="1" applyProtection="0">
      <alignment horizontal="center" vertical="bottom"/>
    </xf>
    <xf numFmtId="3" fontId="4" fillId="5" borderId="11" applyNumberFormat="1" applyFont="1" applyFill="1" applyBorder="1" applyAlignment="1" applyProtection="0">
      <alignment vertical="bottom"/>
    </xf>
    <xf numFmtId="1" fontId="4" borderId="21" applyNumberFormat="1" applyFont="1" applyFill="0" applyBorder="1" applyAlignment="1" applyProtection="0">
      <alignment horizontal="left" vertical="bottom"/>
    </xf>
    <xf numFmtId="3" fontId="4" borderId="13" applyNumberFormat="1" applyFont="1" applyFill="0" applyBorder="1" applyAlignment="1" applyProtection="0">
      <alignment horizontal="center" vertical="bottom"/>
    </xf>
    <xf numFmtId="3" fontId="4" borderId="13" applyNumberFormat="1" applyFont="1" applyFill="0" applyBorder="1" applyAlignment="1" applyProtection="0">
      <alignment vertical="bottom"/>
    </xf>
    <xf numFmtId="3" fontId="4" borderId="37" applyNumberFormat="1" applyFont="1" applyFill="0" applyBorder="1" applyAlignment="1" applyProtection="0">
      <alignment vertical="bottom"/>
    </xf>
    <xf numFmtId="1" fontId="17" borderId="29" applyNumberFormat="1" applyFont="1" applyFill="0" applyBorder="1" applyAlignment="1" applyProtection="0">
      <alignment horizontal="left" vertical="bottom"/>
    </xf>
    <xf numFmtId="1" fontId="4" borderId="13" applyNumberFormat="1" applyFont="1" applyFill="0" applyBorder="1" applyAlignment="1" applyProtection="0">
      <alignment horizontal="left" vertical="bottom"/>
    </xf>
    <xf numFmtId="1" fontId="4" borderId="28" applyNumberFormat="1" applyFont="1" applyFill="0" applyBorder="1" applyAlignment="1" applyProtection="0">
      <alignment horizontal="left" vertical="bottom"/>
    </xf>
    <xf numFmtId="0" fontId="26" borderId="4" applyNumberFormat="1" applyFont="1" applyFill="0" applyBorder="1" applyAlignment="1" applyProtection="0">
      <alignment vertical="bottom"/>
    </xf>
    <xf numFmtId="38" fontId="4" borderId="5" applyNumberFormat="1" applyFont="1" applyFill="0" applyBorder="1" applyAlignment="1" applyProtection="0">
      <alignment horizontal="center" vertical="bottom"/>
    </xf>
    <xf numFmtId="1" fontId="4" borderId="6" applyNumberFormat="1" applyFont="1" applyFill="0" applyBorder="1" applyAlignment="1" applyProtection="0">
      <alignment vertical="bottom"/>
    </xf>
    <xf numFmtId="3" fontId="4" borderId="5" applyNumberFormat="1" applyFont="1" applyFill="0" applyBorder="1" applyAlignment="1" applyProtection="0">
      <alignment vertical="bottom"/>
    </xf>
    <xf numFmtId="0" fontId="2" fillId="2" borderId="41" applyNumberFormat="0" applyFont="1" applyFill="1" applyBorder="1" applyAlignment="1" applyProtection="0">
      <alignment vertical="bottom"/>
    </xf>
    <xf numFmtId="0" fontId="2" fillId="2" borderId="42" applyNumberFormat="0" applyFont="1" applyFill="1" applyBorder="1" applyAlignment="1" applyProtection="0">
      <alignment vertical="bottom"/>
    </xf>
    <xf numFmtId="3" fontId="4" fillId="2" borderId="42" applyNumberFormat="1" applyFont="1" applyFill="1" applyBorder="1" applyAlignment="1" applyProtection="0">
      <alignment vertical="bottom"/>
    </xf>
    <xf numFmtId="3" fontId="4" fillId="2" borderId="43" applyNumberFormat="1" applyFont="1" applyFill="1" applyBorder="1" applyAlignment="1" applyProtection="0">
      <alignment vertical="bottom"/>
    </xf>
    <xf numFmtId="0" fontId="17" fillId="2" borderId="44" applyNumberFormat="1" applyFont="1" applyFill="1" applyBorder="1" applyAlignment="1" applyProtection="0">
      <alignment vertical="bottom"/>
    </xf>
    <xf numFmtId="1" fontId="4" fillId="2" borderId="45" applyNumberFormat="1" applyFont="1" applyFill="1" applyBorder="1" applyAlignment="1" applyProtection="0">
      <alignment vertical="bottom"/>
    </xf>
    <xf numFmtId="3" fontId="17" fillId="2" borderId="46" applyNumberFormat="1" applyFont="1" applyFill="1" applyBorder="1" applyAlignment="1" applyProtection="0">
      <alignment vertical="bottom"/>
    </xf>
    <xf numFmtId="0" fontId="4" fillId="2" borderId="44" applyNumberFormat="1" applyFont="1" applyFill="1" applyBorder="1" applyAlignment="1" applyProtection="0">
      <alignment horizontal="left" vertical="bottom"/>
    </xf>
    <xf numFmtId="4" fontId="4" fillId="2" borderId="46" applyNumberFormat="1" applyFont="1" applyFill="1" applyBorder="1" applyAlignment="1" applyProtection="0">
      <alignment vertical="bottom"/>
    </xf>
    <xf numFmtId="0" fontId="2" fillId="2" borderId="47" applyNumberFormat="0" applyFont="1" applyFill="1" applyBorder="1" applyAlignment="1" applyProtection="0">
      <alignment vertical="bottom"/>
    </xf>
    <xf numFmtId="0" fontId="2" fillId="2" borderId="48" applyNumberFormat="0" applyFont="1" applyFill="1" applyBorder="1" applyAlignment="1" applyProtection="0">
      <alignment vertical="bottom"/>
    </xf>
    <xf numFmtId="3" fontId="4" fillId="2" borderId="48" applyNumberFormat="1" applyFont="1" applyFill="1" applyBorder="1" applyAlignment="1" applyProtection="0">
      <alignment vertical="bottom"/>
    </xf>
    <xf numFmtId="0" fontId="2" fillId="2" borderId="49" applyNumberFormat="0" applyFont="1" applyFill="1" applyBorder="1" applyAlignment="1" applyProtection="0">
      <alignment vertical="bottom"/>
    </xf>
    <xf numFmtId="3" fontId="4" fillId="2" borderId="5" applyNumberFormat="1" applyFont="1" applyFill="1" applyBorder="1" applyAlignment="1" applyProtection="0">
      <alignment vertical="bottom"/>
    </xf>
    <xf numFmtId="0" fontId="2" fillId="2" borderId="30" applyNumberFormat="0" applyFont="1" applyFill="1" applyBorder="1" applyAlignment="1" applyProtection="0">
      <alignment vertical="bottom"/>
    </xf>
    <xf numFmtId="3" fontId="4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20" borderId="34" applyNumberFormat="1" applyFont="1" applyFill="0" applyBorder="1" applyAlignment="1" applyProtection="0">
      <alignment horizontal="center" vertical="bottom"/>
    </xf>
    <xf numFmtId="1" fontId="17" borderId="20" applyNumberFormat="1" applyFont="1" applyFill="0" applyBorder="1" applyAlignment="1" applyProtection="0">
      <alignment horizontal="center" vertical="center"/>
    </xf>
    <xf numFmtId="1" fontId="17" borderId="9" applyNumberFormat="1" applyFont="1" applyFill="0" applyBorder="1" applyAlignment="1" applyProtection="0">
      <alignment horizontal="center" vertical="center"/>
    </xf>
    <xf numFmtId="61" fontId="27" borderId="11" applyNumberFormat="1" applyFont="1" applyFill="0" applyBorder="1" applyAlignment="1" applyProtection="0">
      <alignment vertical="bottom"/>
    </xf>
    <xf numFmtId="3" fontId="17" fillId="5" borderId="11" applyNumberFormat="1" applyFont="1" applyFill="1" applyBorder="1" applyAlignment="1" applyProtection="0">
      <alignment horizontal="right" vertical="bottom"/>
    </xf>
    <xf numFmtId="3" fontId="15" fillId="5" borderId="11" applyNumberFormat="1" applyFont="1" applyFill="1" applyBorder="1" applyAlignment="1" applyProtection="0">
      <alignment vertical="bottom"/>
    </xf>
    <xf numFmtId="3" fontId="17" fillId="5" borderId="11" applyNumberFormat="1" applyFont="1" applyFill="1" applyBorder="1" applyAlignment="1" applyProtection="0">
      <alignment vertical="bottom"/>
    </xf>
    <xf numFmtId="3" fontId="27" fillId="5" borderId="11" applyNumberFormat="1" applyFont="1" applyFill="1" applyBorder="1" applyAlignment="1" applyProtection="0">
      <alignment vertical="bottom"/>
    </xf>
    <xf numFmtId="61" fontId="17" borderId="21" applyNumberFormat="1" applyFont="1" applyFill="0" applyBorder="1" applyAlignment="1" applyProtection="0">
      <alignment horizontal="left" vertical="center"/>
    </xf>
    <xf numFmtId="61" fontId="17" borderId="13" applyNumberFormat="1" applyFont="1" applyFill="0" applyBorder="1" applyAlignment="1" applyProtection="0">
      <alignment horizontal="left" vertical="center"/>
    </xf>
    <xf numFmtId="3" fontId="17" borderId="13" applyNumberFormat="1" applyFont="1" applyFill="0" applyBorder="1" applyAlignment="1" applyProtection="0">
      <alignment horizontal="right" vertical="bottom"/>
    </xf>
    <xf numFmtId="3" fontId="17" borderId="37" applyNumberFormat="1" applyFont="1" applyFill="0" applyBorder="1" applyAlignment="1" applyProtection="0">
      <alignment horizontal="right" vertical="bottom"/>
    </xf>
    <xf numFmtId="0" fontId="17" fillId="5" borderId="29" applyNumberFormat="1" applyFont="1" applyFill="1" applyBorder="1" applyAlignment="1" applyProtection="0">
      <alignment vertical="center"/>
    </xf>
    <xf numFmtId="9" fontId="4" fillId="5" borderId="31" applyNumberFormat="1" applyFont="1" applyFill="1" applyBorder="1" applyAlignment="1" applyProtection="0">
      <alignment horizontal="right" vertical="center"/>
    </xf>
    <xf numFmtId="1" fontId="28" borderId="21" applyNumberFormat="1" applyFont="1" applyFill="0" applyBorder="1" applyAlignment="1" applyProtection="0">
      <alignment vertical="bottom"/>
    </xf>
    <xf numFmtId="0" fontId="17" borderId="13" applyNumberFormat="0" applyFont="1" applyFill="0" applyBorder="1" applyAlignment="1" applyProtection="0">
      <alignment horizontal="center" vertical="center"/>
    </xf>
    <xf numFmtId="0" fontId="17" borderId="37" applyNumberFormat="0" applyFont="1" applyFill="0" applyBorder="1" applyAlignment="1" applyProtection="0">
      <alignment horizontal="center" vertical="center"/>
    </xf>
    <xf numFmtId="3" fontId="29" fillId="5" borderId="11" applyNumberFormat="1" applyFont="1" applyFill="1" applyBorder="1" applyAlignment="1" applyProtection="0">
      <alignment horizontal="center" vertical="bottom"/>
    </xf>
    <xf numFmtId="3" fontId="27" fillId="5" borderId="11" applyNumberFormat="1" applyFont="1" applyFill="1" applyBorder="1" applyAlignment="1" applyProtection="0">
      <alignment horizontal="right" vertical="bottom"/>
    </xf>
    <xf numFmtId="3" fontId="29" fillId="5" borderId="11" applyNumberFormat="1" applyFont="1" applyFill="1" applyBorder="1" applyAlignment="1" applyProtection="0">
      <alignment horizontal="right" vertical="bottom"/>
    </xf>
    <xf numFmtId="3" fontId="29" fillId="5" borderId="11" applyNumberFormat="1" applyFont="1" applyFill="1" applyBorder="1" applyAlignment="1" applyProtection="0">
      <alignment vertical="bottom"/>
    </xf>
    <xf numFmtId="1" fontId="4" borderId="50" applyNumberFormat="1" applyFont="1" applyFill="0" applyBorder="1" applyAlignment="1" applyProtection="0">
      <alignment vertical="bottom"/>
    </xf>
    <xf numFmtId="1" fontId="4" borderId="51" applyNumberFormat="1" applyFont="1" applyFill="0" applyBorder="1" applyAlignment="1" applyProtection="0">
      <alignment vertical="bottom"/>
    </xf>
    <xf numFmtId="61" fontId="4" borderId="51" applyNumberFormat="1" applyFont="1" applyFill="0" applyBorder="1" applyAlignment="1" applyProtection="0">
      <alignment vertical="bottom"/>
    </xf>
    <xf numFmtId="61" fontId="4" borderId="5" applyNumberFormat="1" applyFont="1" applyFill="0" applyBorder="1" applyAlignment="1" applyProtection="0">
      <alignment vertical="bottom"/>
    </xf>
    <xf numFmtId="61" fontId="4" borderId="6" applyNumberFormat="1" applyFont="1" applyFill="0" applyBorder="1" applyAlignment="1" applyProtection="0">
      <alignment vertical="bottom"/>
    </xf>
    <xf numFmtId="0" fontId="17" fillId="5" borderId="52" applyNumberFormat="1" applyFont="1" applyFill="1" applyBorder="1" applyAlignment="1" applyProtection="0">
      <alignment horizontal="center" vertical="bottom"/>
    </xf>
    <xf numFmtId="1" fontId="17" fillId="5" borderId="53" applyNumberFormat="1" applyFont="1" applyFill="1" applyBorder="1" applyAlignment="1" applyProtection="0">
      <alignment horizontal="center" vertical="bottom"/>
    </xf>
    <xf numFmtId="1" fontId="17" fillId="5" borderId="54" applyNumberFormat="1" applyFont="1" applyFill="1" applyBorder="1" applyAlignment="1" applyProtection="0">
      <alignment horizontal="center" vertical="bottom"/>
    </xf>
    <xf numFmtId="61" fontId="4" borderId="55" applyNumberFormat="1" applyFont="1" applyFill="0" applyBorder="1" applyAlignment="1" applyProtection="0">
      <alignment vertical="bottom"/>
    </xf>
    <xf numFmtId="0" fontId="17" fillId="5" borderId="56" applyNumberFormat="1" applyFont="1" applyFill="1" applyBorder="1" applyAlignment="1" applyProtection="0">
      <alignment vertical="bottom"/>
    </xf>
    <xf numFmtId="1" fontId="4" fillId="5" borderId="57" applyNumberFormat="1" applyFont="1" applyFill="1" applyBorder="1" applyAlignment="1" applyProtection="0">
      <alignment vertical="bottom"/>
    </xf>
    <xf numFmtId="61" fontId="30" fillId="5" borderId="11" applyNumberFormat="1" applyFont="1" applyFill="1" applyBorder="1" applyAlignment="1" applyProtection="0">
      <alignment vertical="bottom"/>
    </xf>
    <xf numFmtId="61" fontId="4" borderId="12" applyNumberFormat="1" applyFont="1" applyFill="0" applyBorder="1" applyAlignment="1" applyProtection="0">
      <alignment vertical="bottom"/>
    </xf>
    <xf numFmtId="10" fontId="31" borderId="11" applyNumberFormat="1" applyFont="1" applyFill="0" applyBorder="1" applyAlignment="1" applyProtection="0">
      <alignment vertical="bottom"/>
    </xf>
    <xf numFmtId="10" fontId="31" fillId="5" borderId="11" applyNumberFormat="1" applyFont="1" applyFill="1" applyBorder="1" applyAlignment="1" applyProtection="0">
      <alignment vertical="bottom"/>
    </xf>
    <xf numFmtId="65" fontId="31" borderId="11" applyNumberFormat="1" applyFont="1" applyFill="0" applyBorder="1" applyAlignment="1" applyProtection="0">
      <alignment vertical="bottom"/>
    </xf>
    <xf numFmtId="0" fontId="27" borderId="12" applyNumberFormat="1" applyFont="1" applyFill="0" applyBorder="1" applyAlignment="1" applyProtection="0">
      <alignment vertical="bottom"/>
    </xf>
    <xf numFmtId="61" fontId="4" borderId="13" applyNumberFormat="1" applyFont="1" applyFill="0" applyBorder="1" applyAlignment="1" applyProtection="0">
      <alignment vertical="bottom"/>
    </xf>
    <xf numFmtId="0" fontId="17" fillId="5" borderId="23" applyNumberFormat="1" applyFont="1" applyFill="1" applyBorder="1" applyAlignment="1" applyProtection="0">
      <alignment vertical="bottom"/>
    </xf>
    <xf numFmtId="61" fontId="19" fillId="5" borderId="58" applyNumberFormat="1" applyFont="1" applyFill="1" applyBorder="1" applyAlignment="1" applyProtection="0">
      <alignment vertical="bottom"/>
    </xf>
    <xf numFmtId="0" fontId="4" fillId="5" borderId="59" applyNumberFormat="1" applyFont="1" applyFill="1" applyBorder="1" applyAlignment="1" applyProtection="0">
      <alignment vertical="bottom"/>
    </xf>
    <xf numFmtId="10" fontId="4" fillId="5" borderId="58" applyNumberFormat="1" applyFont="1" applyFill="1" applyBorder="1" applyAlignment="1" applyProtection="0">
      <alignment vertical="bottom"/>
    </xf>
    <xf numFmtId="61" fontId="4" fillId="5" borderId="59" applyNumberFormat="1" applyFont="1" applyFill="1" applyBorder="1" applyAlignment="1" applyProtection="0">
      <alignment vertical="bottom"/>
    </xf>
    <xf numFmtId="0" fontId="4" fillId="5" borderId="59" applyNumberFormat="1" applyFont="1" applyFill="1" applyBorder="1" applyAlignment="1" applyProtection="0">
      <alignment horizontal="left" vertical="bottom"/>
    </xf>
    <xf numFmtId="10" fontId="4" fillId="5" borderId="59" applyNumberFormat="1" applyFont="1" applyFill="1" applyBorder="1" applyAlignment="1" applyProtection="0">
      <alignment vertical="bottom"/>
    </xf>
    <xf numFmtId="0" fontId="4" fillId="5" borderId="60" applyNumberFormat="1" applyFont="1" applyFill="1" applyBorder="1" applyAlignment="1" applyProtection="0">
      <alignment horizontal="left" vertical="bottom"/>
    </xf>
    <xf numFmtId="10" fontId="4" fillId="5" borderId="60" applyNumberFormat="1" applyFont="1" applyFill="1" applyBorder="1" applyAlignment="1" applyProtection="0">
      <alignment vertical="bottom"/>
    </xf>
    <xf numFmtId="61" fontId="4" fillId="5" borderId="60" applyNumberFormat="1" applyFont="1" applyFill="1" applyBorder="1" applyAlignment="1" applyProtection="0">
      <alignment vertical="bottom"/>
    </xf>
    <xf numFmtId="61" fontId="17" borderId="28" applyNumberFormat="1" applyFont="1" applyFill="0" applyBorder="1" applyAlignment="1" applyProtection="0">
      <alignment horizontal="left" vertical="center"/>
    </xf>
    <xf numFmtId="61" fontId="17" borderId="22" applyNumberFormat="1" applyFont="1" applyFill="0" applyBorder="1" applyAlignment="1" applyProtection="0">
      <alignment horizontal="left" vertical="center"/>
    </xf>
    <xf numFmtId="61" fontId="17" borderId="36" applyNumberFormat="1" applyFont="1" applyFill="0" applyBorder="1" applyAlignment="1" applyProtection="0">
      <alignment vertical="bottom"/>
    </xf>
    <xf numFmtId="61" fontId="17" borderId="20" applyNumberFormat="1" applyFont="1" applyFill="0" applyBorder="1" applyAlignment="1" applyProtection="0">
      <alignment horizontal="left" vertical="center"/>
    </xf>
    <xf numFmtId="61" fontId="17" borderId="9" applyNumberFormat="1" applyFont="1" applyFill="0" applyBorder="1" applyAlignment="1" applyProtection="0">
      <alignment horizontal="left" vertical="center"/>
    </xf>
    <xf numFmtId="61" fontId="17" borderId="35" applyNumberFormat="1" applyFont="1" applyFill="0" applyBorder="1" applyAlignment="1" applyProtection="0">
      <alignment vertical="bottom"/>
    </xf>
    <xf numFmtId="61" fontId="4" fillId="5" borderId="58" applyNumberFormat="1" applyFont="1" applyFill="1" applyBorder="1" applyAlignment="1" applyProtection="0">
      <alignment vertical="bottom"/>
    </xf>
    <xf numFmtId="0" fontId="17" fillId="5" borderId="2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9" fontId="15" borderId="11" applyNumberFormat="1" applyFont="1" applyFill="0" applyBorder="1" applyAlignment="1" applyProtection="0">
      <alignment horizontal="right" vertical="center"/>
    </xf>
    <xf numFmtId="3" fontId="4" borderId="11" applyNumberFormat="1" applyFont="1" applyFill="0" applyBorder="1" applyAlignment="1" applyProtection="0">
      <alignment vertical="bottom"/>
    </xf>
    <xf numFmtId="0" fontId="2" fillId="2" borderId="11" applyNumberFormat="1" applyFont="1" applyFill="1" applyBorder="1" applyAlignment="1" applyProtection="0">
      <alignment vertical="bottom"/>
    </xf>
    <xf numFmtId="1" fontId="4" borderId="61" applyNumberFormat="1" applyFont="1" applyFill="0" applyBorder="1" applyAlignment="1" applyProtection="0">
      <alignment vertical="bottom"/>
    </xf>
    <xf numFmtId="60" fontId="4" borderId="22" applyNumberFormat="1" applyFont="1" applyFill="0" applyBorder="1" applyAlignment="1" applyProtection="0">
      <alignment vertical="bottom"/>
    </xf>
    <xf numFmtId="60" fontId="4" borderId="36" applyNumberFormat="1" applyFont="1" applyFill="0" applyBorder="1" applyAlignment="1" applyProtection="0">
      <alignment vertical="bottom"/>
    </xf>
    <xf numFmtId="0" fontId="4" borderId="62" applyNumberFormat="1" applyFont="1" applyFill="0" applyBorder="1" applyAlignment="1" applyProtection="0">
      <alignment vertical="bottom"/>
    </xf>
    <xf numFmtId="0" fontId="4" borderId="63" applyNumberFormat="1" applyFont="1" applyFill="0" applyBorder="1" applyAlignment="1" applyProtection="0">
      <alignment vertical="bottom"/>
    </xf>
    <xf numFmtId="62" fontId="4" borderId="64" applyNumberFormat="1" applyFont="1" applyFill="0" applyBorder="1" applyAlignment="1" applyProtection="0">
      <alignment vertical="bottom"/>
    </xf>
    <xf numFmtId="62" fontId="4" borderId="5" applyNumberFormat="1" applyFont="1" applyFill="0" applyBorder="1" applyAlignment="1" applyProtection="0">
      <alignment vertical="bottom"/>
    </xf>
    <xf numFmtId="62" fontId="4" borderId="6" applyNumberFormat="1" applyFont="1" applyFill="0" applyBorder="1" applyAlignment="1" applyProtection="0">
      <alignment vertical="bottom"/>
    </xf>
    <xf numFmtId="10" fontId="32" borderId="63" applyNumberFormat="1" applyFont="1" applyFill="0" applyBorder="1" applyAlignment="1" applyProtection="0">
      <alignment vertical="bottom"/>
    </xf>
    <xf numFmtId="1" fontId="4" borderId="65" applyNumberFormat="1" applyFont="1" applyFill="0" applyBorder="1" applyAlignment="1" applyProtection="0">
      <alignment vertical="bottom"/>
    </xf>
    <xf numFmtId="0" fontId="17" borderId="20" applyNumberFormat="1" applyFont="1" applyFill="0" applyBorder="1" applyAlignment="1" applyProtection="0">
      <alignment horizontal="left" vertical="bottom"/>
    </xf>
    <xf numFmtId="9" fontId="4" fillId="5" borderId="11" applyNumberFormat="1" applyFont="1" applyFill="1" applyBorder="1" applyAlignment="1" applyProtection="0">
      <alignment horizontal="right" vertical="center"/>
    </xf>
    <xf numFmtId="3" fontId="4" fillId="7" borderId="11" applyNumberFormat="1" applyFont="1" applyFill="1" applyBorder="1" applyAlignment="1" applyProtection="0">
      <alignment vertical="bottom"/>
    </xf>
    <xf numFmtId="1" fontId="4" borderId="63" applyNumberFormat="1" applyFont="1" applyFill="0" applyBorder="1" applyAlignment="1" applyProtection="0">
      <alignment vertical="bottom"/>
    </xf>
    <xf numFmtId="1" fontId="4" borderId="64" applyNumberFormat="1" applyFont="1" applyFill="0" applyBorder="1" applyAlignment="1" applyProtection="0">
      <alignment vertical="bottom"/>
    </xf>
    <xf numFmtId="3" fontId="4" fillId="5" borderId="58" applyNumberFormat="1" applyFont="1" applyFill="1" applyBorder="1" applyAlignment="1" applyProtection="0">
      <alignment vertical="bottom"/>
    </xf>
    <xf numFmtId="9" fontId="4" fillId="5" borderId="59" applyNumberFormat="1" applyFont="1" applyFill="1" applyBorder="1" applyAlignment="1" applyProtection="0">
      <alignment horizontal="right" vertical="center"/>
    </xf>
    <xf numFmtId="1" fontId="4" fillId="5" borderId="59" applyNumberFormat="1" applyFont="1" applyFill="1" applyBorder="1" applyAlignment="1" applyProtection="0">
      <alignment vertical="bottom"/>
    </xf>
    <xf numFmtId="3" fontId="4" fillId="5" borderId="23" applyNumberFormat="1" applyFont="1" applyFill="1" applyBorder="1" applyAlignment="1" applyProtection="0">
      <alignment vertical="bottom"/>
    </xf>
    <xf numFmtId="3" fontId="4" fillId="5" borderId="24" applyNumberFormat="1" applyFont="1" applyFill="1" applyBorder="1" applyAlignment="1" applyProtection="0">
      <alignment vertical="bottom"/>
    </xf>
    <xf numFmtId="9" fontId="4" fillId="5" borderId="12" applyNumberFormat="1" applyFont="1" applyFill="1" applyBorder="1" applyAlignment="1" applyProtection="0">
      <alignment horizontal="right" vertical="center"/>
    </xf>
    <xf numFmtId="9" fontId="4" fillId="5" borderId="25" applyNumberFormat="1" applyFont="1" applyFill="1" applyBorder="1" applyAlignment="1" applyProtection="0">
      <alignment horizontal="right" vertical="center"/>
    </xf>
    <xf numFmtId="1" fontId="4" fillId="5" borderId="12" applyNumberFormat="1" applyFont="1" applyFill="1" applyBorder="1" applyAlignment="1" applyProtection="0">
      <alignment vertical="bottom"/>
    </xf>
    <xf numFmtId="3" fontId="4" fillId="5" borderId="25" applyNumberFormat="1" applyFont="1" applyFill="1" applyBorder="1" applyAlignment="1" applyProtection="0">
      <alignment vertical="bottom"/>
    </xf>
    <xf numFmtId="3" fontId="4" fillId="5" borderId="22" applyNumberFormat="1" applyFont="1" applyFill="1" applyBorder="1" applyAlignment="1" applyProtection="0">
      <alignment vertical="bottom"/>
    </xf>
    <xf numFmtId="9" fontId="4" fillId="5" borderId="5" applyNumberFormat="1" applyFont="1" applyFill="1" applyBorder="1" applyAlignment="1" applyProtection="0">
      <alignment horizontal="right" vertical="center"/>
    </xf>
    <xf numFmtId="3" fontId="4" fillId="5" borderId="5" applyNumberFormat="1" applyFont="1" applyFill="1" applyBorder="1" applyAlignment="1" applyProtection="0">
      <alignment vertical="bottom"/>
    </xf>
    <xf numFmtId="3" fontId="4" borderId="9" applyNumberFormat="1" applyFont="1" applyFill="0" applyBorder="1" applyAlignment="1" applyProtection="0">
      <alignment vertical="bottom"/>
    </xf>
    <xf numFmtId="0" fontId="2" fillId="2" borderId="28" applyNumberFormat="0" applyFont="1" applyFill="1" applyBorder="1" applyAlignment="1" applyProtection="0">
      <alignment vertical="bottom"/>
    </xf>
    <xf numFmtId="0" fontId="2" fillId="2" borderId="22" applyNumberFormat="0" applyFont="1" applyFill="1" applyBorder="1" applyAlignment="1" applyProtection="0">
      <alignment vertical="bottom"/>
    </xf>
    <xf numFmtId="0" fontId="2" fillId="2" borderId="36" applyNumberFormat="0" applyFont="1" applyFill="1" applyBorder="1" applyAlignment="1" applyProtection="0">
      <alignment vertical="bottom"/>
    </xf>
    <xf numFmtId="3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0" fontId="13" fillId="4" borderId="2" applyNumberFormat="1" applyFont="1" applyFill="1" applyBorder="1" applyAlignment="1" applyProtection="0">
      <alignment vertical="bottom"/>
    </xf>
    <xf numFmtId="0" fontId="4" fillId="5" borderId="66" applyNumberFormat="1" applyFont="1" applyFill="1" applyBorder="1" applyAlignment="1" applyProtection="0">
      <alignment horizontal="left" vertical="bottom"/>
    </xf>
    <xf numFmtId="63" fontId="4" fillId="6" borderId="11" applyNumberFormat="1" applyFont="1" applyFill="1" applyBorder="1" applyAlignment="1" applyProtection="0">
      <alignment horizontal="right" vertical="bottom"/>
    </xf>
    <xf numFmtId="0" fontId="17" fillId="5" borderId="66" applyNumberFormat="1" applyFont="1" applyFill="1" applyBorder="1" applyAlignment="1" applyProtection="0">
      <alignment horizontal="left" vertical="bottom"/>
    </xf>
    <xf numFmtId="63" fontId="17" fillId="6" borderId="11" applyNumberFormat="1" applyFont="1" applyFill="1" applyBorder="1" applyAlignment="1" applyProtection="0">
      <alignment horizontal="right" vertical="bottom"/>
    </xf>
    <xf numFmtId="0" fontId="17" fillId="5" borderId="11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61" fontId="4" borderId="11" applyNumberFormat="1" applyFont="1" applyFill="0" applyBorder="1" applyAlignment="1" applyProtection="0">
      <alignment vertical="bottom"/>
    </xf>
    <xf numFmtId="0" fontId="4" fillId="5" borderId="66" applyNumberFormat="1" applyFont="1" applyFill="1" applyBorder="1" applyAlignment="1" applyProtection="0">
      <alignment vertical="bottom"/>
    </xf>
    <xf numFmtId="3" fontId="19" borderId="22" applyNumberFormat="1" applyFont="1" applyFill="0" applyBorder="1" applyAlignment="1" applyProtection="0">
      <alignment vertical="bottom"/>
    </xf>
    <xf numFmtId="3" fontId="19" borderId="36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33" borderId="1" applyNumberFormat="1" applyFont="1" applyFill="0" applyBorder="1" applyAlignment="1" applyProtection="0">
      <alignment vertical="bottom"/>
    </xf>
    <xf numFmtId="1" fontId="33" borderId="2" applyNumberFormat="1" applyFont="1" applyFill="0" applyBorder="1" applyAlignment="1" applyProtection="0">
      <alignment vertical="bottom"/>
    </xf>
    <xf numFmtId="0" fontId="2" fillId="2" borderId="32" applyNumberFormat="0" applyFont="1" applyFill="1" applyBorder="1" applyAlignment="1" applyProtection="0">
      <alignment vertical="bottom"/>
    </xf>
    <xf numFmtId="1" fontId="4" fillId="5" borderId="29" applyNumberFormat="1" applyFont="1" applyFill="1" applyBorder="1" applyAlignment="1" applyProtection="0">
      <alignment horizontal="left" vertical="bottom"/>
    </xf>
    <xf numFmtId="3" fontId="17" fillId="5" borderId="11" applyNumberFormat="1" applyFont="1" applyFill="1" applyBorder="1" applyAlignment="1" applyProtection="0">
      <alignment horizontal="center" vertical="bottom"/>
    </xf>
    <xf numFmtId="1" fontId="33" fillId="5" borderId="21" applyNumberFormat="1" applyFont="1" applyFill="1" applyBorder="1" applyAlignment="1" applyProtection="0">
      <alignment vertical="bottom"/>
    </xf>
    <xf numFmtId="1" fontId="33" fillId="5" borderId="13" applyNumberFormat="1" applyFont="1" applyFill="1" applyBorder="1" applyAlignment="1" applyProtection="0">
      <alignment vertical="bottom"/>
    </xf>
    <xf numFmtId="1" fontId="4" borderId="67" applyNumberFormat="1" applyFont="1" applyFill="0" applyBorder="1" applyAlignment="1" applyProtection="0">
      <alignment vertical="bottom"/>
    </xf>
    <xf numFmtId="38" fontId="4" borderId="13" applyNumberFormat="1" applyFont="1" applyFill="0" applyBorder="1" applyAlignment="1" applyProtection="0">
      <alignment horizontal="center" vertical="bottom"/>
    </xf>
    <xf numFmtId="38" fontId="4" fillId="2" borderId="22" applyNumberFormat="1" applyFont="1" applyFill="1" applyBorder="1" applyAlignment="1" applyProtection="0">
      <alignment horizontal="center" vertical="bottom"/>
    </xf>
    <xf numFmtId="1" fontId="17" fillId="2" borderId="4" applyNumberFormat="1" applyFont="1" applyFill="1" applyBorder="1" applyAlignment="1" applyProtection="0">
      <alignment vertical="bottom"/>
    </xf>
    <xf numFmtId="38" fontId="4" fillId="2" borderId="5" applyNumberFormat="1" applyFont="1" applyFill="1" applyBorder="1" applyAlignment="1" applyProtection="0">
      <alignment vertical="bottom"/>
    </xf>
    <xf numFmtId="61" fontId="17" fillId="2" borderId="5" applyNumberFormat="1" applyFont="1" applyFill="1" applyBorder="1" applyAlignment="1" applyProtection="0">
      <alignment vertical="bottom"/>
    </xf>
    <xf numFmtId="61" fontId="34" fillId="2" borderId="6" applyNumberFormat="1" applyFont="1" applyFill="1" applyBorder="1" applyAlignment="1" applyProtection="0">
      <alignment vertical="bottom"/>
    </xf>
    <xf numFmtId="1" fontId="4" fillId="2" borderId="4" applyNumberFormat="1" applyFont="1" applyFill="1" applyBorder="1" applyAlignment="1" applyProtection="0">
      <alignment horizontal="left" vertical="bottom"/>
    </xf>
    <xf numFmtId="61" fontId="4" fillId="2" borderId="5" applyNumberFormat="1" applyFont="1" applyFill="1" applyBorder="1" applyAlignment="1" applyProtection="0">
      <alignment vertical="bottom"/>
    </xf>
    <xf numFmtId="38" fontId="4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0" fontId="17" fillId="5" borderId="67" applyNumberFormat="1" applyFont="1" applyFill="1" applyBorder="1" applyAlignment="1" applyProtection="0">
      <alignment horizontal="center" vertical="top" wrapText="1"/>
    </xf>
    <xf numFmtId="1" fontId="17" fillId="5" borderId="31" applyNumberFormat="1" applyFont="1" applyFill="1" applyBorder="1" applyAlignment="1" applyProtection="0">
      <alignment horizontal="center" vertical="top" wrapText="1"/>
    </xf>
    <xf numFmtId="1" fontId="4" fillId="5" borderId="68" applyNumberFormat="1" applyFont="1" applyFill="1" applyBorder="1" applyAlignment="1" applyProtection="0">
      <alignment horizontal="left" vertical="bottom"/>
    </xf>
    <xf numFmtId="1" fontId="4" fillId="5" borderId="69" applyNumberFormat="1" applyFont="1" applyFill="1" applyBorder="1" applyAlignment="1" applyProtection="0">
      <alignment horizontal="left" vertical="bottom"/>
    </xf>
    <xf numFmtId="3" fontId="4" fillId="5" borderId="70" applyNumberFormat="1" applyFont="1" applyFill="1" applyBorder="1" applyAlignment="1" applyProtection="0">
      <alignment horizontal="right" vertical="center"/>
    </xf>
    <xf numFmtId="0" fontId="17" fillId="5" borderId="71" applyNumberFormat="1" applyFont="1" applyFill="1" applyBorder="1" applyAlignment="1" applyProtection="0">
      <alignment horizontal="center" vertical="top" wrapText="1"/>
    </xf>
    <xf numFmtId="1" fontId="17" fillId="5" borderId="72" applyNumberFormat="1" applyFont="1" applyFill="1" applyBorder="1" applyAlignment="1" applyProtection="0">
      <alignment horizontal="center" vertical="top" wrapText="1"/>
    </xf>
    <xf numFmtId="3" fontId="4" fillId="5" borderId="73" applyNumberFormat="1" applyFont="1" applyFill="1" applyBorder="1" applyAlignment="1" applyProtection="0">
      <alignment horizontal="right" vertical="center"/>
    </xf>
    <xf numFmtId="3" fontId="4" fillId="5" borderId="74" applyNumberFormat="1" applyFont="1" applyFill="1" applyBorder="1" applyAlignment="1" applyProtection="0">
      <alignment horizontal="right" vertical="center"/>
    </xf>
    <xf numFmtId="0" fontId="17" fillId="5" borderId="75" applyNumberFormat="1" applyFont="1" applyFill="1" applyBorder="1" applyAlignment="1" applyProtection="0">
      <alignment horizontal="center" vertical="top" wrapText="1"/>
    </xf>
    <xf numFmtId="1" fontId="17" fillId="5" borderId="76" applyNumberFormat="1" applyFont="1" applyFill="1" applyBorder="1" applyAlignment="1" applyProtection="0">
      <alignment horizontal="center" vertical="top" wrapText="1"/>
    </xf>
    <xf numFmtId="0" fontId="17" fillId="5" borderId="75" applyNumberFormat="1" applyFont="1" applyFill="1" applyBorder="1" applyAlignment="1" applyProtection="0">
      <alignment horizontal="left" vertical="top" wrapText="1"/>
    </xf>
    <xf numFmtId="1" fontId="17" fillId="5" borderId="76" applyNumberFormat="1" applyFont="1" applyFill="1" applyBorder="1" applyAlignment="1" applyProtection="0">
      <alignment horizontal="left" vertical="top" wrapText="1"/>
    </xf>
    <xf numFmtId="3" fontId="4" borderId="73" applyNumberFormat="1" applyFont="1" applyFill="0" applyBorder="1" applyAlignment="1" applyProtection="0">
      <alignment horizontal="right" vertical="center"/>
    </xf>
    <xf numFmtId="1" fontId="4" borderId="77" applyNumberFormat="1" applyFont="1" applyFill="0" applyBorder="1" applyAlignment="1" applyProtection="0">
      <alignment vertical="bottom"/>
    </xf>
    <xf numFmtId="1" fontId="4" borderId="78" applyNumberFormat="1" applyFont="1" applyFill="0" applyBorder="1" applyAlignment="1" applyProtection="0">
      <alignment vertical="bottom"/>
    </xf>
    <xf numFmtId="1" fontId="26" borderId="4" applyNumberFormat="1" applyFont="1" applyFill="0" applyBorder="1" applyAlignment="1" applyProtection="0">
      <alignment vertical="bottom"/>
    </xf>
    <xf numFmtId="1" fontId="4" borderId="30" applyNumberFormat="1" applyFont="1" applyFill="0" applyBorder="1" applyAlignment="1" applyProtection="0">
      <alignment vertical="bottom"/>
    </xf>
    <xf numFmtId="1" fontId="4" borderId="16" applyNumberFormat="1" applyFont="1" applyFill="0" applyBorder="1" applyAlignment="1" applyProtection="0">
      <alignment vertical="bottom"/>
    </xf>
    <xf numFmtId="1" fontId="4" borderId="17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7" borderId="2" applyNumberFormat="1" applyFont="1" applyFill="0" applyBorder="1" applyAlignment="1" applyProtection="0">
      <alignment vertical="bottom"/>
    </xf>
    <xf numFmtId="0" fontId="10" fillId="4" borderId="2" applyNumberFormat="1" applyFont="1" applyFill="1" applyBorder="1" applyAlignment="1" applyProtection="0">
      <alignment vertical="bottom"/>
    </xf>
    <xf numFmtId="0" fontId="19" fillId="4" borderId="2" applyNumberFormat="1" applyFont="1" applyFill="1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horizontal="right" vertical="center"/>
    </xf>
    <xf numFmtId="3" fontId="4" fillId="2" borderId="12" applyNumberFormat="1" applyFont="1" applyFill="1" applyBorder="1" applyAlignment="1" applyProtection="0">
      <alignment vertical="bottom"/>
    </xf>
    <xf numFmtId="3" fontId="4" fillId="2" borderId="6" applyNumberFormat="1" applyFont="1" applyFill="1" applyBorder="1" applyAlignment="1" applyProtection="0">
      <alignment vertical="bottom"/>
    </xf>
    <xf numFmtId="1" fontId="17" borderId="21" applyNumberFormat="1" applyFont="1" applyFill="0" applyBorder="1" applyAlignment="1" applyProtection="0">
      <alignment vertical="bottom"/>
    </xf>
    <xf numFmtId="1" fontId="17" fillId="5" borderId="11" applyNumberFormat="1" applyFont="1" applyFill="1" applyBorder="1" applyAlignment="1" applyProtection="0">
      <alignment horizontal="right" vertical="bottom"/>
    </xf>
    <xf numFmtId="1" fontId="17" fillId="5" borderId="29" applyNumberFormat="1" applyFont="1" applyFill="1" applyBorder="1" applyAlignment="1" applyProtection="0">
      <alignment vertical="bottom"/>
    </xf>
    <xf numFmtId="38" fontId="4" fillId="5" borderId="11" applyNumberFormat="1" applyFont="1" applyFill="1" applyBorder="1" applyAlignment="1" applyProtection="0">
      <alignment horizontal="right" vertical="bottom"/>
    </xf>
    <xf numFmtId="3" fontId="4" fillId="5" borderId="11" applyNumberFormat="1" applyFont="1" applyFill="1" applyBorder="1" applyAlignment="1" applyProtection="0">
      <alignment horizontal="right" vertical="bottom"/>
    </xf>
    <xf numFmtId="0" fontId="17" fillId="5" borderId="21" applyNumberFormat="1" applyFont="1" applyFill="1" applyBorder="1" applyAlignment="1" applyProtection="0">
      <alignment horizontal="center" vertical="bottom"/>
    </xf>
    <xf numFmtId="1" fontId="36" fillId="2" borderId="22" applyNumberFormat="1" applyFont="1" applyFill="1" applyBorder="1" applyAlignment="1" applyProtection="0">
      <alignment vertical="bottom"/>
    </xf>
    <xf numFmtId="61" fontId="27" fillId="2" borderId="5" applyNumberFormat="1" applyFont="1" applyFill="1" applyBorder="1" applyAlignment="1" applyProtection="0">
      <alignment vertical="bottom"/>
    </xf>
    <xf numFmtId="1" fontId="36" fillId="2" borderId="5" applyNumberFormat="1" applyFont="1" applyFill="1" applyBorder="1" applyAlignment="1" applyProtection="0">
      <alignment vertical="bottom"/>
    </xf>
    <xf numFmtId="66" fontId="36" fillId="2" borderId="5" applyNumberFormat="1" applyFont="1" applyFill="1" applyBorder="1" applyAlignment="1" applyProtection="0">
      <alignment vertical="bottom"/>
    </xf>
    <xf numFmtId="61" fontId="36" fillId="2" borderId="5" applyNumberFormat="1" applyFont="1" applyFill="1" applyBorder="1" applyAlignment="1" applyProtection="0">
      <alignment vertical="bottom"/>
    </xf>
    <xf numFmtId="3" fontId="36" fillId="2" borderId="5" applyNumberFormat="1" applyFont="1" applyFill="1" applyBorder="1" applyAlignment="1" applyProtection="0">
      <alignment vertical="bottom"/>
    </xf>
    <xf numFmtId="1" fontId="19" fillId="2" borderId="5" applyNumberFormat="1" applyFont="1" applyFill="1" applyBorder="1" applyAlignment="1" applyProtection="0">
      <alignment vertical="bottom"/>
    </xf>
    <xf numFmtId="1" fontId="19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0" borderId="2" applyNumberFormat="1" applyFont="1" applyFill="0" applyBorder="1" applyAlignment="1" applyProtection="0">
      <alignment vertical="bottom"/>
    </xf>
    <xf numFmtId="1" fontId="4" borderId="79" applyNumberFormat="1" applyFont="1" applyFill="0" applyBorder="1" applyAlignment="1" applyProtection="0">
      <alignment vertical="bottom"/>
    </xf>
    <xf numFmtId="0" fontId="17" borderId="80" applyNumberFormat="0" applyFont="1" applyFill="0" applyBorder="1" applyAlignment="1" applyProtection="0">
      <alignment horizontal="center" vertical="center"/>
    </xf>
    <xf numFmtId="0" fontId="17" borderId="81" applyNumberFormat="0" applyFont="1" applyFill="0" applyBorder="1" applyAlignment="1" applyProtection="0">
      <alignment horizontal="center" vertical="center"/>
    </xf>
    <xf numFmtId="0" fontId="17" fillId="5" borderId="82" applyNumberFormat="1" applyFont="1" applyFill="1" applyBorder="1" applyAlignment="1" applyProtection="0">
      <alignment horizontal="center" vertical="bottom"/>
    </xf>
    <xf numFmtId="0" fontId="17" fillId="5" borderId="83" applyNumberFormat="1" applyFont="1" applyFill="1" applyBorder="1" applyAlignment="1" applyProtection="0">
      <alignment horizontal="center" vertical="bottom"/>
    </xf>
    <xf numFmtId="0" fontId="17" fillId="5" borderId="84" applyNumberFormat="1" applyFont="1" applyFill="1" applyBorder="1" applyAlignment="1" applyProtection="0">
      <alignment horizontal="center" vertical="bottom"/>
    </xf>
    <xf numFmtId="0" fontId="4" fillId="5" borderId="85" applyNumberFormat="1" applyFont="1" applyFill="1" applyBorder="1" applyAlignment="1" applyProtection="0">
      <alignment horizontal="left" vertical="bottom"/>
    </xf>
    <xf numFmtId="9" fontId="4" fillId="5" borderId="86" applyNumberFormat="1" applyFont="1" applyFill="1" applyBorder="1" applyAlignment="1" applyProtection="0">
      <alignment horizontal="right" vertical="center"/>
    </xf>
    <xf numFmtId="9" fontId="4" fillId="5" borderId="87" applyNumberFormat="1" applyFont="1" applyFill="1" applyBorder="1" applyAlignment="1" applyProtection="0">
      <alignment horizontal="right" vertical="center"/>
    </xf>
    <xf numFmtId="0" fontId="4" fillId="5" borderId="88" applyNumberFormat="1" applyFont="1" applyFill="1" applyBorder="1" applyAlignment="1" applyProtection="0">
      <alignment horizontal="left" vertical="bottom"/>
    </xf>
    <xf numFmtId="9" fontId="4" fillId="5" borderId="89" applyNumberFormat="1" applyFont="1" applyFill="1" applyBorder="1" applyAlignment="1" applyProtection="0">
      <alignment horizontal="right" vertical="center"/>
    </xf>
    <xf numFmtId="9" fontId="4" fillId="5" borderId="90" applyNumberFormat="1" applyFont="1" applyFill="1" applyBorder="1" applyAlignment="1" applyProtection="0">
      <alignment horizontal="right" vertical="center"/>
    </xf>
    <xf numFmtId="1" fontId="4" borderId="91" applyNumberFormat="1" applyFont="1" applyFill="0" applyBorder="1" applyAlignment="1" applyProtection="0">
      <alignment vertical="bottom"/>
    </xf>
    <xf numFmtId="0" fontId="17" borderId="92" applyNumberFormat="0" applyFont="1" applyFill="0" applyBorder="1" applyAlignment="1" applyProtection="0">
      <alignment horizontal="center" vertical="center"/>
    </xf>
    <xf numFmtId="0" fontId="17" borderId="93" applyNumberFormat="0" applyFont="1" applyFill="0" applyBorder="1" applyAlignment="1" applyProtection="0">
      <alignment horizontal="center" vertical="center"/>
    </xf>
    <xf numFmtId="9" fontId="4" fillId="5" borderId="94" applyNumberFormat="1" applyFont="1" applyFill="1" applyBorder="1" applyAlignment="1" applyProtection="0">
      <alignment horizontal="right" vertical="center"/>
    </xf>
    <xf numFmtId="0" fontId="17" borderId="95" applyNumberFormat="0" applyFont="1" applyFill="0" applyBorder="1" applyAlignment="1" applyProtection="0">
      <alignment horizontal="center" vertical="center"/>
    </xf>
    <xf numFmtId="0" fontId="17" borderId="96" applyNumberFormat="0" applyFont="1" applyFill="0" applyBorder="1" applyAlignment="1" applyProtection="0">
      <alignment horizontal="center" vertical="center"/>
    </xf>
    <xf numFmtId="0" fontId="17" fillId="5" borderId="97" applyNumberFormat="1" applyFont="1" applyFill="1" applyBorder="1" applyAlignment="1" applyProtection="0">
      <alignment horizontal="center" vertical="bottom"/>
    </xf>
    <xf numFmtId="0" fontId="17" fillId="5" borderId="98" applyNumberFormat="1" applyFont="1" applyFill="1" applyBorder="1" applyAlignment="1" applyProtection="0">
      <alignment horizontal="center" vertical="bottom"/>
    </xf>
    <xf numFmtId="9" fontId="4" fillId="5" borderId="99" applyNumberFormat="1" applyFont="1" applyFill="1" applyBorder="1" applyAlignment="1" applyProtection="0">
      <alignment horizontal="right" vertical="center"/>
    </xf>
    <xf numFmtId="9" fontId="4" fillId="5" borderId="100" applyNumberFormat="1" applyFont="1" applyFill="1" applyBorder="1" applyAlignment="1" applyProtection="0">
      <alignment horizontal="right" vertical="center"/>
    </xf>
    <xf numFmtId="9" fontId="4" fillId="5" borderId="101" applyNumberFormat="1" applyFont="1" applyFill="1" applyBorder="1" applyAlignment="1" applyProtection="0">
      <alignment horizontal="right" vertical="center"/>
    </xf>
    <xf numFmtId="9" fontId="4" fillId="5" borderId="102" applyNumberFormat="1" applyFont="1" applyFill="1" applyBorder="1" applyAlignment="1" applyProtection="0">
      <alignment horizontal="right" vertical="center"/>
    </xf>
    <xf numFmtId="0" fontId="17" borderId="103" applyNumberFormat="0" applyFont="1" applyFill="0" applyBorder="1" applyAlignment="1" applyProtection="0">
      <alignment horizontal="center" vertical="center"/>
    </xf>
    <xf numFmtId="0" fontId="17" borderId="104" applyNumberFormat="0" applyFont="1" applyFill="0" applyBorder="1" applyAlignment="1" applyProtection="0">
      <alignment horizontal="center" vertical="center"/>
    </xf>
    <xf numFmtId="4" fontId="4" fillId="5" borderId="86" applyNumberFormat="1" applyFont="1" applyFill="1" applyBorder="1" applyAlignment="1" applyProtection="0">
      <alignment horizontal="right" vertical="center"/>
    </xf>
    <xf numFmtId="4" fontId="4" fillId="5" borderId="87" applyNumberFormat="1" applyFont="1" applyFill="1" applyBorder="1" applyAlignment="1" applyProtection="0">
      <alignment horizontal="right" vertical="center"/>
    </xf>
    <xf numFmtId="4" fontId="4" fillId="5" borderId="89" applyNumberFormat="1" applyFont="1" applyFill="1" applyBorder="1" applyAlignment="1" applyProtection="0">
      <alignment horizontal="right" vertical="center"/>
    </xf>
    <xf numFmtId="4" fontId="4" fillId="5" borderId="90" applyNumberFormat="1" applyFont="1" applyFill="1" applyBorder="1" applyAlignment="1" applyProtection="0">
      <alignment horizontal="right" vertical="center"/>
    </xf>
    <xf numFmtId="3" fontId="4" fillId="5" borderId="86" applyNumberFormat="1" applyFont="1" applyFill="1" applyBorder="1" applyAlignment="1" applyProtection="0">
      <alignment horizontal="right" vertical="center"/>
    </xf>
    <xf numFmtId="3" fontId="4" fillId="5" borderId="87" applyNumberFormat="1" applyFont="1" applyFill="1" applyBorder="1" applyAlignment="1" applyProtection="0">
      <alignment horizontal="right" vertical="center"/>
    </xf>
    <xf numFmtId="0" fontId="2" applyNumberFormat="1" applyFont="1" applyFill="0" applyBorder="0" applyAlignment="1" applyProtection="0">
      <alignment vertical="bottom"/>
    </xf>
    <xf numFmtId="1" fontId="10" fillId="2" borderId="2" applyNumberFormat="1" applyFont="1" applyFill="1" applyBorder="1" applyAlignment="1" applyProtection="0">
      <alignment vertical="bottom"/>
    </xf>
    <xf numFmtId="0" fontId="20" borderId="18" applyNumberFormat="1" applyFont="1" applyFill="0" applyBorder="1" applyAlignment="1" applyProtection="0">
      <alignment horizontal="center" vertical="bottom"/>
    </xf>
    <xf numFmtId="1" fontId="20" borderId="7" applyNumberFormat="1" applyFont="1" applyFill="0" applyBorder="1" applyAlignment="1" applyProtection="0">
      <alignment horizontal="center" vertical="bottom"/>
    </xf>
    <xf numFmtId="0" fontId="22" fillId="5" borderId="29" applyNumberFormat="1" applyFont="1" applyFill="1" applyBorder="1" applyAlignment="1" applyProtection="0">
      <alignment horizontal="center" vertical="bottom"/>
    </xf>
    <xf numFmtId="1" fontId="22" fillId="5" borderId="31" applyNumberFormat="1" applyFont="1" applyFill="1" applyBorder="1" applyAlignment="1" applyProtection="0">
      <alignment horizontal="center" vertical="bottom"/>
    </xf>
    <xf numFmtId="40" fontId="4" borderId="13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vertical="center" wrapText="1"/>
    </xf>
    <xf numFmtId="1" fontId="17" fillId="2" borderId="5" applyNumberFormat="1" applyFont="1" applyFill="1" applyBorder="1" applyAlignment="1" applyProtection="0">
      <alignment horizontal="center" vertical="bottom"/>
    </xf>
    <xf numFmtId="0" fontId="17" fillId="2" borderId="5" applyNumberFormat="1" applyFont="1" applyFill="1" applyBorder="1" applyAlignment="1" applyProtection="0">
      <alignment horizontal="center" vertical="bottom"/>
    </xf>
    <xf numFmtId="1" fontId="4" fillId="5" borderId="31" applyNumberFormat="1" applyFont="1" applyFill="1" applyBorder="1" applyAlignment="1" applyProtection="0">
      <alignment vertical="center" wrapText="1"/>
    </xf>
    <xf numFmtId="10" fontId="4" fillId="5" borderId="11" applyNumberFormat="1" applyFont="1" applyFill="1" applyBorder="1" applyAlignment="1" applyProtection="0">
      <alignment vertical="center" wrapText="1"/>
    </xf>
    <xf numFmtId="3" fontId="4" fillId="2" borderId="5" applyNumberFormat="1" applyFont="1" applyFill="1" applyBorder="1" applyAlignment="1" applyProtection="0">
      <alignment horizontal="center" vertical="bottom"/>
    </xf>
    <xf numFmtId="0" fontId="4" fillId="2" borderId="5" applyNumberFormat="0" applyFont="1" applyFill="1" applyBorder="1" applyAlignment="1" applyProtection="0">
      <alignment horizontal="center" vertical="bottom"/>
    </xf>
    <xf numFmtId="3" fontId="4" fillId="5" borderId="11" applyNumberFormat="1" applyFont="1" applyFill="1" applyBorder="1" applyAlignment="1" applyProtection="0">
      <alignment vertical="center" wrapText="1"/>
    </xf>
    <xf numFmtId="67" fontId="4" fillId="5" borderId="11" applyNumberFormat="1" applyFont="1" applyFill="1" applyBorder="1" applyAlignment="1" applyProtection="0">
      <alignment vertical="bottom"/>
    </xf>
    <xf numFmtId="3" fontId="4" borderId="13" applyNumberFormat="1" applyFont="1" applyFill="0" applyBorder="1" applyAlignment="1" applyProtection="0">
      <alignment vertical="center" wrapText="1"/>
    </xf>
    <xf numFmtId="67" fontId="4" borderId="13" applyNumberFormat="1" applyFont="1" applyFill="0" applyBorder="1" applyAlignment="1" applyProtection="0">
      <alignment vertical="bottom"/>
    </xf>
    <xf numFmtId="1" fontId="17" borderId="21" applyNumberFormat="1" applyFont="1" applyFill="0" applyBorder="1" applyAlignment="1" applyProtection="0">
      <alignment horizontal="left" vertical="bottom"/>
    </xf>
    <xf numFmtId="3" fontId="17" borderId="13" applyNumberFormat="1" applyFont="1" applyFill="0" applyBorder="1" applyAlignment="1" applyProtection="0">
      <alignment horizontal="right" vertical="center"/>
    </xf>
    <xf numFmtId="1" fontId="17" fillId="5" borderId="29" applyNumberFormat="1" applyFont="1" applyFill="1" applyBorder="1" applyAlignment="1" applyProtection="0">
      <alignment horizontal="left" vertical="bottom"/>
    </xf>
    <xf numFmtId="40" fontId="31" borderId="13" applyNumberFormat="1" applyFont="1" applyFill="0" applyBorder="1" applyAlignment="1" applyProtection="0">
      <alignment vertical="bottom"/>
    </xf>
    <xf numFmtId="40" fontId="4" borderId="22" applyNumberFormat="1" applyFont="1" applyFill="0" applyBorder="1" applyAlignment="1" applyProtection="0">
      <alignment vertical="bottom"/>
    </xf>
    <xf numFmtId="40" fontId="31" borderId="12" applyNumberFormat="1" applyFont="1" applyFill="0" applyBorder="1" applyAlignment="1" applyProtection="0">
      <alignment vertical="bottom"/>
    </xf>
    <xf numFmtId="40" fontId="4" borderId="5" applyNumberFormat="1" applyFont="1" applyFill="0" applyBorder="1" applyAlignment="1" applyProtection="0">
      <alignment vertical="bottom"/>
    </xf>
    <xf numFmtId="40" fontId="4" borderId="5" applyNumberFormat="1" applyFont="1" applyFill="0" applyBorder="1" applyAlignment="1" applyProtection="0">
      <alignment horizontal="right" vertical="bottom"/>
    </xf>
    <xf numFmtId="40" fontId="31" borderId="5" applyNumberFormat="1" applyFont="1" applyFill="0" applyBorder="1" applyAlignment="1" applyProtection="0">
      <alignment horizontal="right" vertical="bottom"/>
    </xf>
    <xf numFmtId="40" fontId="31" borderId="5" applyNumberFormat="1" applyFont="1" applyFill="0" applyBorder="1" applyAlignment="1" applyProtection="0">
      <alignment vertical="bottom"/>
    </xf>
    <xf numFmtId="68" fontId="4" borderId="13" applyNumberFormat="1" applyFont="1" applyFill="0" applyBorder="1" applyAlignment="1" applyProtection="0">
      <alignment vertical="bottom"/>
    </xf>
    <xf numFmtId="40" fontId="4" borderId="9" applyNumberFormat="1" applyFont="1" applyFill="0" applyBorder="1" applyAlignment="1" applyProtection="0">
      <alignment vertical="bottom"/>
    </xf>
    <xf numFmtId="40" fontId="4" fillId="2" borderId="5" applyNumberFormat="1" applyFont="1" applyFill="1" applyBorder="1" applyAlignment="1" applyProtection="0">
      <alignment vertical="bottom"/>
    </xf>
    <xf numFmtId="40" fontId="4" fillId="2" borderId="12" applyNumberFormat="1" applyFont="1" applyFill="1" applyBorder="1" applyAlignment="1" applyProtection="0">
      <alignment vertical="bottom"/>
    </xf>
    <xf numFmtId="10" fontId="17" fillId="5" borderId="11" applyNumberFormat="1" applyFont="1" applyFill="1" applyBorder="1" applyAlignment="1" applyProtection="0">
      <alignment horizontal="right" vertical="center"/>
    </xf>
    <xf numFmtId="40" fontId="4" borderId="12" applyNumberFormat="1" applyFont="1" applyFill="0" applyBorder="1" applyAlignment="1" applyProtection="0">
      <alignment horizontal="left" vertical="bottom"/>
    </xf>
    <xf numFmtId="40" fontId="4" borderId="5" applyNumberFormat="1" applyFont="1" applyFill="0" applyBorder="1" applyAlignment="1" applyProtection="0">
      <alignment horizontal="left" vertical="bottom"/>
    </xf>
    <xf numFmtId="40" fontId="4" borderId="13" applyNumberFormat="1" applyFont="1" applyFill="0" applyBorder="1" applyAlignment="1" applyProtection="0">
      <alignment horizontal="left" vertical="bottom"/>
    </xf>
    <xf numFmtId="40" fontId="4" borderId="9" applyNumberFormat="1" applyFont="1" applyFill="0" applyBorder="1" applyAlignment="1" applyProtection="0">
      <alignment horizontal="left" vertical="bottom"/>
    </xf>
    <xf numFmtId="0" fontId="17" fillId="5" borderId="11" applyNumberFormat="1" applyFont="1" applyFill="1" applyBorder="1" applyAlignment="1" applyProtection="0">
      <alignment horizontal="left" vertical="center"/>
    </xf>
    <xf numFmtId="59" fontId="4" fillId="2" borderId="5" applyNumberFormat="1" applyFont="1" applyFill="1" applyBorder="1" applyAlignment="1" applyProtection="0">
      <alignment horizontal="center" vertical="bottom"/>
    </xf>
    <xf numFmtId="62" fontId="4" fillId="2" borderId="5" applyNumberFormat="1" applyFont="1" applyFill="1" applyBorder="1" applyAlignment="1" applyProtection="0">
      <alignment horizontal="center" vertical="bottom"/>
    </xf>
    <xf numFmtId="0" fontId="4" fillId="5" borderId="28" applyNumberFormat="1" applyFont="1" applyFill="1" applyBorder="1" applyAlignment="1" applyProtection="0">
      <alignment vertical="bottom"/>
    </xf>
    <xf numFmtId="1" fontId="4" fillId="5" borderId="24" applyNumberFormat="1" applyFont="1" applyFill="1" applyBorder="1" applyAlignment="1" applyProtection="0">
      <alignment vertical="center" wrapText="1"/>
    </xf>
    <xf numFmtId="1" fontId="4" borderId="9" applyNumberFormat="1" applyFont="1" applyFill="0" applyBorder="1" applyAlignment="1" applyProtection="0">
      <alignment vertical="center" wrapText="1"/>
    </xf>
    <xf numFmtId="63" fontId="4" borderId="12" applyNumberFormat="1" applyFont="1" applyFill="0" applyBorder="1" applyAlignment="1" applyProtection="0">
      <alignment vertical="bottom"/>
    </xf>
    <xf numFmtId="0" fontId="4" borderId="11" applyNumberFormat="1" applyFont="1" applyFill="0" applyBorder="1" applyAlignment="1" applyProtection="0">
      <alignment vertical="bottom"/>
    </xf>
    <xf numFmtId="0" fontId="17" borderId="11" applyNumberFormat="1" applyFont="1" applyFill="0" applyBorder="1" applyAlignment="1" applyProtection="0">
      <alignment vertical="bottom"/>
    </xf>
    <xf numFmtId="10" fontId="4" borderId="11" applyNumberFormat="1" applyFont="1" applyFill="0" applyBorder="1" applyAlignment="1" applyProtection="0">
      <alignment vertical="bottom"/>
    </xf>
    <xf numFmtId="10" fontId="4" borderId="22" applyNumberFormat="1" applyFont="1" applyFill="0" applyBorder="1" applyAlignment="1" applyProtection="0">
      <alignment vertical="bottom"/>
    </xf>
    <xf numFmtId="0" fontId="37" borderId="20" applyNumberFormat="1" applyFont="1" applyFill="0" applyBorder="1" applyAlignment="1" applyProtection="0">
      <alignment vertical="bottom"/>
    </xf>
    <xf numFmtId="10" fontId="4" borderId="9" applyNumberFormat="1" applyFont="1" applyFill="0" applyBorder="1" applyAlignment="1" applyProtection="0">
      <alignment vertical="bottom"/>
    </xf>
    <xf numFmtId="10" fontId="4" borderId="16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0" fontId="19" fillId="4" borderId="3" applyNumberFormat="1" applyFont="1" applyFill="1" applyBorder="1" applyAlignment="1" applyProtection="0">
      <alignment horizontal="right" vertical="bottom"/>
    </xf>
    <xf numFmtId="0" fontId="20" borderId="20" applyNumberFormat="1" applyFont="1" applyFill="0" applyBorder="1" applyAlignment="1" applyProtection="0">
      <alignment vertical="bottom"/>
    </xf>
    <xf numFmtId="0" fontId="17" borderId="11" applyNumberFormat="1" applyFont="1" applyFill="0" applyBorder="1" applyAlignment="1" applyProtection="0">
      <alignment horizontal="center" vertical="bottom"/>
    </xf>
    <xf numFmtId="1" fontId="17" borderId="11" applyNumberFormat="1" applyFont="1" applyFill="0" applyBorder="1" applyAlignment="1" applyProtection="0">
      <alignment vertical="bottom"/>
    </xf>
    <xf numFmtId="1" fontId="4" borderId="11" applyNumberFormat="1" applyFont="1" applyFill="0" applyBorder="1" applyAlignment="1" applyProtection="0">
      <alignment horizontal="right" vertical="center"/>
    </xf>
    <xf numFmtId="1" fontId="4" borderId="11" applyNumberFormat="1" applyFont="1" applyFill="0" applyBorder="1" applyAlignment="1" applyProtection="0">
      <alignment horizontal="left" vertical="bottom"/>
    </xf>
    <xf numFmtId="3" fontId="4" borderId="12" applyNumberFormat="1" applyFont="1" applyFill="0" applyBorder="1" applyAlignment="1" applyProtection="0">
      <alignment vertical="bottom"/>
    </xf>
    <xf numFmtId="3" fontId="4" borderId="6" applyNumberFormat="1" applyFont="1" applyFill="0" applyBorder="1" applyAlignment="1" applyProtection="0">
      <alignment vertical="bottom"/>
    </xf>
    <xf numFmtId="3" fontId="17" borderId="11" applyNumberFormat="1" applyFont="1" applyFill="0" applyBorder="1" applyAlignment="1" applyProtection="0">
      <alignment vertical="bottom"/>
    </xf>
    <xf numFmtId="38" fontId="4" borderId="11" applyNumberFormat="1" applyFont="1" applyFill="0" applyBorder="1" applyAlignment="1" applyProtection="0">
      <alignment horizontal="center" vertical="bottom"/>
    </xf>
    <xf numFmtId="38" fontId="4" borderId="11" applyNumberFormat="1" applyFont="1" applyFill="0" applyBorder="1" applyAlignment="1" applyProtection="0">
      <alignment vertical="bottom"/>
    </xf>
    <xf numFmtId="3" fontId="4" borderId="22" applyNumberFormat="1" applyFont="1" applyFill="0" applyBorder="1" applyAlignment="1" applyProtection="0">
      <alignment horizontal="right" vertical="center"/>
    </xf>
    <xf numFmtId="3" fontId="4" borderId="5" applyNumberFormat="1" applyFont="1" applyFill="0" applyBorder="1" applyAlignment="1" applyProtection="0">
      <alignment horizontal="right" vertical="center"/>
    </xf>
    <xf numFmtId="0" fontId="4" borderId="35" applyNumberFormat="1" applyFont="1" applyFill="0" applyBorder="1" applyAlignment="1" applyProtection="0">
      <alignment vertical="bottom"/>
    </xf>
    <xf numFmtId="0" fontId="17" borderId="29" applyNumberFormat="1" applyFont="1" applyFill="0" applyBorder="1" applyAlignment="1" applyProtection="0">
      <alignment horizontal="center" vertical="bottom"/>
    </xf>
    <xf numFmtId="1" fontId="17" borderId="31" applyNumberFormat="1" applyFont="1" applyFill="0" applyBorder="1" applyAlignment="1" applyProtection="0">
      <alignment horizontal="center" vertical="bottom"/>
    </xf>
    <xf numFmtId="1" fontId="4" borderId="31" applyNumberFormat="1" applyFont="1" applyFill="0" applyBorder="1" applyAlignment="1" applyProtection="0">
      <alignment horizontal="right" vertical="center"/>
    </xf>
    <xf numFmtId="3" fontId="4" borderId="31" applyNumberFormat="1" applyFont="1" applyFill="0" applyBorder="1" applyAlignment="1" applyProtection="0">
      <alignment horizontal="right" vertical="center"/>
    </xf>
    <xf numFmtId="1" fontId="17" borderId="29" applyNumberFormat="1" applyFont="1" applyFill="0" applyBorder="1" applyAlignment="1" applyProtection="0">
      <alignment vertical="bottom"/>
    </xf>
    <xf numFmtId="1" fontId="4" borderId="29" applyNumberFormat="1" applyFont="1" applyFill="0" applyBorder="1" applyAlignment="1" applyProtection="0">
      <alignment horizontal="left" vertical="bottom"/>
    </xf>
    <xf numFmtId="1" fontId="17" borderId="11" applyNumberFormat="1" applyFont="1" applyFill="0" applyBorder="1" applyAlignment="1" applyProtection="0">
      <alignment horizontal="center" vertical="bottom"/>
    </xf>
    <xf numFmtId="3" fontId="4" borderId="22" applyNumberFormat="1" applyFont="1" applyFill="0" applyBorder="1" applyAlignment="1" applyProtection="0">
      <alignment horizontal="center" vertical="bottom"/>
    </xf>
    <xf numFmtId="3" fontId="4" borderId="22" applyNumberFormat="1" applyFont="1" applyFill="0" applyBorder="1" applyAlignment="1" applyProtection="0">
      <alignment vertical="bottom"/>
    </xf>
    <xf numFmtId="3" fontId="4" borderId="36" applyNumberFormat="1" applyFont="1" applyFill="0" applyBorder="1" applyAlignment="1" applyProtection="0">
      <alignment vertical="bottom"/>
    </xf>
    <xf numFmtId="1" fontId="17" borderId="29" applyNumberFormat="1" applyFont="1" applyFill="0" applyBorder="1" applyAlignment="1" applyProtection="0">
      <alignment horizontal="center" vertical="bottom"/>
    </xf>
    <xf numFmtId="3" fontId="4" borderId="35" applyNumberFormat="1" applyFont="1" applyFill="0" applyBorder="1" applyAlignment="1" applyProtection="0">
      <alignment vertical="bottom"/>
    </xf>
    <xf numFmtId="0" fontId="26" borderId="30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c0c0"/>
      <rgbColor rgb="ffaaaaaa"/>
      <rgbColor rgb="ff000090"/>
      <rgbColor rgb="ffffffff"/>
      <rgbColor rgb="ff003366"/>
      <rgbColor rgb="ffccffff"/>
      <rgbColor rgb="ff993366"/>
      <rgbColor rgb="ffdddddd"/>
      <rgbColor rgb="ff0000d4"/>
      <rgbColor rgb="ff808080"/>
      <rgbColor rgb="ffdd0806"/>
      <rgbColor rgb="ff969696"/>
      <rgbColor rgb="ff33cccc"/>
      <rgbColor rgb="ff333399"/>
      <rgbColor rgb="ff0066cc"/>
      <rgbColor rgb="ff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7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21828</xdr:colOff>
      <xdr:row>0</xdr:row>
      <xdr:rowOff>47924</xdr:rowOff>
    </xdr:from>
    <xdr:to>
      <xdr:col>2</xdr:col>
      <xdr:colOff>836376</xdr:colOff>
      <xdr:row>3</xdr:row>
      <xdr:rowOff>9450</xdr:rowOff>
    </xdr:to>
    <xdr:pic>
      <xdr:nvPicPr>
        <xdr:cNvPr id="2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301228" y="47924"/>
          <a:ext cx="1513049" cy="47587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109859</xdr:colOff>
      <xdr:row>0</xdr:row>
      <xdr:rowOff>47924</xdr:rowOff>
    </xdr:from>
    <xdr:to>
      <xdr:col>0</xdr:col>
      <xdr:colOff>1624905</xdr:colOff>
      <xdr:row>3</xdr:row>
      <xdr:rowOff>29137</xdr:rowOff>
    </xdr:to>
    <xdr:pic>
      <xdr:nvPicPr>
        <xdr:cNvPr id="4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9859" y="47924"/>
          <a:ext cx="1515047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108830</xdr:colOff>
      <xdr:row>0</xdr:row>
      <xdr:rowOff>47737</xdr:rowOff>
    </xdr:from>
    <xdr:to>
      <xdr:col>0</xdr:col>
      <xdr:colOff>1618505</xdr:colOff>
      <xdr:row>3</xdr:row>
      <xdr:rowOff>0</xdr:rowOff>
    </xdr:to>
    <xdr:pic>
      <xdr:nvPicPr>
        <xdr:cNvPr id="6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830" y="47737"/>
          <a:ext cx="1509676" cy="47613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108495</xdr:colOff>
      <xdr:row>0</xdr:row>
      <xdr:rowOff>47737</xdr:rowOff>
    </xdr:from>
    <xdr:to>
      <xdr:col>0</xdr:col>
      <xdr:colOff>1618394</xdr:colOff>
      <xdr:row>3</xdr:row>
      <xdr:rowOff>0</xdr:rowOff>
    </xdr:to>
    <xdr:pic>
      <xdr:nvPicPr>
        <xdr:cNvPr id="9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495" y="47737"/>
          <a:ext cx="1509900" cy="47613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108173</xdr:colOff>
      <xdr:row>0</xdr:row>
      <xdr:rowOff>47924</xdr:rowOff>
    </xdr:from>
    <xdr:to>
      <xdr:col>0</xdr:col>
      <xdr:colOff>1620391</xdr:colOff>
      <xdr:row>3</xdr:row>
      <xdr:rowOff>29137</xdr:rowOff>
    </xdr:to>
    <xdr:pic>
      <xdr:nvPicPr>
        <xdr:cNvPr id="11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173" y="47924"/>
          <a:ext cx="151221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109339</xdr:colOff>
      <xdr:row>0</xdr:row>
      <xdr:rowOff>47924</xdr:rowOff>
    </xdr:from>
    <xdr:to>
      <xdr:col>0</xdr:col>
      <xdr:colOff>1625004</xdr:colOff>
      <xdr:row>3</xdr:row>
      <xdr:rowOff>29137</xdr:rowOff>
    </xdr:to>
    <xdr:pic>
      <xdr:nvPicPr>
        <xdr:cNvPr id="13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9339" y="47924"/>
          <a:ext cx="1515666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7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107838</xdr:colOff>
      <xdr:row>0</xdr:row>
      <xdr:rowOff>47924</xdr:rowOff>
    </xdr:from>
    <xdr:to>
      <xdr:col>0</xdr:col>
      <xdr:colOff>1619870</xdr:colOff>
      <xdr:row>3</xdr:row>
      <xdr:rowOff>29025</xdr:rowOff>
    </xdr:to>
    <xdr:pic>
      <xdr:nvPicPr>
        <xdr:cNvPr id="15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38" y="47924"/>
          <a:ext cx="1512033" cy="4764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8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108818</xdr:colOff>
      <xdr:row>1</xdr:row>
      <xdr:rowOff>47812</xdr:rowOff>
    </xdr:from>
    <xdr:to>
      <xdr:col>0</xdr:col>
      <xdr:colOff>1619002</xdr:colOff>
      <xdr:row>4</xdr:row>
      <xdr:rowOff>0</xdr:rowOff>
    </xdr:to>
    <xdr:pic>
      <xdr:nvPicPr>
        <xdr:cNvPr id="17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818" y="219262"/>
          <a:ext cx="1510184" cy="47606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9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108942</xdr:colOff>
      <xdr:row>0</xdr:row>
      <xdr:rowOff>47924</xdr:rowOff>
    </xdr:from>
    <xdr:to>
      <xdr:col>0</xdr:col>
      <xdr:colOff>1618245</xdr:colOff>
      <xdr:row>3</xdr:row>
      <xdr:rowOff>29137</xdr:rowOff>
    </xdr:to>
    <xdr:pic>
      <xdr:nvPicPr>
        <xdr:cNvPr id="19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942" y="47924"/>
          <a:ext cx="1509304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0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107825</xdr:colOff>
      <xdr:row>0</xdr:row>
      <xdr:rowOff>47924</xdr:rowOff>
    </xdr:from>
    <xdr:to>
      <xdr:col>0</xdr:col>
      <xdr:colOff>1621383</xdr:colOff>
      <xdr:row>2</xdr:row>
      <xdr:rowOff>143437</xdr:rowOff>
    </xdr:to>
    <xdr:pic>
      <xdr:nvPicPr>
        <xdr:cNvPr id="21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25" y="47924"/>
          <a:ext cx="151355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107825</xdr:colOff>
      <xdr:row>0</xdr:row>
      <xdr:rowOff>47924</xdr:rowOff>
    </xdr:from>
    <xdr:to>
      <xdr:col>0</xdr:col>
      <xdr:colOff>1621383</xdr:colOff>
      <xdr:row>3</xdr:row>
      <xdr:rowOff>29137</xdr:rowOff>
    </xdr:to>
    <xdr:pic>
      <xdr:nvPicPr>
        <xdr:cNvPr id="23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25" y="47924"/>
          <a:ext cx="151355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107838</xdr:colOff>
      <xdr:row>0</xdr:row>
      <xdr:rowOff>47924</xdr:rowOff>
    </xdr:from>
    <xdr:to>
      <xdr:col>0</xdr:col>
      <xdr:colOff>1619870</xdr:colOff>
      <xdr:row>3</xdr:row>
      <xdr:rowOff>29025</xdr:rowOff>
    </xdr:to>
    <xdr:pic>
      <xdr:nvPicPr>
        <xdr:cNvPr id="25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38" y="47924"/>
          <a:ext cx="1512033" cy="4764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3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108942</xdr:colOff>
      <xdr:row>0</xdr:row>
      <xdr:rowOff>47924</xdr:rowOff>
    </xdr:from>
    <xdr:to>
      <xdr:col>0</xdr:col>
      <xdr:colOff>1618245</xdr:colOff>
      <xdr:row>3</xdr:row>
      <xdr:rowOff>29137</xdr:rowOff>
    </xdr:to>
    <xdr:pic>
      <xdr:nvPicPr>
        <xdr:cNvPr id="27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942" y="47924"/>
          <a:ext cx="1509304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355476</xdr:colOff>
      <xdr:row>31</xdr:row>
      <xdr:rowOff>86131</xdr:rowOff>
    </xdr:from>
    <xdr:to>
      <xdr:col>0</xdr:col>
      <xdr:colOff>1784859</xdr:colOff>
      <xdr:row>33</xdr:row>
      <xdr:rowOff>145706</xdr:rowOff>
    </xdr:to>
    <xdr:grpSp>
      <xdr:nvGrpSpPr>
        <xdr:cNvPr id="30" name="Group 30"/>
        <xdr:cNvGrpSpPr/>
      </xdr:nvGrpSpPr>
      <xdr:grpSpPr>
        <a:xfrm>
          <a:off x="355476" y="5172481"/>
          <a:ext cx="1429384" cy="383426"/>
          <a:chOff x="0" y="0"/>
          <a:chExt cx="1429382" cy="383424"/>
        </a:xfrm>
      </xdr:grpSpPr>
      <xdr:sp>
        <xdr:nvSpPr>
          <xdr:cNvPr id="28" name="Shape 28"/>
          <xdr:cNvSpPr/>
        </xdr:nvSpPr>
        <xdr:spPr>
          <a:xfrm>
            <a:off x="0" y="0"/>
            <a:ext cx="1391283" cy="333413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pPr lvl="0"/>
          </a:p>
        </xdr:txBody>
      </xdr:sp>
      <xdr:sp>
        <xdr:nvSpPr>
          <xdr:cNvPr id="29" name="Shape 29"/>
          <xdr:cNvSpPr/>
        </xdr:nvSpPr>
        <xdr:spPr>
          <a:xfrm>
            <a:off x="0" y="0"/>
            <a:ext cx="1429383" cy="383425"/>
          </a:xfrm>
          <a:prstGeom prst="rect">
            <a:avLst/>
          </a:prstGeom>
          <a:noFill/>
          <a:ln w="12700" cap="flat">
            <a:noFill/>
            <a:miter lim="400000"/>
          </a:ln>
          <a:effectLst/>
          <a:extLst>
            <a:ext uri="{C572A759-6A51-4108-AA02-DFA0A04FC94B}">
              <ma14:wrappingTextBoxFlag xmlns:ma14="http://schemas.microsoft.com/office/mac/drawingml/2011/main" val="1"/>
            </a:ext>
          </a:extLst>
        </xdr:spPr>
        <xdr:txBody>
          <a:bodyPr wrap="square" lIns="22859" tIns="22859" rIns="22859" bIns="22859" numCol="1" anchor="ctr">
            <a:noAutofit/>
          </a:bodyPr>
          <a:lstStyle/>
          <a:p>
            <a:pPr lvl="0" marL="0" marR="0" indent="0" algn="ctr" defTabSz="4572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r>
              <a:rPr b="1" baseline="0" cap="none" i="0" spc="0" strike="noStrike" sz="1000" u="none">
                <a:ln>
                  <a:noFill/>
                </a:ln>
                <a:solidFill>
                  <a:srgbClr val="333333"/>
                </a:solidFill>
                <a:uFillTx/>
                <a:latin typeface="Arial Narrow"/>
                <a:ea typeface="Arial Narrow"/>
                <a:cs typeface="Arial Narrow"/>
                <a:sym typeface="Arial Narrow"/>
              </a:rPr>
              <a:t>Acerto do modelo</a:t>
            </a:r>
          </a:p>
        </xdr:txBody>
      </xdr:sp>
    </xdr:grpSp>
    <xdr:clientData/>
  </xdr:twoCellAnchor>
</xdr:wsDr>
</file>

<file path=xl/drawings/drawing14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108458</xdr:colOff>
      <xdr:row>0</xdr:row>
      <xdr:rowOff>47812</xdr:rowOff>
    </xdr:from>
    <xdr:to>
      <xdr:col>0</xdr:col>
      <xdr:colOff>1626877</xdr:colOff>
      <xdr:row>3</xdr:row>
      <xdr:rowOff>38587</xdr:rowOff>
    </xdr:to>
    <xdr:pic>
      <xdr:nvPicPr>
        <xdr:cNvPr id="32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458" y="47812"/>
          <a:ext cx="1518420" cy="47655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5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108371</xdr:colOff>
      <xdr:row>0</xdr:row>
      <xdr:rowOff>47924</xdr:rowOff>
    </xdr:from>
    <xdr:to>
      <xdr:col>0</xdr:col>
      <xdr:colOff>1622387</xdr:colOff>
      <xdr:row>3</xdr:row>
      <xdr:rowOff>29137</xdr:rowOff>
    </xdr:to>
    <xdr:pic>
      <xdr:nvPicPr>
        <xdr:cNvPr id="34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371" y="47924"/>
          <a:ext cx="1514017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6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110170</xdr:colOff>
      <xdr:row>0</xdr:row>
      <xdr:rowOff>47924</xdr:rowOff>
    </xdr:from>
    <xdr:to>
      <xdr:col>0</xdr:col>
      <xdr:colOff>1626765</xdr:colOff>
      <xdr:row>3</xdr:row>
      <xdr:rowOff>28687</xdr:rowOff>
    </xdr:to>
    <xdr:pic>
      <xdr:nvPicPr>
        <xdr:cNvPr id="36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10170" y="47924"/>
          <a:ext cx="1516596" cy="47606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7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110256</xdr:colOff>
      <xdr:row>0</xdr:row>
      <xdr:rowOff>47812</xdr:rowOff>
    </xdr:from>
    <xdr:to>
      <xdr:col>0</xdr:col>
      <xdr:colOff>1622350</xdr:colOff>
      <xdr:row>3</xdr:row>
      <xdr:rowOff>38587</xdr:rowOff>
    </xdr:to>
    <xdr:pic>
      <xdr:nvPicPr>
        <xdr:cNvPr id="38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10256" y="47812"/>
          <a:ext cx="1512095" cy="47655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1.xml"/></Relationships>
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/Relationships>
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/Relationships>
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2.vml"/></Relationships>
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3.vml"/></Relationships>
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4.vml"/></Relationships>
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5.vml"/></Relationships>
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6.vml"/></Relationships>
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7.v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41"/>
  <sheetViews>
    <sheetView workbookViewId="0" showGridLines="0" defaultGridColor="1"/>
  </sheetViews>
  <sheetFormatPr defaultColWidth="6.625" defaultRowHeight="12.75" customHeight="1" outlineLevelRow="0" outlineLevelCol="0"/>
  <cols>
    <col min="1" max="1" width="2.75" style="1" customWidth="1"/>
    <col min="2" max="2" width="6.875" style="1" customWidth="1"/>
    <col min="3" max="3" width="66.375" style="1" customWidth="1"/>
    <col min="4" max="4" width="6.875" style="1" customWidth="1"/>
    <col min="5" max="5" width="6.875" style="1" customWidth="1"/>
    <col min="6" max="256" width="6.625" style="1" customWidth="1"/>
  </cols>
  <sheetData>
    <row r="1" ht="13.5" customHeight="1">
      <c r="A1" s="2"/>
      <c r="B1" s="3"/>
      <c r="C1" s="3"/>
      <c r="D1" s="4"/>
      <c r="E1" s="5"/>
    </row>
    <row r="2" ht="13.5" customHeight="1">
      <c r="A2" s="6"/>
      <c r="B2" s="7"/>
      <c r="C2" s="7"/>
      <c r="D2" s="8"/>
      <c r="E2" s="9"/>
    </row>
    <row r="3" ht="13.5" customHeight="1">
      <c r="A3" s="6"/>
      <c r="B3" s="7"/>
      <c r="C3" s="7"/>
      <c r="D3" s="8"/>
      <c r="E3" s="9"/>
    </row>
    <row r="4" ht="15.75" customHeight="1">
      <c r="A4" s="6"/>
      <c r="B4" t="s" s="10">
        <v>0</v>
      </c>
      <c r="C4" s="11"/>
      <c r="D4" s="8"/>
      <c r="E4" s="9"/>
    </row>
    <row r="5" ht="13.5" customHeight="1">
      <c r="A5" s="6"/>
      <c r="B5" s="12"/>
      <c r="C5" s="12"/>
      <c r="D5" s="8"/>
      <c r="E5" s="9"/>
    </row>
    <row r="6" ht="13.5" customHeight="1">
      <c r="A6" s="6"/>
      <c r="B6" s="7"/>
      <c r="C6" s="7"/>
      <c r="D6" s="8"/>
      <c r="E6" s="9"/>
    </row>
    <row r="7" ht="29.25" customHeight="1">
      <c r="A7" s="6"/>
      <c r="B7" t="s" s="13">
        <v>1</v>
      </c>
      <c r="C7" s="14"/>
      <c r="D7" s="8"/>
      <c r="E7" s="9"/>
    </row>
    <row r="8" ht="29.25" customHeight="1">
      <c r="A8" s="6"/>
      <c r="B8" s="14"/>
      <c r="C8" s="14"/>
      <c r="D8" s="8"/>
      <c r="E8" s="9"/>
    </row>
    <row r="9" ht="29.25" customHeight="1">
      <c r="A9" s="6"/>
      <c r="B9" s="14"/>
      <c r="C9" s="14"/>
      <c r="D9" s="8"/>
      <c r="E9" s="9"/>
    </row>
    <row r="10" ht="13.5" customHeight="1">
      <c r="A10" s="6"/>
      <c r="B10" s="7"/>
      <c r="C10" s="7"/>
      <c r="D10" s="8"/>
      <c r="E10" s="9"/>
    </row>
    <row r="11" ht="13.5" customHeight="1">
      <c r="A11" s="6"/>
      <c r="B11" t="s" s="15">
        <v>2</v>
      </c>
      <c r="C11" s="7"/>
      <c r="D11" s="8"/>
      <c r="E11" s="9"/>
    </row>
    <row r="12" ht="13.5" customHeight="1">
      <c r="A12" s="6"/>
      <c r="B12" s="16"/>
      <c r="C12" s="7"/>
      <c r="D12" s="8"/>
      <c r="E12" s="9"/>
    </row>
    <row r="13" ht="12.75" customHeight="1">
      <c r="A13" s="6"/>
      <c r="B13" t="s" s="17">
        <v>3</v>
      </c>
      <c r="C13" s="18"/>
      <c r="D13" s="8"/>
      <c r="E13" s="9"/>
    </row>
    <row r="14" ht="12.75" customHeight="1">
      <c r="A14" s="6"/>
      <c r="B14" t="s" s="17">
        <v>4</v>
      </c>
      <c r="C14" s="18"/>
      <c r="D14" s="8"/>
      <c r="E14" s="9"/>
    </row>
    <row r="15" ht="12.75" customHeight="1">
      <c r="A15" s="6"/>
      <c r="B15" t="s" s="19">
        <v>5</v>
      </c>
      <c r="C15" s="20"/>
      <c r="D15" s="8"/>
      <c r="E15" s="9"/>
    </row>
    <row r="16" ht="12.75" customHeight="1">
      <c r="A16" s="6"/>
      <c r="B16" t="s" s="19">
        <v>6</v>
      </c>
      <c r="C16" s="20"/>
      <c r="D16" s="8"/>
      <c r="E16" s="9"/>
    </row>
    <row r="17" ht="13.5" customHeight="1">
      <c r="A17" s="6"/>
      <c r="B17" s="21"/>
      <c r="C17" s="7"/>
      <c r="D17" s="8"/>
      <c r="E17" s="9"/>
    </row>
    <row r="18" ht="13.5" customHeight="1">
      <c r="A18" s="6"/>
      <c r="B18" s="21"/>
      <c r="C18" s="7"/>
      <c r="D18" s="8"/>
      <c r="E18" s="9"/>
    </row>
    <row r="19" ht="13.5" customHeight="1">
      <c r="A19" s="6"/>
      <c r="B19" t="s" s="15">
        <v>7</v>
      </c>
      <c r="C19" s="7"/>
      <c r="D19" s="8"/>
      <c r="E19" s="9"/>
    </row>
    <row r="20" ht="13.5" customHeight="1">
      <c r="A20" s="6"/>
      <c r="B20" s="22"/>
      <c r="C20" s="7"/>
      <c r="D20" s="8"/>
      <c r="E20" s="9"/>
    </row>
    <row r="21" ht="40.5" customHeight="1">
      <c r="A21" s="23"/>
      <c r="B21" s="24">
        <v>1</v>
      </c>
      <c r="C21" t="s" s="25">
        <v>8</v>
      </c>
      <c r="D21" s="8"/>
      <c r="E21" s="9"/>
    </row>
    <row r="22" ht="13.5" customHeight="1">
      <c r="A22" s="6"/>
      <c r="B22" s="26"/>
      <c r="C22" s="7"/>
      <c r="D22" s="8"/>
      <c r="E22" s="9"/>
    </row>
    <row r="23" ht="40.5" customHeight="1">
      <c r="A23" s="23"/>
      <c r="B23" s="24">
        <v>2</v>
      </c>
      <c r="C23" t="s" s="25">
        <v>9</v>
      </c>
      <c r="D23" s="8"/>
      <c r="E23" s="9"/>
    </row>
    <row r="24" ht="13.5" customHeight="1">
      <c r="A24" s="6"/>
      <c r="B24" s="26"/>
      <c r="C24" s="7"/>
      <c r="D24" s="8"/>
      <c r="E24" s="9"/>
    </row>
    <row r="25" ht="40.5" customHeight="1">
      <c r="A25" s="23"/>
      <c r="B25" s="24">
        <v>3</v>
      </c>
      <c r="C25" t="s" s="25">
        <v>10</v>
      </c>
      <c r="D25" s="8"/>
      <c r="E25" s="9"/>
    </row>
    <row r="26" ht="12.75" customHeight="1">
      <c r="A26" s="6"/>
      <c r="B26" s="27"/>
      <c r="C26" s="28"/>
      <c r="D26" s="8"/>
      <c r="E26" s="9"/>
    </row>
    <row r="27" ht="40.5" customHeight="1">
      <c r="A27" s="23"/>
      <c r="B27" s="24">
        <v>4</v>
      </c>
      <c r="C27" t="s" s="25">
        <v>11</v>
      </c>
      <c r="D27" s="8"/>
      <c r="E27" s="9"/>
    </row>
    <row r="28" ht="12.75" customHeight="1">
      <c r="A28" s="6"/>
      <c r="B28" s="27"/>
      <c r="C28" s="28"/>
      <c r="D28" s="8"/>
      <c r="E28" s="9"/>
    </row>
    <row r="29" ht="40.5" customHeight="1">
      <c r="A29" s="23"/>
      <c r="B29" s="24">
        <v>5</v>
      </c>
      <c r="C29" t="s" s="29">
        <v>12</v>
      </c>
      <c r="D29" s="8"/>
      <c r="E29" s="9"/>
    </row>
    <row r="30" ht="12.75" customHeight="1">
      <c r="A30" s="6"/>
      <c r="B30" s="27"/>
      <c r="C30" s="28"/>
      <c r="D30" s="8"/>
      <c r="E30" s="9"/>
    </row>
    <row r="31" ht="40.5" customHeight="1">
      <c r="A31" s="23"/>
      <c r="B31" s="24">
        <v>6</v>
      </c>
      <c r="C31" t="s" s="25">
        <v>13</v>
      </c>
      <c r="D31" s="8"/>
      <c r="E31" s="9"/>
    </row>
    <row r="32" ht="13.5" customHeight="1">
      <c r="A32" s="6"/>
      <c r="B32" s="30"/>
      <c r="C32" s="7"/>
      <c r="D32" s="8"/>
      <c r="E32" s="9"/>
    </row>
    <row r="33" ht="40.5" customHeight="1">
      <c r="A33" s="23"/>
      <c r="B33" s="24">
        <v>7</v>
      </c>
      <c r="C33" t="s" s="25">
        <v>14</v>
      </c>
      <c r="D33" s="8"/>
      <c r="E33" s="9"/>
    </row>
    <row r="34" ht="13.5" customHeight="1">
      <c r="A34" s="6"/>
      <c r="B34" s="31"/>
      <c r="C34" s="7"/>
      <c r="D34" s="8"/>
      <c r="E34" s="9"/>
    </row>
    <row r="35" ht="40.5" customHeight="1">
      <c r="A35" s="23"/>
      <c r="B35" s="24">
        <v>8</v>
      </c>
      <c r="C35" t="s" s="25">
        <v>15</v>
      </c>
      <c r="D35" s="8"/>
      <c r="E35" s="9"/>
    </row>
    <row r="36" ht="13.5" customHeight="1">
      <c r="A36" s="6"/>
      <c r="B36" s="31"/>
      <c r="C36" s="7"/>
      <c r="D36" s="8"/>
      <c r="E36" s="9"/>
    </row>
    <row r="37" ht="40.5" customHeight="1">
      <c r="A37" s="23"/>
      <c r="B37" s="24">
        <v>9</v>
      </c>
      <c r="C37" t="s" s="25">
        <v>16</v>
      </c>
      <c r="D37" s="8"/>
      <c r="E37" s="9"/>
    </row>
    <row r="38" ht="13.5" customHeight="1">
      <c r="A38" s="6"/>
      <c r="B38" s="31"/>
      <c r="C38" s="7"/>
      <c r="D38" s="8"/>
      <c r="E38" s="9"/>
    </row>
    <row r="39" ht="40.5" customHeight="1">
      <c r="A39" s="23"/>
      <c r="B39" s="24">
        <v>10</v>
      </c>
      <c r="C39" t="s" s="25">
        <v>17</v>
      </c>
      <c r="D39" s="8"/>
      <c r="E39" s="9"/>
    </row>
    <row r="40" ht="13.5" customHeight="1">
      <c r="A40" s="6"/>
      <c r="B40" s="31"/>
      <c r="C40" s="7"/>
      <c r="D40" s="8"/>
      <c r="E40" s="9"/>
    </row>
    <row r="41" ht="25.5" customHeight="1">
      <c r="A41" s="32"/>
      <c r="B41" t="s" s="24">
        <v>18</v>
      </c>
      <c r="C41" t="s" s="33">
        <v>19</v>
      </c>
      <c r="D41" s="34"/>
      <c r="E41" s="35"/>
    </row>
  </sheetData>
  <mergeCells count="6">
    <mergeCell ref="B15:C15"/>
    <mergeCell ref="B16:C16"/>
    <mergeCell ref="B4:C4"/>
    <mergeCell ref="B13:C13"/>
    <mergeCell ref="B14:C14"/>
    <mergeCell ref="B7:C9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58"/>
  <sheetViews>
    <sheetView workbookViewId="0" showGridLines="0" defaultGridColor="1"/>
  </sheetViews>
  <sheetFormatPr defaultColWidth="6.5" defaultRowHeight="12.75" customHeight="1" outlineLevelRow="0" outlineLevelCol="0"/>
  <cols>
    <col min="1" max="1" width="25.75" style="36" customWidth="1"/>
    <col min="2" max="2" width="11.75" style="36" customWidth="1"/>
    <col min="3" max="3" width="11.75" style="36" customWidth="1"/>
    <col min="4" max="4" width="12.375" style="36" customWidth="1"/>
    <col min="5" max="5" width="10.25" style="36" customWidth="1"/>
    <col min="6" max="6" width="6.5" style="36" customWidth="1"/>
    <col min="7" max="7" width="6.5" style="36" customWidth="1"/>
    <col min="8" max="8" width="6.5" style="36" customWidth="1"/>
    <col min="9" max="9" width="6.5" style="36" customWidth="1"/>
    <col min="10" max="10" width="6.5" style="36" customWidth="1"/>
    <col min="11" max="256" width="6.5" style="36" customWidth="1"/>
  </cols>
  <sheetData>
    <row r="1" ht="13.5" customHeight="1">
      <c r="A1" s="37"/>
      <c r="B1" s="38"/>
      <c r="C1" s="38"/>
      <c r="D1" t="s" s="39">
        <v>20</v>
      </c>
      <c r="E1" t="s" s="40">
        <v>21</v>
      </c>
      <c r="F1" s="4"/>
      <c r="G1" s="4"/>
      <c r="H1" s="4"/>
      <c r="I1" s="4"/>
      <c r="J1" s="5"/>
    </row>
    <row r="2" ht="12.75" customHeight="1">
      <c r="A2" s="41"/>
      <c r="B2" s="7"/>
      <c r="C2" s="7"/>
      <c r="D2" s="7"/>
      <c r="E2" s="7"/>
      <c r="F2" s="8"/>
      <c r="G2" s="8"/>
      <c r="H2" s="8"/>
      <c r="I2" s="8"/>
      <c r="J2" s="9"/>
    </row>
    <row r="3" ht="12.75" customHeight="1">
      <c r="A3" s="41"/>
      <c r="B3" s="7"/>
      <c r="C3" s="7"/>
      <c r="D3" s="7"/>
      <c r="E3" s="7"/>
      <c r="F3" s="8"/>
      <c r="G3" s="8"/>
      <c r="H3" s="8"/>
      <c r="I3" s="8"/>
      <c r="J3" s="9"/>
    </row>
    <row r="4" ht="15.75" customHeight="1">
      <c r="A4" t="s" s="42">
        <v>22</v>
      </c>
      <c r="B4" s="11"/>
      <c r="C4" s="11"/>
      <c r="D4" s="11"/>
      <c r="E4" s="11"/>
      <c r="F4" s="8"/>
      <c r="G4" s="8"/>
      <c r="H4" s="8"/>
      <c r="I4" s="8"/>
      <c r="J4" s="9"/>
    </row>
    <row r="5" ht="12.75" customHeight="1">
      <c r="A5" s="43"/>
      <c r="B5" s="12"/>
      <c r="C5" s="12"/>
      <c r="D5" s="12"/>
      <c r="E5" s="44"/>
      <c r="F5" s="8"/>
      <c r="G5" s="8"/>
      <c r="H5" s="8"/>
      <c r="I5" s="8"/>
      <c r="J5" s="9"/>
    </row>
    <row r="6" ht="15.75" customHeight="1">
      <c r="A6" t="s" s="45">
        <v>23</v>
      </c>
      <c r="B6" s="46"/>
      <c r="C6" s="46"/>
      <c r="D6" s="46"/>
      <c r="E6" s="46"/>
      <c r="F6" s="8"/>
      <c r="G6" s="8"/>
      <c r="H6" s="8"/>
      <c r="I6" s="8"/>
      <c r="J6" s="9"/>
    </row>
    <row r="7" ht="12.75" customHeight="1">
      <c r="A7" s="41"/>
      <c r="B7" s="7"/>
      <c r="C7" s="7"/>
      <c r="D7" s="7"/>
      <c r="E7" s="47"/>
      <c r="F7" s="8"/>
      <c r="G7" s="8"/>
      <c r="H7" s="8"/>
      <c r="I7" s="8"/>
      <c r="J7" s="9"/>
    </row>
    <row r="8" ht="12.75" customHeight="1">
      <c r="A8" s="48"/>
      <c r="B8" s="49"/>
      <c r="C8" s="50"/>
      <c r="D8" s="51"/>
      <c r="E8" s="52"/>
      <c r="F8" s="8"/>
      <c r="G8" s="8"/>
      <c r="H8" s="8"/>
      <c r="I8" s="8"/>
      <c r="J8" s="9"/>
    </row>
    <row r="9" ht="12.75" customHeight="1">
      <c r="A9" t="s" s="53">
        <v>24</v>
      </c>
      <c r="B9" t="s" s="54">
        <v>25</v>
      </c>
      <c r="C9" s="55"/>
      <c r="D9" s="51"/>
      <c r="E9" s="52"/>
      <c r="F9" s="8"/>
      <c r="G9" s="8"/>
      <c r="H9" s="8"/>
      <c r="I9" s="8"/>
      <c r="J9" s="9"/>
    </row>
    <row r="10" ht="12.75" customHeight="1">
      <c r="A10" s="56"/>
      <c r="B10" s="57"/>
      <c r="C10" s="50"/>
      <c r="D10" s="51"/>
      <c r="E10" s="52"/>
      <c r="F10" s="8"/>
      <c r="G10" s="8"/>
      <c r="H10" s="8"/>
      <c r="I10" s="8"/>
      <c r="J10" s="9"/>
    </row>
    <row r="11" ht="12.75" customHeight="1">
      <c r="A11" t="s" s="53">
        <v>26</v>
      </c>
      <c r="B11" s="54">
        <v>2015</v>
      </c>
      <c r="C11" s="55"/>
      <c r="D11" s="51"/>
      <c r="E11" s="52"/>
      <c r="F11" s="8"/>
      <c r="G11" s="8"/>
      <c r="H11" s="8"/>
      <c r="I11" s="8"/>
      <c r="J11" s="9"/>
    </row>
    <row r="12" ht="12.75" customHeight="1">
      <c r="A12" s="56"/>
      <c r="B12" s="57"/>
      <c r="C12" s="58"/>
      <c r="D12" s="51"/>
      <c r="E12" s="52"/>
      <c r="F12" s="8"/>
      <c r="G12" s="8"/>
      <c r="H12" s="8"/>
      <c r="I12" s="8"/>
      <c r="J12" s="9"/>
    </row>
    <row r="13" ht="12.75" customHeight="1">
      <c r="A13" t="s" s="53">
        <v>27</v>
      </c>
      <c r="B13" s="54">
        <v>30</v>
      </c>
      <c r="C13" s="59">
        <f>B13/30</f>
        <v>1</v>
      </c>
      <c r="D13" s="60"/>
      <c r="E13" s="52"/>
      <c r="F13" s="8"/>
      <c r="G13" s="8"/>
      <c r="H13" s="8"/>
      <c r="I13" s="8"/>
      <c r="J13" s="9"/>
    </row>
    <row r="14" ht="12.75" customHeight="1">
      <c r="A14" t="s" s="53">
        <v>28</v>
      </c>
      <c r="B14" s="61">
        <v>30</v>
      </c>
      <c r="C14" s="59">
        <f>B14/30</f>
        <v>1</v>
      </c>
      <c r="D14" s="60"/>
      <c r="E14" s="52"/>
      <c r="F14" s="8"/>
      <c r="G14" s="8"/>
      <c r="H14" s="8"/>
      <c r="I14" s="8"/>
      <c r="J14" s="9"/>
    </row>
    <row r="15" ht="12.75" customHeight="1">
      <c r="A15" t="s" s="53">
        <v>29</v>
      </c>
      <c r="B15" s="61">
        <v>0</v>
      </c>
      <c r="C15" s="59">
        <f>B15/30</f>
        <v>0</v>
      </c>
      <c r="D15" s="60"/>
      <c r="E15" s="52"/>
      <c r="F15" s="8"/>
      <c r="G15" s="8"/>
      <c r="H15" s="8"/>
      <c r="I15" s="8"/>
      <c r="J15" s="9"/>
    </row>
    <row r="16" ht="12.75" customHeight="1">
      <c r="A16" s="56"/>
      <c r="B16" s="57"/>
      <c r="C16" s="62"/>
      <c r="D16" s="51"/>
      <c r="E16" s="52"/>
      <c r="F16" s="8"/>
      <c r="G16" s="8"/>
      <c r="H16" s="8"/>
      <c r="I16" s="8"/>
      <c r="J16" s="9"/>
    </row>
    <row r="17" ht="12.75" customHeight="1">
      <c r="A17" t="s" s="53">
        <v>30</v>
      </c>
      <c r="B17" s="63">
        <v>0.23</v>
      </c>
      <c r="C17" s="64"/>
      <c r="D17" s="51"/>
      <c r="E17" s="52"/>
      <c r="F17" s="8"/>
      <c r="G17" s="8"/>
      <c r="H17" s="8"/>
      <c r="I17" s="8"/>
      <c r="J17" s="9"/>
    </row>
    <row r="18" ht="12.75" customHeight="1">
      <c r="A18" t="s" s="53">
        <v>31</v>
      </c>
      <c r="B18" s="63">
        <v>0.23</v>
      </c>
      <c r="C18" s="64"/>
      <c r="D18" s="51"/>
      <c r="E18" s="52"/>
      <c r="F18" s="8"/>
      <c r="G18" s="8"/>
      <c r="H18" s="8"/>
      <c r="I18" s="8"/>
      <c r="J18" s="9"/>
    </row>
    <row r="19" ht="12.75" customHeight="1">
      <c r="A19" t="s" s="53">
        <v>32</v>
      </c>
      <c r="B19" s="63">
        <v>0.23</v>
      </c>
      <c r="C19" s="65"/>
      <c r="D19" s="51"/>
      <c r="E19" s="52"/>
      <c r="F19" s="8"/>
      <c r="G19" s="8"/>
      <c r="H19" s="8"/>
      <c r="I19" s="8"/>
      <c r="J19" s="9"/>
    </row>
    <row r="20" ht="12.75" customHeight="1">
      <c r="A20" t="s" s="53">
        <v>33</v>
      </c>
      <c r="B20" s="63">
        <v>0.23</v>
      </c>
      <c r="C20" s="55"/>
      <c r="D20" s="51"/>
      <c r="E20" s="52"/>
      <c r="F20" s="8"/>
      <c r="G20" s="8"/>
      <c r="H20" s="8"/>
      <c r="I20" s="8"/>
      <c r="J20" s="9"/>
    </row>
    <row r="21" ht="12.75" customHeight="1">
      <c r="A21" t="s" s="53">
        <v>34</v>
      </c>
      <c r="B21" s="63">
        <v>0.23</v>
      </c>
      <c r="C21" s="55"/>
      <c r="D21" s="51"/>
      <c r="E21" s="52"/>
      <c r="F21" s="8"/>
      <c r="G21" s="8"/>
      <c r="H21" s="8"/>
      <c r="I21" s="8"/>
      <c r="J21" s="9"/>
    </row>
    <row r="22" ht="12.75" customHeight="1">
      <c r="A22" s="56"/>
      <c r="B22" s="57"/>
      <c r="C22" s="50"/>
      <c r="D22" s="51"/>
      <c r="E22" s="52"/>
      <c r="F22" s="8"/>
      <c r="G22" s="8"/>
      <c r="H22" s="8"/>
      <c r="I22" s="8"/>
      <c r="J22" s="9"/>
    </row>
    <row r="23" ht="12.75" customHeight="1">
      <c r="A23" t="s" s="53">
        <v>35</v>
      </c>
      <c r="B23" s="66">
        <v>0.2375</v>
      </c>
      <c r="C23" s="55"/>
      <c r="D23" s="51"/>
      <c r="E23" s="52"/>
      <c r="F23" s="8"/>
      <c r="G23" s="8"/>
      <c r="H23" s="8"/>
      <c r="I23" s="8"/>
      <c r="J23" s="9"/>
    </row>
    <row r="24" ht="12.75" customHeight="1">
      <c r="A24" t="s" s="53">
        <v>36</v>
      </c>
      <c r="B24" s="66">
        <v>0.2375</v>
      </c>
      <c r="C24" s="55"/>
      <c r="D24" s="51"/>
      <c r="E24" s="52"/>
      <c r="F24" s="8"/>
      <c r="G24" s="8"/>
      <c r="H24" s="8"/>
      <c r="I24" s="8"/>
      <c r="J24" s="9"/>
    </row>
    <row r="25" ht="12.75" customHeight="1">
      <c r="A25" t="s" s="53">
        <v>37</v>
      </c>
      <c r="B25" s="66">
        <v>0.11</v>
      </c>
      <c r="C25" s="55"/>
      <c r="D25" s="51"/>
      <c r="E25" s="52"/>
      <c r="F25" s="8"/>
      <c r="G25" s="8"/>
      <c r="H25" s="8"/>
      <c r="I25" s="8"/>
      <c r="J25" s="9"/>
    </row>
    <row r="26" ht="12.75" customHeight="1">
      <c r="A26" t="s" s="53">
        <v>38</v>
      </c>
      <c r="B26" s="66">
        <v>0.11</v>
      </c>
      <c r="C26" s="55"/>
      <c r="D26" s="51"/>
      <c r="E26" s="52"/>
      <c r="F26" s="8"/>
      <c r="G26" s="8"/>
      <c r="H26" s="8"/>
      <c r="I26" s="8"/>
      <c r="J26" s="9"/>
    </row>
    <row r="27" ht="12.75" customHeight="1">
      <c r="A27" t="s" s="53">
        <v>39</v>
      </c>
      <c r="B27" s="66">
        <v>0.145</v>
      </c>
      <c r="C27" s="55"/>
      <c r="D27" s="51"/>
      <c r="E27" s="52"/>
      <c r="F27" s="8"/>
      <c r="G27" s="8"/>
      <c r="H27" s="8"/>
      <c r="I27" s="8"/>
      <c r="J27" s="9"/>
    </row>
    <row r="28" ht="13.5" customHeight="1">
      <c r="A28" t="s" s="53">
        <v>40</v>
      </c>
      <c r="B28" s="66">
        <v>0.17</v>
      </c>
      <c r="C28" s="55"/>
      <c r="D28" s="51"/>
      <c r="E28" s="52"/>
      <c r="F28" s="8"/>
      <c r="G28" s="8"/>
      <c r="H28" s="8"/>
      <c r="I28" s="8"/>
      <c r="J28" s="9"/>
    </row>
    <row r="29" ht="12.75" customHeight="1">
      <c r="A29" s="56"/>
      <c r="B29" s="57"/>
      <c r="C29" s="50"/>
      <c r="D29" s="51"/>
      <c r="E29" s="52"/>
      <c r="F29" s="8"/>
      <c r="G29" s="8"/>
      <c r="H29" s="8"/>
      <c r="I29" s="8"/>
      <c r="J29" s="9"/>
    </row>
    <row r="30" ht="12.75" customHeight="1">
      <c r="A30" t="s" s="53">
        <v>41</v>
      </c>
      <c r="B30" s="66">
        <v>0.007</v>
      </c>
      <c r="C30" s="55"/>
      <c r="D30" s="51"/>
      <c r="E30" s="52"/>
      <c r="F30" s="8"/>
      <c r="G30" s="8"/>
      <c r="H30" s="8"/>
      <c r="I30" s="8"/>
      <c r="J30" s="9"/>
    </row>
    <row r="31" ht="12.75" customHeight="1">
      <c r="A31" t="s" s="53">
        <v>42</v>
      </c>
      <c r="B31" s="66">
        <f>1.6%+4%</f>
        <v>0.056</v>
      </c>
      <c r="C31" s="55"/>
      <c r="D31" s="51"/>
      <c r="E31" s="52"/>
      <c r="F31" s="8"/>
      <c r="G31" s="8"/>
      <c r="H31" s="8"/>
      <c r="I31" s="8"/>
      <c r="J31" s="9"/>
    </row>
    <row r="32" ht="12.75" customHeight="1">
      <c r="A32" t="s" s="53">
        <v>43</v>
      </c>
      <c r="B32" s="66">
        <v>0</v>
      </c>
      <c r="C32" s="64"/>
      <c r="D32" s="51"/>
      <c r="E32" s="52"/>
      <c r="F32" s="8"/>
      <c r="G32" s="8"/>
      <c r="H32" s="8"/>
      <c r="I32" s="8"/>
      <c r="J32" s="9"/>
    </row>
    <row r="33" ht="12.75" customHeight="1">
      <c r="A33" s="56"/>
      <c r="B33" s="31"/>
      <c r="C33" s="58"/>
      <c r="D33" s="67"/>
      <c r="E33" s="68"/>
      <c r="F33" s="8"/>
      <c r="G33" s="8"/>
      <c r="H33" s="8"/>
      <c r="I33" s="8"/>
      <c r="J33" s="9"/>
    </row>
    <row r="34" ht="12.75" customHeight="1">
      <c r="A34" t="s" s="53">
        <v>44</v>
      </c>
      <c r="B34" s="66">
        <v>0.016</v>
      </c>
      <c r="C34" t="s" s="69">
        <v>45</v>
      </c>
      <c r="D34" s="70"/>
      <c r="E34" s="71"/>
      <c r="F34" s="72"/>
      <c r="G34" s="8"/>
      <c r="H34" s="8"/>
      <c r="I34" s="8"/>
      <c r="J34" s="9"/>
    </row>
    <row r="35" ht="12.75" customHeight="1">
      <c r="A35" t="s" s="53">
        <v>46</v>
      </c>
      <c r="B35" s="66">
        <v>0.1</v>
      </c>
      <c r="C35" t="s" s="73">
        <v>47</v>
      </c>
      <c r="D35" s="74"/>
      <c r="E35" s="75"/>
      <c r="F35" s="72"/>
      <c r="G35" s="8"/>
      <c r="H35" s="8"/>
      <c r="I35" s="8"/>
      <c r="J35" s="9"/>
    </row>
    <row r="36" ht="12.75" customHeight="1">
      <c r="A36" t="s" s="53">
        <v>48</v>
      </c>
      <c r="B36" s="66">
        <v>1</v>
      </c>
      <c r="C36" t="s" s="73">
        <v>49</v>
      </c>
      <c r="D36" s="74"/>
      <c r="E36" s="75"/>
      <c r="F36" s="72"/>
      <c r="G36" s="8"/>
      <c r="H36" s="8"/>
      <c r="I36" s="8"/>
      <c r="J36" s="9"/>
    </row>
    <row r="37" ht="12.75" customHeight="1">
      <c r="A37" t="s" s="53">
        <v>50</v>
      </c>
      <c r="B37" s="76">
        <v>0.05</v>
      </c>
      <c r="C37" t="s" s="77">
        <v>51</v>
      </c>
      <c r="D37" s="78"/>
      <c r="E37" s="79"/>
      <c r="F37" s="72"/>
      <c r="G37" s="8"/>
      <c r="H37" s="8"/>
      <c r="I37" s="8"/>
      <c r="J37" s="9"/>
    </row>
    <row r="38" ht="12.75" customHeight="1">
      <c r="A38" t="s" s="80">
        <v>52</v>
      </c>
      <c r="B38" s="81"/>
      <c r="C38" s="62"/>
      <c r="D38" s="82"/>
      <c r="E38" s="83"/>
      <c r="F38" s="8"/>
      <c r="G38" s="8"/>
      <c r="H38" s="8"/>
      <c r="I38" s="8"/>
      <c r="J38" s="9"/>
    </row>
    <row r="39" ht="12.75" customHeight="1">
      <c r="A39" s="41"/>
      <c r="B39" s="7"/>
      <c r="C39" s="50"/>
      <c r="D39" s="51"/>
      <c r="E39" s="52"/>
      <c r="F39" s="8"/>
      <c r="G39" s="8"/>
      <c r="H39" s="8"/>
      <c r="I39" s="8"/>
      <c r="J39" s="9"/>
    </row>
    <row r="40" ht="12.75" customHeight="1">
      <c r="A40" t="s" s="84">
        <v>53</v>
      </c>
      <c r="B40" s="7"/>
      <c r="C40" s="50"/>
      <c r="D40" s="51"/>
      <c r="E40" s="52"/>
      <c r="F40" s="8"/>
      <c r="G40" s="8"/>
      <c r="H40" s="8"/>
      <c r="I40" s="8"/>
      <c r="J40" s="9"/>
    </row>
    <row r="41" ht="12.75" customHeight="1">
      <c r="A41" s="48"/>
      <c r="B41" s="7"/>
      <c r="C41" s="50"/>
      <c r="D41" s="51"/>
      <c r="E41" s="52"/>
      <c r="F41" s="8"/>
      <c r="G41" s="8"/>
      <c r="H41" s="8"/>
      <c r="I41" s="8"/>
      <c r="J41" s="9"/>
    </row>
    <row r="42" ht="12.75" customHeight="1">
      <c r="A42" t="s" s="85">
        <v>54</v>
      </c>
      <c r="B42" s="7"/>
      <c r="C42" s="50"/>
      <c r="D42" s="51"/>
      <c r="E42" s="52"/>
      <c r="F42" s="8"/>
      <c r="G42" s="8"/>
      <c r="H42" s="8"/>
      <c r="I42" s="8"/>
      <c r="J42" s="9"/>
    </row>
    <row r="43" ht="12.75" customHeight="1">
      <c r="A43" t="s" s="86">
        <v>55</v>
      </c>
      <c r="B43" s="87"/>
      <c r="C43" s="87"/>
      <c r="D43" s="87"/>
      <c r="E43" s="87"/>
      <c r="F43" s="8"/>
      <c r="G43" s="8"/>
      <c r="H43" s="8"/>
      <c r="I43" s="8"/>
      <c r="J43" s="9"/>
    </row>
    <row r="44" ht="12.75" customHeight="1">
      <c r="A44" s="88"/>
      <c r="B44" s="87"/>
      <c r="C44" s="87"/>
      <c r="D44" s="87"/>
      <c r="E44" s="87"/>
      <c r="F44" s="8"/>
      <c r="G44" s="8"/>
      <c r="H44" s="8"/>
      <c r="I44" s="8"/>
      <c r="J44" s="9"/>
    </row>
    <row r="45" ht="12.75" customHeight="1">
      <c r="A45" s="88"/>
      <c r="B45" s="87"/>
      <c r="C45" s="87"/>
      <c r="D45" s="87"/>
      <c r="E45" s="87"/>
      <c r="F45" s="8"/>
      <c r="G45" s="8"/>
      <c r="H45" s="8"/>
      <c r="I45" s="8"/>
      <c r="J45" s="9"/>
    </row>
    <row r="46" ht="12.75" customHeight="1">
      <c r="A46" s="89"/>
      <c r="B46" s="87"/>
      <c r="C46" s="87"/>
      <c r="D46" s="87"/>
      <c r="E46" s="87"/>
      <c r="F46" s="8"/>
      <c r="G46" s="8"/>
      <c r="H46" s="8"/>
      <c r="I46" s="8"/>
      <c r="J46" s="9"/>
    </row>
    <row r="47" ht="12.75" customHeight="1">
      <c r="A47" t="s" s="85">
        <v>56</v>
      </c>
      <c r="B47" s="7"/>
      <c r="C47" s="50"/>
      <c r="D47" s="51"/>
      <c r="E47" s="52"/>
      <c r="F47" s="8"/>
      <c r="G47" s="8"/>
      <c r="H47" s="8"/>
      <c r="I47" s="8"/>
      <c r="J47" s="9"/>
    </row>
    <row r="48" ht="12.75" customHeight="1">
      <c r="A48" t="s" s="86">
        <v>57</v>
      </c>
      <c r="B48" s="87"/>
      <c r="C48" s="87"/>
      <c r="D48" s="87"/>
      <c r="E48" s="87"/>
      <c r="F48" s="8"/>
      <c r="G48" s="8"/>
      <c r="H48" s="8"/>
      <c r="I48" s="8"/>
      <c r="J48" s="9"/>
    </row>
    <row r="49" ht="12.75" customHeight="1">
      <c r="A49" s="88"/>
      <c r="B49" s="87"/>
      <c r="C49" s="87"/>
      <c r="D49" s="87"/>
      <c r="E49" s="87"/>
      <c r="F49" s="8"/>
      <c r="G49" s="8"/>
      <c r="H49" s="8"/>
      <c r="I49" s="8"/>
      <c r="J49" s="9"/>
    </row>
    <row r="50" ht="12.75" customHeight="1">
      <c r="A50" s="88"/>
      <c r="B50" s="87"/>
      <c r="C50" s="87"/>
      <c r="D50" s="87"/>
      <c r="E50" s="87"/>
      <c r="F50" s="8"/>
      <c r="G50" s="8"/>
      <c r="H50" s="8"/>
      <c r="I50" s="8"/>
      <c r="J50" s="9"/>
    </row>
    <row r="51" ht="12.75" customHeight="1">
      <c r="A51" s="88"/>
      <c r="B51" s="87"/>
      <c r="C51" s="87"/>
      <c r="D51" s="87"/>
      <c r="E51" s="87"/>
      <c r="F51" s="90"/>
      <c r="G51" s="90"/>
      <c r="H51" s="90"/>
      <c r="I51" s="90"/>
      <c r="J51" s="91"/>
    </row>
    <row r="52" ht="12.75" customHeight="1">
      <c r="A52" s="92"/>
      <c r="B52" s="90"/>
      <c r="C52" s="90"/>
      <c r="D52" s="93"/>
      <c r="E52" s="94"/>
      <c r="F52" s="90"/>
      <c r="G52" s="90"/>
      <c r="H52" s="90"/>
      <c r="I52" s="90"/>
      <c r="J52" s="91"/>
    </row>
    <row r="53" ht="12.75" customHeight="1">
      <c r="A53" s="92"/>
      <c r="B53" s="90"/>
      <c r="C53" s="90"/>
      <c r="D53" s="95"/>
      <c r="E53" s="94"/>
      <c r="F53" s="90"/>
      <c r="G53" s="90"/>
      <c r="H53" s="90"/>
      <c r="I53" s="90"/>
      <c r="J53" s="91"/>
    </row>
    <row r="54" ht="12.75" customHeight="1">
      <c r="A54" s="92"/>
      <c r="B54" s="90"/>
      <c r="C54" s="90"/>
      <c r="D54" s="96"/>
      <c r="E54" s="90"/>
      <c r="F54" s="97"/>
      <c r="G54" s="90"/>
      <c r="H54" s="90"/>
      <c r="I54" s="90"/>
      <c r="J54" s="91"/>
    </row>
    <row r="55" ht="12.75" customHeight="1">
      <c r="A55" s="92"/>
      <c r="B55" s="90"/>
      <c r="C55" s="90"/>
      <c r="D55" s="90"/>
      <c r="E55" s="90"/>
      <c r="F55" s="90"/>
      <c r="G55" s="90"/>
      <c r="H55" s="90"/>
      <c r="I55" s="90"/>
      <c r="J55" s="91"/>
    </row>
    <row r="56" ht="12.75" customHeight="1">
      <c r="A56" s="92"/>
      <c r="B56" s="90"/>
      <c r="C56" s="90"/>
      <c r="D56" s="90"/>
      <c r="E56" s="90"/>
      <c r="F56" s="90"/>
      <c r="G56" s="90"/>
      <c r="H56" s="90"/>
      <c r="I56" s="90"/>
      <c r="J56" s="91"/>
    </row>
    <row r="57" ht="12.75" customHeight="1">
      <c r="A57" s="92"/>
      <c r="B57" s="90"/>
      <c r="C57" s="90"/>
      <c r="D57" s="90"/>
      <c r="E57" s="90"/>
      <c r="F57" s="90"/>
      <c r="G57" s="90"/>
      <c r="H57" s="90"/>
      <c r="I57" s="90"/>
      <c r="J57" s="91"/>
    </row>
    <row r="58" ht="12.75" customHeight="1">
      <c r="A58" s="98"/>
      <c r="B58" s="99"/>
      <c r="C58" s="99"/>
      <c r="D58" s="99"/>
      <c r="E58" s="99"/>
      <c r="F58" s="99"/>
      <c r="G58" s="99"/>
      <c r="H58" s="99"/>
      <c r="I58" s="99"/>
      <c r="J58" s="100"/>
    </row>
  </sheetData>
  <mergeCells count="7">
    <mergeCell ref="A43:E46"/>
    <mergeCell ref="A48:E51"/>
    <mergeCell ref="A4:E4"/>
    <mergeCell ref="C34:E34"/>
    <mergeCell ref="C35:E35"/>
    <mergeCell ref="C37:E37"/>
    <mergeCell ref="A6:E6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&amp;N</oddFooter>
  </headerFooter>
  <drawing r:id="rId1"/>
  <legacyDrawing r:id="rId2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97"/>
  <sheetViews>
    <sheetView workbookViewId="0" showGridLines="0" defaultGridColor="1"/>
  </sheetViews>
  <sheetFormatPr defaultColWidth="6.5" defaultRowHeight="13.5" customHeight="1" outlineLevelRow="0" outlineLevelCol="0"/>
  <cols>
    <col min="1" max="1" width="28.125" style="101" customWidth="1"/>
    <col min="2" max="2" width="5.875" style="101" customWidth="1"/>
    <col min="3" max="3" width="8.625" style="101" customWidth="1"/>
    <col min="4" max="4" width="8.625" style="101" customWidth="1"/>
    <col min="5" max="5" width="8.625" style="101" customWidth="1"/>
    <col min="6" max="6" width="8.625" style="101" customWidth="1"/>
    <col min="7" max="7" width="8.625" style="101" customWidth="1"/>
    <col min="8" max="8" width="8.625" style="101" customWidth="1"/>
    <col min="9" max="9" width="8.625" style="101" customWidth="1"/>
    <col min="10" max="10" width="8.625" style="101" customWidth="1"/>
    <col min="11" max="256" width="6.5" style="101" customWidth="1"/>
  </cols>
  <sheetData>
    <row r="1" ht="14.25" customHeight="1">
      <c r="A1" s="102"/>
      <c r="B1" s="103"/>
      <c r="C1" s="104"/>
      <c r="D1" s="104"/>
      <c r="E1" s="104"/>
      <c r="F1" s="104"/>
      <c r="G1" t="s" s="105">
        <v>20</v>
      </c>
      <c r="H1" t="s" s="40">
        <f>'Pressupostos'!E1</f>
        <v>58</v>
      </c>
      <c r="I1" s="4"/>
      <c r="J1" s="5"/>
    </row>
    <row r="2" ht="13.5" customHeight="1">
      <c r="A2" t="s" s="106">
        <v>59</v>
      </c>
      <c r="B2" s="107"/>
      <c r="C2" s="107"/>
      <c r="D2" s="107"/>
      <c r="E2" s="107"/>
      <c r="F2" s="107"/>
      <c r="G2" s="107"/>
      <c r="H2" t="s" s="108">
        <f>'Pressupostos'!B9</f>
        <v>25</v>
      </c>
      <c r="I2" s="8"/>
      <c r="J2" s="9"/>
    </row>
    <row r="3" ht="13.5" customHeight="1">
      <c r="A3" s="109"/>
      <c r="B3" s="107"/>
      <c r="C3" s="107"/>
      <c r="D3" s="107"/>
      <c r="E3" s="107"/>
      <c r="F3" s="107"/>
      <c r="G3" s="107"/>
      <c r="H3" s="110"/>
      <c r="I3" s="8"/>
      <c r="J3" s="9"/>
    </row>
    <row r="4" ht="16.5" customHeight="1">
      <c r="A4" t="s" s="42">
        <v>60</v>
      </c>
      <c r="B4" s="11"/>
      <c r="C4" s="11"/>
      <c r="D4" s="11"/>
      <c r="E4" s="11"/>
      <c r="F4" s="11"/>
      <c r="G4" s="11"/>
      <c r="H4" s="11"/>
      <c r="I4" s="8"/>
      <c r="J4" s="9"/>
    </row>
    <row r="5" ht="13.5" customHeight="1">
      <c r="A5" s="111"/>
      <c r="B5" s="112"/>
      <c r="C5" s="112"/>
      <c r="D5" s="112"/>
      <c r="E5" s="112"/>
      <c r="F5" s="112"/>
      <c r="G5" s="112"/>
      <c r="H5" s="112"/>
      <c r="I5" s="8"/>
      <c r="J5" s="9"/>
    </row>
    <row r="6" ht="13.5" customHeight="1">
      <c r="A6" s="113"/>
      <c r="B6" s="114"/>
      <c r="C6" s="114"/>
      <c r="D6" s="114"/>
      <c r="E6" s="114"/>
      <c r="F6" s="114"/>
      <c r="G6" s="114"/>
      <c r="H6" s="114"/>
      <c r="I6" s="8"/>
      <c r="J6" s="9"/>
    </row>
    <row r="7" ht="13.5" customHeight="1">
      <c r="A7" s="115"/>
      <c r="B7" s="116"/>
      <c r="C7" s="116"/>
      <c r="D7" s="116"/>
      <c r="E7" s="116"/>
      <c r="F7" s="116"/>
      <c r="G7" s="116"/>
      <c r="H7" s="116"/>
      <c r="I7" s="8"/>
      <c r="J7" s="9"/>
    </row>
    <row r="8" ht="13.5" customHeight="1">
      <c r="A8" s="117"/>
      <c r="B8" s="118"/>
      <c r="C8" s="119">
        <f>'Pressupostos'!B11</f>
        <v>2015</v>
      </c>
      <c r="D8" s="119">
        <f>C8+1</f>
        <v>2016</v>
      </c>
      <c r="E8" s="119">
        <f>D8+1</f>
        <v>2017</v>
      </c>
      <c r="F8" s="119">
        <f>E8+1</f>
        <v>2018</v>
      </c>
      <c r="G8" s="119">
        <f>F8+1</f>
        <v>2019</v>
      </c>
      <c r="H8" s="119">
        <f>G8+1</f>
        <v>2020</v>
      </c>
      <c r="I8" s="72"/>
      <c r="J8" s="9"/>
    </row>
    <row r="9" ht="13.5" customHeight="1">
      <c r="A9" t="s" s="120">
        <v>61</v>
      </c>
      <c r="B9" s="121"/>
      <c r="C9" s="122"/>
      <c r="D9" s="123">
        <v>0.03</v>
      </c>
      <c r="E9" s="123">
        <v>0.03</v>
      </c>
      <c r="F9" s="123">
        <v>0.03</v>
      </c>
      <c r="G9" s="123">
        <v>0.03</v>
      </c>
      <c r="H9" s="123">
        <v>0.03</v>
      </c>
      <c r="I9" s="72"/>
      <c r="J9" s="9"/>
    </row>
    <row r="10" ht="13.5" customHeight="1">
      <c r="A10" s="124"/>
      <c r="B10" s="81"/>
      <c r="C10" s="81"/>
      <c r="D10" s="81"/>
      <c r="E10" s="81"/>
      <c r="F10" s="81"/>
      <c r="G10" s="81"/>
      <c r="H10" s="81"/>
      <c r="I10" s="8"/>
      <c r="J10" s="9"/>
    </row>
    <row r="11" ht="13.5" customHeight="1">
      <c r="A11" s="48"/>
      <c r="B11" s="49"/>
      <c r="C11" s="49"/>
      <c r="D11" s="49"/>
      <c r="E11" s="49"/>
      <c r="F11" s="49"/>
      <c r="G11" s="49"/>
      <c r="H11" s="49"/>
      <c r="I11" s="8"/>
      <c r="J11" s="9"/>
    </row>
    <row r="12" ht="13.5" customHeight="1" hidden="1">
      <c r="A12" t="s" s="125">
        <v>62</v>
      </c>
      <c r="B12" s="121"/>
      <c r="C12" s="119">
        <f>C8</f>
        <v>2015</v>
      </c>
      <c r="D12" s="119">
        <f>D8</f>
        <v>2016</v>
      </c>
      <c r="E12" s="119">
        <f>E8</f>
        <v>2017</v>
      </c>
      <c r="F12" s="119">
        <f>F8</f>
        <v>2018</v>
      </c>
      <c r="G12" s="119">
        <f>G8</f>
        <v>2019</v>
      </c>
      <c r="H12" s="119">
        <f>H8</f>
        <v>2020</v>
      </c>
      <c r="I12" s="72"/>
      <c r="J12" s="9"/>
    </row>
    <row r="13" ht="13.5" customHeight="1" hidden="1">
      <c r="A13" t="s" s="126">
        <v>63</v>
      </c>
      <c r="B13" s="127"/>
      <c r="C13" s="128">
        <f>C16*C14</f>
        <v>0</v>
      </c>
      <c r="D13" s="128">
        <f>D16*D14</f>
        <v>0</v>
      </c>
      <c r="E13" s="128">
        <f>E16*E14</f>
        <v>0</v>
      </c>
      <c r="F13" s="128">
        <f>F16*F14</f>
        <v>0</v>
      </c>
      <c r="G13" s="128">
        <f>G16*G14</f>
        <v>0</v>
      </c>
      <c r="H13" s="128">
        <f>H16*H14</f>
        <v>0</v>
      </c>
      <c r="I13" s="72"/>
      <c r="J13" s="9"/>
    </row>
    <row r="14" ht="13.5" customHeight="1" hidden="1">
      <c r="A14" t="s" s="129">
        <v>64</v>
      </c>
      <c r="B14" s="130"/>
      <c r="C14" s="131"/>
      <c r="D14" s="132">
        <f>C14*(1+D15)</f>
        <v>0</v>
      </c>
      <c r="E14" s="132">
        <f>D14*(1+E15)</f>
        <v>0</v>
      </c>
      <c r="F14" s="132">
        <f>E14*(1+F15)</f>
        <v>0</v>
      </c>
      <c r="G14" s="132">
        <f>F14*(1+G15)</f>
        <v>0</v>
      </c>
      <c r="H14" s="132">
        <f>G14*(1+H15)</f>
        <v>0</v>
      </c>
      <c r="I14" s="72"/>
      <c r="J14" s="9"/>
    </row>
    <row r="15" ht="13.5" customHeight="1" hidden="1">
      <c r="A15" t="s" s="129">
        <v>65</v>
      </c>
      <c r="B15" s="130"/>
      <c r="C15" s="133"/>
      <c r="D15" s="134"/>
      <c r="E15" s="134"/>
      <c r="F15" s="134"/>
      <c r="G15" s="134"/>
      <c r="H15" s="134"/>
      <c r="I15" s="72"/>
      <c r="J15" s="9"/>
    </row>
    <row r="16" ht="13.5" customHeight="1" hidden="1">
      <c r="A16" t="s" s="129">
        <v>66</v>
      </c>
      <c r="B16" s="130"/>
      <c r="C16" s="135"/>
      <c r="D16" s="136">
        <f>C16*(1+D9)</f>
        <v>0</v>
      </c>
      <c r="E16" s="136">
        <f>D16*(1+E9)</f>
        <v>0</v>
      </c>
      <c r="F16" s="136">
        <f>E16*(1+F9)</f>
        <v>0</v>
      </c>
      <c r="G16" s="136">
        <f>F16*(1+G9)</f>
        <v>0</v>
      </c>
      <c r="H16" s="136">
        <f>G16*(1+H9)</f>
        <v>0</v>
      </c>
      <c r="I16" s="72"/>
      <c r="J16" s="9"/>
    </row>
    <row r="17" ht="13.5" customHeight="1" hidden="1">
      <c r="A17" t="s" s="126">
        <v>67</v>
      </c>
      <c r="B17" s="127"/>
      <c r="C17" s="128">
        <f>C20*C18</f>
        <v>0</v>
      </c>
      <c r="D17" s="128">
        <f>D20*D18</f>
        <v>0</v>
      </c>
      <c r="E17" s="128">
        <f>E20*E18</f>
        <v>0</v>
      </c>
      <c r="F17" s="128">
        <f>F20*F18</f>
        <v>0</v>
      </c>
      <c r="G17" s="128">
        <f>G20*G18</f>
        <v>0</v>
      </c>
      <c r="H17" s="128">
        <f>H20*H18</f>
        <v>0</v>
      </c>
      <c r="I17" s="72"/>
      <c r="J17" s="9"/>
    </row>
    <row r="18" ht="13.5" customHeight="1" hidden="1">
      <c r="A18" t="s" s="129">
        <v>64</v>
      </c>
      <c r="B18" s="130"/>
      <c r="C18" s="131"/>
      <c r="D18" s="132">
        <f>C18*(1+D19)</f>
        <v>0</v>
      </c>
      <c r="E18" s="132">
        <f>D18*(1+E19)</f>
        <v>0</v>
      </c>
      <c r="F18" s="132">
        <f>E18*(1+F19)</f>
        <v>0</v>
      </c>
      <c r="G18" s="132">
        <f>F18*(1+G19)</f>
        <v>0</v>
      </c>
      <c r="H18" s="132">
        <f>G18*(1+H19)</f>
        <v>0</v>
      </c>
      <c r="I18" s="72"/>
      <c r="J18" s="9"/>
    </row>
    <row r="19" ht="13.5" customHeight="1" hidden="1">
      <c r="A19" t="s" s="129">
        <v>65</v>
      </c>
      <c r="B19" s="130"/>
      <c r="C19" s="133"/>
      <c r="D19" s="134"/>
      <c r="E19" s="134"/>
      <c r="F19" s="134"/>
      <c r="G19" s="134"/>
      <c r="H19" s="134"/>
      <c r="I19" s="72"/>
      <c r="J19" s="9"/>
    </row>
    <row r="20" ht="13.5" customHeight="1" hidden="1">
      <c r="A20" t="s" s="129">
        <v>66</v>
      </c>
      <c r="B20" s="130"/>
      <c r="C20" s="135"/>
      <c r="D20" s="136">
        <f>C20*(1+D9)</f>
        <v>0</v>
      </c>
      <c r="E20" s="136">
        <f>D20*(1+E9)</f>
        <v>0</v>
      </c>
      <c r="F20" s="136">
        <f>E20*(1+F9)</f>
        <v>0</v>
      </c>
      <c r="G20" s="136">
        <f>F20*(1+G9)</f>
        <v>0</v>
      </c>
      <c r="H20" s="136">
        <f>G20*(1+H9)</f>
        <v>0</v>
      </c>
      <c r="I20" s="72"/>
      <c r="J20" s="9"/>
    </row>
    <row r="21" ht="13.5" customHeight="1" hidden="1">
      <c r="A21" t="s" s="126">
        <v>68</v>
      </c>
      <c r="B21" s="127"/>
      <c r="C21" s="128">
        <f>C24*C22</f>
        <v>0</v>
      </c>
      <c r="D21" s="128">
        <f>D24*D22</f>
        <v>0</v>
      </c>
      <c r="E21" s="128">
        <f>E24*E22</f>
        <v>0</v>
      </c>
      <c r="F21" s="128">
        <f>F24*F22</f>
        <v>0</v>
      </c>
      <c r="G21" s="128">
        <f>G24*G22</f>
        <v>0</v>
      </c>
      <c r="H21" s="128">
        <f>H24*H22</f>
        <v>0</v>
      </c>
      <c r="I21" s="72"/>
      <c r="J21" s="9"/>
    </row>
    <row r="22" ht="13.5" customHeight="1" hidden="1">
      <c r="A22" t="s" s="129">
        <v>64</v>
      </c>
      <c r="B22" s="130"/>
      <c r="C22" s="131"/>
      <c r="D22" s="132">
        <f>C22*(1+D23)</f>
        <v>0</v>
      </c>
      <c r="E22" s="132">
        <f>D22*(1+E23)</f>
        <v>0</v>
      </c>
      <c r="F22" s="132">
        <f>E22*(1+F23)</f>
        <v>0</v>
      </c>
      <c r="G22" s="132">
        <f>F22*(1+G23)</f>
        <v>0</v>
      </c>
      <c r="H22" s="132">
        <f>G22*(1+H23)</f>
        <v>0</v>
      </c>
      <c r="I22" s="72"/>
      <c r="J22" s="9"/>
    </row>
    <row r="23" ht="13.5" customHeight="1" hidden="1">
      <c r="A23" t="s" s="129">
        <v>65</v>
      </c>
      <c r="B23" s="130"/>
      <c r="C23" s="133"/>
      <c r="D23" s="134"/>
      <c r="E23" s="134"/>
      <c r="F23" s="134"/>
      <c r="G23" s="134"/>
      <c r="H23" s="134"/>
      <c r="I23" s="72"/>
      <c r="J23" s="9"/>
    </row>
    <row r="24" ht="13.5" customHeight="1" hidden="1">
      <c r="A24" t="s" s="129">
        <v>66</v>
      </c>
      <c r="B24" s="130"/>
      <c r="C24" s="135"/>
      <c r="D24" s="136">
        <f>C24*(1+D9)</f>
        <v>0</v>
      </c>
      <c r="E24" s="136">
        <f>D24*(1+E9)</f>
        <v>0</v>
      </c>
      <c r="F24" s="136">
        <f>E24*(1+F9)</f>
        <v>0</v>
      </c>
      <c r="G24" s="136">
        <f>F24*(1+G9)</f>
        <v>0</v>
      </c>
      <c r="H24" s="136">
        <f>G24*(1+H9)</f>
        <v>0</v>
      </c>
      <c r="I24" s="72"/>
      <c r="J24" s="9"/>
    </row>
    <row r="25" ht="13.5" customHeight="1" hidden="1">
      <c r="A25" t="s" s="126">
        <v>69</v>
      </c>
      <c r="B25" s="127"/>
      <c r="C25" s="128">
        <f>C28*C26</f>
        <v>0</v>
      </c>
      <c r="D25" s="128">
        <f>D28*D26</f>
        <v>0</v>
      </c>
      <c r="E25" s="128">
        <f>E28*E26</f>
        <v>0</v>
      </c>
      <c r="F25" s="128">
        <f>F28*F26</f>
        <v>0</v>
      </c>
      <c r="G25" s="128">
        <f>G28*G26</f>
        <v>0</v>
      </c>
      <c r="H25" s="128">
        <f>H28*H26</f>
        <v>0</v>
      </c>
      <c r="I25" s="72"/>
      <c r="J25" s="9"/>
    </row>
    <row r="26" ht="13.5" customHeight="1" hidden="1">
      <c r="A26" t="s" s="129">
        <v>64</v>
      </c>
      <c r="B26" s="130"/>
      <c r="C26" s="131"/>
      <c r="D26" s="132">
        <f>C26*(1+D27)</f>
        <v>0</v>
      </c>
      <c r="E26" s="132">
        <f>D26*(1+E27)</f>
        <v>0</v>
      </c>
      <c r="F26" s="132">
        <f>E26*(1+F27)</f>
        <v>0</v>
      </c>
      <c r="G26" s="132">
        <f>F26*(1+G27)</f>
        <v>0</v>
      </c>
      <c r="H26" s="132">
        <f>G26*(1+H27)</f>
        <v>0</v>
      </c>
      <c r="I26" s="72"/>
      <c r="J26" s="9"/>
    </row>
    <row r="27" ht="13.5" customHeight="1" hidden="1">
      <c r="A27" t="s" s="129">
        <v>65</v>
      </c>
      <c r="B27" s="130"/>
      <c r="C27" s="133"/>
      <c r="D27" s="134"/>
      <c r="E27" s="134"/>
      <c r="F27" s="134"/>
      <c r="G27" s="134"/>
      <c r="H27" s="134"/>
      <c r="I27" s="72"/>
      <c r="J27" s="9"/>
    </row>
    <row r="28" ht="13.5" customHeight="1" hidden="1">
      <c r="A28" t="s" s="129">
        <v>66</v>
      </c>
      <c r="B28" s="130"/>
      <c r="C28" s="135"/>
      <c r="D28" s="136">
        <f>C28*(1+D9)</f>
        <v>0</v>
      </c>
      <c r="E28" s="136">
        <f>D28*(1+E9)</f>
        <v>0</v>
      </c>
      <c r="F28" s="136">
        <f>E28*(1+F9)</f>
        <v>0</v>
      </c>
      <c r="G28" s="136">
        <f>F28*(1+G9)</f>
        <v>0</v>
      </c>
      <c r="H28" s="136">
        <f>G28*(1+H9)</f>
        <v>0</v>
      </c>
      <c r="I28" s="72"/>
      <c r="J28" s="9"/>
    </row>
    <row r="29" ht="14.25" customHeight="1" hidden="1">
      <c r="A29" t="s" s="125">
        <v>70</v>
      </c>
      <c r="B29" s="121"/>
      <c r="C29" s="137">
        <f>C13+C17+C21+C25</f>
        <v>0</v>
      </c>
      <c r="D29" s="137">
        <f>D13+D17+D21+D25</f>
        <v>0</v>
      </c>
      <c r="E29" s="137">
        <f>E13+E17+E21+E25</f>
        <v>0</v>
      </c>
      <c r="F29" s="137">
        <f>F13+F17+F21+F25</f>
        <v>0</v>
      </c>
      <c r="G29" s="137">
        <f>G13+G17+G21+G25</f>
        <v>0</v>
      </c>
      <c r="H29" s="137">
        <f>H13+H17+H21+H25</f>
        <v>0</v>
      </c>
      <c r="I29" s="72"/>
      <c r="J29" s="9"/>
    </row>
    <row r="30" ht="14.25" customHeight="1" hidden="1">
      <c r="A30" s="138"/>
      <c r="B30" s="139"/>
      <c r="C30" s="140"/>
      <c r="D30" s="140"/>
      <c r="E30" s="140"/>
      <c r="F30" s="140"/>
      <c r="G30" s="140"/>
      <c r="H30" s="140"/>
      <c r="I30" s="8"/>
      <c r="J30" s="9"/>
    </row>
    <row r="31" ht="13.5" customHeight="1" hidden="1">
      <c r="A31" s="141"/>
      <c r="B31" s="142"/>
      <c r="C31" s="143"/>
      <c r="D31" s="143"/>
      <c r="E31" s="143"/>
      <c r="F31" s="143"/>
      <c r="G31" s="143"/>
      <c r="H31" s="143"/>
      <c r="I31" s="8"/>
      <c r="J31" s="9"/>
    </row>
    <row r="32" ht="13.5" customHeight="1" hidden="1">
      <c r="A32" t="s" s="125">
        <v>71</v>
      </c>
      <c r="B32" s="121"/>
      <c r="C32" s="119">
        <f>C8</f>
        <v>2015</v>
      </c>
      <c r="D32" s="119">
        <f>D8</f>
        <v>2016</v>
      </c>
      <c r="E32" s="119">
        <f>E8</f>
        <v>2017</v>
      </c>
      <c r="F32" s="119">
        <f>F8</f>
        <v>2018</v>
      </c>
      <c r="G32" s="119">
        <f>G8</f>
        <v>2019</v>
      </c>
      <c r="H32" s="119">
        <f>H8</f>
        <v>2020</v>
      </c>
      <c r="I32" s="72"/>
      <c r="J32" s="9"/>
    </row>
    <row r="33" ht="13.5" customHeight="1" hidden="1">
      <c r="A33" t="s" s="126">
        <v>63</v>
      </c>
      <c r="B33" s="127"/>
      <c r="C33" s="128">
        <f>C36*C34</f>
        <v>0</v>
      </c>
      <c r="D33" s="128">
        <f>D36*D34</f>
        <v>0</v>
      </c>
      <c r="E33" s="128">
        <f>E36*E34</f>
        <v>0</v>
      </c>
      <c r="F33" s="128">
        <f>F36*F34</f>
        <v>0</v>
      </c>
      <c r="G33" s="128">
        <f>G36*G34</f>
        <v>0</v>
      </c>
      <c r="H33" s="128">
        <f>H36*H34</f>
        <v>0</v>
      </c>
      <c r="I33" s="72"/>
      <c r="J33" s="9"/>
    </row>
    <row r="34" ht="13.5" customHeight="1" hidden="1">
      <c r="A34" t="s" s="129">
        <v>64</v>
      </c>
      <c r="B34" s="130"/>
      <c r="C34" s="131"/>
      <c r="D34" s="132">
        <f>C34*(1+D35)</f>
        <v>0</v>
      </c>
      <c r="E34" s="132">
        <f>D34*(1+E35)</f>
        <v>0</v>
      </c>
      <c r="F34" s="132">
        <f>E34*(1+F35)</f>
        <v>0</v>
      </c>
      <c r="G34" s="132">
        <f>F34*(1+G35)</f>
        <v>0</v>
      </c>
      <c r="H34" s="132">
        <f>G34*(1+H35)</f>
        <v>0</v>
      </c>
      <c r="I34" s="72"/>
      <c r="J34" s="9"/>
    </row>
    <row r="35" ht="13.5" customHeight="1" hidden="1">
      <c r="A35" t="s" s="129">
        <v>65</v>
      </c>
      <c r="B35" s="130"/>
      <c r="C35" s="133"/>
      <c r="D35" s="134"/>
      <c r="E35" s="134"/>
      <c r="F35" s="134"/>
      <c r="G35" s="134"/>
      <c r="H35" s="134"/>
      <c r="I35" s="72"/>
      <c r="J35" s="9"/>
    </row>
    <row r="36" ht="13.5" customHeight="1" hidden="1">
      <c r="A36" t="s" s="129">
        <v>66</v>
      </c>
      <c r="B36" s="130"/>
      <c r="C36" s="135"/>
      <c r="D36" s="136">
        <f>C36*(1+D9)</f>
        <v>0</v>
      </c>
      <c r="E36" s="136">
        <f>D36*(1+E9)</f>
        <v>0</v>
      </c>
      <c r="F36" s="136">
        <f>E36*(1+F9)</f>
        <v>0</v>
      </c>
      <c r="G36" s="136">
        <f>F36*(1+G9)</f>
        <v>0</v>
      </c>
      <c r="H36" s="136">
        <f>G36*(1+H9)</f>
        <v>0</v>
      </c>
      <c r="I36" s="72"/>
      <c r="J36" s="9"/>
    </row>
    <row r="37" ht="13.5" customHeight="1" hidden="1">
      <c r="A37" t="s" s="126">
        <v>67</v>
      </c>
      <c r="B37" s="127"/>
      <c r="C37" s="128">
        <f>C40*C38</f>
        <v>0</v>
      </c>
      <c r="D37" s="128">
        <f>D40*D38</f>
        <v>0</v>
      </c>
      <c r="E37" s="128">
        <f>E40*E38</f>
        <v>0</v>
      </c>
      <c r="F37" s="128">
        <f>F40*F38</f>
        <v>0</v>
      </c>
      <c r="G37" s="128">
        <f>G40*G38</f>
        <v>0</v>
      </c>
      <c r="H37" s="128">
        <f>H40*H38</f>
        <v>0</v>
      </c>
      <c r="I37" s="72"/>
      <c r="J37" s="9"/>
    </row>
    <row r="38" ht="13.5" customHeight="1" hidden="1">
      <c r="A38" t="s" s="129">
        <v>64</v>
      </c>
      <c r="B38" s="130"/>
      <c r="C38" s="131"/>
      <c r="D38" s="132">
        <f>C38*(1+D39)</f>
        <v>0</v>
      </c>
      <c r="E38" s="132">
        <f>D38*(1+E39)</f>
        <v>0</v>
      </c>
      <c r="F38" s="132">
        <f>E38*(1+F39)</f>
        <v>0</v>
      </c>
      <c r="G38" s="132">
        <f>F38*(1+G39)</f>
        <v>0</v>
      </c>
      <c r="H38" s="132">
        <f>G38*(1+H39)</f>
        <v>0</v>
      </c>
      <c r="I38" s="72"/>
      <c r="J38" s="9"/>
    </row>
    <row r="39" ht="13.5" customHeight="1" hidden="1">
      <c r="A39" t="s" s="129">
        <v>65</v>
      </c>
      <c r="B39" s="130"/>
      <c r="C39" s="133"/>
      <c r="D39" s="134"/>
      <c r="E39" s="134"/>
      <c r="F39" s="134"/>
      <c r="G39" s="134"/>
      <c r="H39" s="134"/>
      <c r="I39" s="72"/>
      <c r="J39" s="9"/>
    </row>
    <row r="40" ht="13.5" customHeight="1" hidden="1">
      <c r="A40" t="s" s="129">
        <v>66</v>
      </c>
      <c r="B40" s="130"/>
      <c r="C40" s="135"/>
      <c r="D40" s="136">
        <f>C40*(1+D9)</f>
        <v>0</v>
      </c>
      <c r="E40" s="136">
        <f>D40*(1+E9)</f>
        <v>0</v>
      </c>
      <c r="F40" s="136">
        <f>E40*(1+F9)</f>
        <v>0</v>
      </c>
      <c r="G40" s="136">
        <f>F40*(1+G9)</f>
        <v>0</v>
      </c>
      <c r="H40" s="136">
        <f>G40*(1+H9)</f>
        <v>0</v>
      </c>
      <c r="I40" s="72"/>
      <c r="J40" s="9"/>
    </row>
    <row r="41" ht="14.25" customHeight="1" hidden="1">
      <c r="A41" t="s" s="125">
        <v>70</v>
      </c>
      <c r="B41" s="121"/>
      <c r="C41" s="137">
        <f>C33+C37</f>
        <v>0</v>
      </c>
      <c r="D41" s="137">
        <f>D33+D37</f>
        <v>0</v>
      </c>
      <c r="E41" s="137">
        <f>E33+E37</f>
        <v>0</v>
      </c>
      <c r="F41" s="137">
        <f>F33+F37</f>
        <v>0</v>
      </c>
      <c r="G41" s="137">
        <f>G33+G37</f>
        <v>0</v>
      </c>
      <c r="H41" s="137">
        <f>H33+H37</f>
        <v>0</v>
      </c>
      <c r="I41" s="72"/>
      <c r="J41" s="9"/>
    </row>
    <row r="42" ht="14.25" customHeight="1" hidden="1">
      <c r="A42" t="s" s="144">
        <v>72</v>
      </c>
      <c r="B42" s="139"/>
      <c r="C42" s="140"/>
      <c r="D42" s="140"/>
      <c r="E42" s="140"/>
      <c r="F42" s="140"/>
      <c r="G42" s="140"/>
      <c r="H42" s="140"/>
      <c r="I42" s="8"/>
      <c r="J42" s="9"/>
    </row>
    <row r="43" ht="13.5" customHeight="1" hidden="1">
      <c r="A43" t="s" s="145">
        <v>73</v>
      </c>
      <c r="B43" s="146"/>
      <c r="C43" s="147"/>
      <c r="D43" s="147"/>
      <c r="E43" s="148"/>
      <c r="F43" s="148"/>
      <c r="G43" s="147"/>
      <c r="H43" s="147"/>
      <c r="I43" s="90"/>
      <c r="J43" s="91"/>
    </row>
    <row r="44" ht="13.5" customHeight="1">
      <c r="A44" s="48"/>
      <c r="B44" s="149"/>
      <c r="C44" s="150"/>
      <c r="D44" s="151"/>
      <c r="E44" s="152"/>
      <c r="F44" s="152"/>
      <c r="G44" s="153"/>
      <c r="H44" s="150"/>
      <c r="I44" s="90"/>
      <c r="J44" s="91"/>
    </row>
    <row r="45" ht="13.5" customHeight="1">
      <c r="A45" t="s" s="125">
        <v>74</v>
      </c>
      <c r="B45" s="121"/>
      <c r="C45" s="119">
        <f>C8</f>
        <v>2015</v>
      </c>
      <c r="D45" s="119">
        <f>D8</f>
        <v>2016</v>
      </c>
      <c r="E45" s="119">
        <f>E8</f>
        <v>2017</v>
      </c>
      <c r="F45" s="119">
        <f>F8</f>
        <v>2018</v>
      </c>
      <c r="G45" s="119">
        <f>G8</f>
        <v>2019</v>
      </c>
      <c r="H45" s="119">
        <f>H8</f>
        <v>2020</v>
      </c>
      <c r="I45" s="154"/>
      <c r="J45" s="91"/>
    </row>
    <row r="46" ht="13.5" customHeight="1">
      <c r="A46" t="s" s="126">
        <v>75</v>
      </c>
      <c r="B46" s="127"/>
      <c r="C46" s="131">
        <v>3120</v>
      </c>
      <c r="D46" s="132">
        <f>C46*(1+D47)</f>
        <v>9360</v>
      </c>
      <c r="E46" s="132">
        <f>D46*(1+E47)</f>
        <v>9360</v>
      </c>
      <c r="F46" s="132">
        <f>E46*(1+F47)</f>
        <v>9360</v>
      </c>
      <c r="G46" s="132">
        <f>F46*(1+G47)</f>
        <v>9360</v>
      </c>
      <c r="H46" s="132">
        <f>G46*(1+H47)</f>
        <v>9360</v>
      </c>
      <c r="I46" s="154"/>
      <c r="J46" s="91"/>
    </row>
    <row r="47" ht="13.5" customHeight="1">
      <c r="A47" t="s" s="129">
        <v>76</v>
      </c>
      <c r="B47" s="130"/>
      <c r="C47" s="133">
        <v>0</v>
      </c>
      <c r="D47" s="134">
        <v>2</v>
      </c>
      <c r="E47" s="134">
        <v>0</v>
      </c>
      <c r="F47" s="134">
        <v>0</v>
      </c>
      <c r="G47" s="134"/>
      <c r="H47" s="134"/>
      <c r="I47" s="154"/>
      <c r="J47" s="91"/>
    </row>
    <row r="48" ht="13.5" customHeight="1">
      <c r="A48" t="s" s="126">
        <v>77</v>
      </c>
      <c r="B48" s="127"/>
      <c r="C48" s="131">
        <v>2560</v>
      </c>
      <c r="D48" s="132">
        <f>C48*(1+D49)</f>
        <v>8000</v>
      </c>
      <c r="E48" s="132">
        <f>D48*(1+E49)</f>
        <v>11520</v>
      </c>
      <c r="F48" s="132">
        <f>E48*(1+F49)</f>
        <v>12799.872</v>
      </c>
      <c r="G48" s="132">
        <f>F48*(1+G49)</f>
        <v>12799.872</v>
      </c>
      <c r="H48" s="132">
        <f>G48*(1+H49)</f>
        <v>12799.872</v>
      </c>
      <c r="I48" s="154"/>
      <c r="J48" s="91"/>
    </row>
    <row r="49" ht="13.5" customHeight="1">
      <c r="A49" t="s" s="129">
        <v>76</v>
      </c>
      <c r="B49" s="130"/>
      <c r="C49" s="133">
        <v>0</v>
      </c>
      <c r="D49" s="134">
        <v>2.125</v>
      </c>
      <c r="E49" s="134">
        <v>0.44</v>
      </c>
      <c r="F49" s="134">
        <v>0.1111</v>
      </c>
      <c r="G49" s="134"/>
      <c r="H49" s="134"/>
      <c r="I49" s="154"/>
      <c r="J49" s="91"/>
    </row>
    <row r="50" ht="13.5" customHeight="1">
      <c r="A50" t="s" s="126">
        <v>78</v>
      </c>
      <c r="B50" s="127"/>
      <c r="C50" s="131">
        <v>1650</v>
      </c>
      <c r="D50" s="132">
        <f>C50*(1+D51)</f>
        <v>10275.045</v>
      </c>
      <c r="E50" s="132">
        <f>D50*(1+E51)</f>
        <v>13174.662699</v>
      </c>
      <c r="F50" s="132">
        <f>E50*(1+F51)</f>
        <v>14249.7151752384</v>
      </c>
      <c r="G50" s="132">
        <f>F50*(1+G51)</f>
        <v>14249.7151752384</v>
      </c>
      <c r="H50" s="132">
        <f>G50*(1+H51)</f>
        <v>14249.7151752384</v>
      </c>
      <c r="I50" s="154"/>
      <c r="J50" s="91"/>
    </row>
    <row r="51" ht="13.5" customHeight="1">
      <c r="A51" t="s" s="129">
        <v>76</v>
      </c>
      <c r="B51" s="130"/>
      <c r="C51" s="133">
        <v>0</v>
      </c>
      <c r="D51" s="134">
        <v>5.227300000000001</v>
      </c>
      <c r="E51" s="134">
        <v>0.2822</v>
      </c>
      <c r="F51" s="134">
        <v>0.08160000000000001</v>
      </c>
      <c r="G51" s="134"/>
      <c r="H51" s="134"/>
      <c r="I51" s="154"/>
      <c r="J51" s="91"/>
    </row>
    <row r="52" ht="13.5" customHeight="1">
      <c r="A52" t="s" s="126">
        <v>79</v>
      </c>
      <c r="B52" s="127"/>
      <c r="C52" s="131">
        <v>1000</v>
      </c>
      <c r="D52" s="132">
        <f>C52*(1+D53)</f>
        <v>7000</v>
      </c>
      <c r="E52" s="132">
        <f>D52*(1+E53)</f>
        <v>11000.43</v>
      </c>
      <c r="F52" s="132">
        <f>E52*(1+F53)</f>
        <v>12000.369087</v>
      </c>
      <c r="G52" s="132">
        <f>F52*(1+G53)</f>
        <v>12000.369087</v>
      </c>
      <c r="H52" s="132">
        <f>G52*(1+H53)</f>
        <v>12000.369087</v>
      </c>
      <c r="I52" s="154"/>
      <c r="J52" s="91"/>
    </row>
    <row r="53" ht="13.5" customHeight="1">
      <c r="A53" t="s" s="129">
        <v>76</v>
      </c>
      <c r="B53" s="130"/>
      <c r="C53" s="133">
        <v>0</v>
      </c>
      <c r="D53" s="134">
        <v>6</v>
      </c>
      <c r="E53" s="134">
        <v>0.5714900000000001</v>
      </c>
      <c r="F53" s="134">
        <v>0.09089999999999999</v>
      </c>
      <c r="G53" s="134"/>
      <c r="H53" s="134"/>
      <c r="I53" s="154"/>
      <c r="J53" s="91"/>
    </row>
    <row r="54" ht="14.25" customHeight="1">
      <c r="A54" t="s" s="125">
        <v>70</v>
      </c>
      <c r="B54" s="121"/>
      <c r="C54" s="137">
        <f>C46+C48+C50+C52</f>
        <v>8330</v>
      </c>
      <c r="D54" s="137">
        <f>D46+D48+D50+D52</f>
        <v>34635.045</v>
      </c>
      <c r="E54" s="137">
        <f>E46+E48+E50+E52</f>
        <v>45055.092699</v>
      </c>
      <c r="F54" s="137">
        <f>F46+F48+F50+F52</f>
        <v>48409.9562622384</v>
      </c>
      <c r="G54" s="137">
        <f>G46+G48+G50+G52</f>
        <v>48409.9562622384</v>
      </c>
      <c r="H54" s="137">
        <f>H46+H48+H50+H52</f>
        <v>48409.9562622384</v>
      </c>
      <c r="I54" s="72"/>
      <c r="J54" s="9"/>
    </row>
    <row r="55" ht="14.25" customHeight="1" hidden="1">
      <c r="A55" s="155"/>
      <c r="B55" s="156"/>
      <c r="C55" s="157"/>
      <c r="D55" s="157"/>
      <c r="E55" s="157"/>
      <c r="F55" s="157"/>
      <c r="G55" s="157"/>
      <c r="H55" s="157"/>
      <c r="I55" s="90"/>
      <c r="J55" s="91"/>
    </row>
    <row r="56" ht="13.5" customHeight="1" hidden="1">
      <c r="A56" s="158"/>
      <c r="B56" s="159"/>
      <c r="C56" s="148"/>
      <c r="D56" s="148"/>
      <c r="E56" s="148"/>
      <c r="F56" s="148"/>
      <c r="G56" s="148"/>
      <c r="H56" s="148"/>
      <c r="I56" s="90"/>
      <c r="J56" s="91"/>
    </row>
    <row r="57" ht="13.5" customHeight="1" hidden="1">
      <c r="A57" t="s" s="125">
        <v>80</v>
      </c>
      <c r="B57" s="121"/>
      <c r="C57" s="160">
        <f>C8</f>
        <v>2015</v>
      </c>
      <c r="D57" s="160">
        <f>D8</f>
        <v>2016</v>
      </c>
      <c r="E57" s="160">
        <f>E8</f>
        <v>2017</v>
      </c>
      <c r="F57" s="160">
        <f>F8</f>
        <v>2018</v>
      </c>
      <c r="G57" s="160">
        <f>G8</f>
        <v>2019</v>
      </c>
      <c r="H57" s="160">
        <f>H8</f>
        <v>2020</v>
      </c>
      <c r="I57" s="154"/>
      <c r="J57" s="91"/>
    </row>
    <row r="58" ht="13.5" customHeight="1" hidden="1">
      <c r="A58" t="s" s="126">
        <v>81</v>
      </c>
      <c r="B58" s="127"/>
      <c r="C58" s="131"/>
      <c r="D58" s="132">
        <f>C58*(1+D59)</f>
        <v>0</v>
      </c>
      <c r="E58" s="132">
        <f>D58*(1+E59)</f>
        <v>0</v>
      </c>
      <c r="F58" s="132">
        <f>E58*(1+F59)</f>
        <v>0</v>
      </c>
      <c r="G58" s="132">
        <f>F58*(1+G59)</f>
        <v>0</v>
      </c>
      <c r="H58" s="132">
        <f>G58*(1+H59)</f>
        <v>0</v>
      </c>
      <c r="I58" s="154"/>
      <c r="J58" s="91"/>
    </row>
    <row r="59" ht="13.5" customHeight="1" hidden="1">
      <c r="A59" t="s" s="129">
        <v>76</v>
      </c>
      <c r="B59" s="130"/>
      <c r="C59" s="133"/>
      <c r="D59" s="134"/>
      <c r="E59" s="134"/>
      <c r="F59" s="134"/>
      <c r="G59" s="134"/>
      <c r="H59" s="134"/>
      <c r="I59" s="154"/>
      <c r="J59" s="91"/>
    </row>
    <row r="60" ht="13.5" customHeight="1" hidden="1">
      <c r="A60" t="s" s="126">
        <v>82</v>
      </c>
      <c r="B60" s="127"/>
      <c r="C60" s="131"/>
      <c r="D60" s="132">
        <f>C60*(1+D61)</f>
        <v>0</v>
      </c>
      <c r="E60" s="132">
        <f>D60*(1+E61)</f>
        <v>0</v>
      </c>
      <c r="F60" s="132">
        <f>E60*(1+F61)</f>
        <v>0</v>
      </c>
      <c r="G60" s="132">
        <f>F60*(1+G61)</f>
        <v>0</v>
      </c>
      <c r="H60" s="132">
        <f>G60*(1+H61)</f>
        <v>0</v>
      </c>
      <c r="I60" s="154"/>
      <c r="J60" s="91"/>
    </row>
    <row r="61" ht="13.5" customHeight="1" hidden="1">
      <c r="A61" t="s" s="129">
        <v>76</v>
      </c>
      <c r="B61" s="130"/>
      <c r="C61" s="133"/>
      <c r="D61" s="134"/>
      <c r="E61" s="134"/>
      <c r="F61" s="134"/>
      <c r="G61" s="134"/>
      <c r="H61" s="134"/>
      <c r="I61" s="154"/>
      <c r="J61" s="91"/>
    </row>
    <row r="62" ht="13.5" customHeight="1" hidden="1">
      <c r="A62" t="s" s="126">
        <v>83</v>
      </c>
      <c r="B62" s="127"/>
      <c r="C62" s="131"/>
      <c r="D62" s="132">
        <f>C62*(1+D63)</f>
        <v>0</v>
      </c>
      <c r="E62" s="132">
        <f>D62*(1+E63)</f>
        <v>0</v>
      </c>
      <c r="F62" s="132">
        <f>E62*(1+F63)</f>
        <v>0</v>
      </c>
      <c r="G62" s="132">
        <f>F62*(1+G63)</f>
        <v>0</v>
      </c>
      <c r="H62" s="132">
        <f>G62*(1+H63)</f>
        <v>0</v>
      </c>
      <c r="I62" s="154"/>
      <c r="J62" s="91"/>
    </row>
    <row r="63" ht="13.5" customHeight="1" hidden="1">
      <c r="A63" t="s" s="129">
        <v>76</v>
      </c>
      <c r="B63" s="130"/>
      <c r="C63" s="133"/>
      <c r="D63" s="134"/>
      <c r="E63" s="134"/>
      <c r="F63" s="134"/>
      <c r="G63" s="134"/>
      <c r="H63" s="134"/>
      <c r="I63" s="154"/>
      <c r="J63" s="91"/>
    </row>
    <row r="64" ht="13.5" customHeight="1" hidden="1">
      <c r="A64" t="s" s="126">
        <v>84</v>
      </c>
      <c r="B64" s="127"/>
      <c r="C64" s="131"/>
      <c r="D64" s="132">
        <f>C64*(1+D65)</f>
        <v>0</v>
      </c>
      <c r="E64" s="132">
        <f>D64*(1+E65)</f>
        <v>0</v>
      </c>
      <c r="F64" s="132">
        <f>E64*(1+F65)</f>
        <v>0</v>
      </c>
      <c r="G64" s="132">
        <f>F64*(1+G65)</f>
        <v>0</v>
      </c>
      <c r="H64" s="132">
        <f>G64*(1+H65)</f>
        <v>0</v>
      </c>
      <c r="I64" s="154"/>
      <c r="J64" s="91"/>
    </row>
    <row r="65" ht="13.5" customHeight="1" hidden="1">
      <c r="A65" t="s" s="129">
        <v>76</v>
      </c>
      <c r="B65" s="130"/>
      <c r="C65" s="133"/>
      <c r="D65" s="134"/>
      <c r="E65" s="134"/>
      <c r="F65" s="134"/>
      <c r="G65" s="134"/>
      <c r="H65" s="134"/>
      <c r="I65" s="154"/>
      <c r="J65" s="91"/>
    </row>
    <row r="66" ht="14.25" customHeight="1" hidden="1">
      <c r="A66" t="s" s="125">
        <v>70</v>
      </c>
      <c r="B66" s="121"/>
      <c r="C66" s="137">
        <f>C58+C60+C62+C64</f>
        <v>0</v>
      </c>
      <c r="D66" s="137">
        <f>D58+D60+D62+D64</f>
        <v>0</v>
      </c>
      <c r="E66" s="137">
        <f>E58+E60+E62+E64</f>
        <v>0</v>
      </c>
      <c r="F66" s="137">
        <f>F58+F60+F62+F64</f>
        <v>0</v>
      </c>
      <c r="G66" s="137">
        <f>G58+G60+G62+G64</f>
        <v>0</v>
      </c>
      <c r="H66" s="137">
        <f>H58+H60+H62+H64</f>
        <v>0</v>
      </c>
      <c r="I66" s="72"/>
      <c r="J66" s="9"/>
    </row>
    <row r="67" ht="14.25" customHeight="1" hidden="1">
      <c r="A67" s="155"/>
      <c r="B67" s="156"/>
      <c r="C67" s="157"/>
      <c r="D67" s="157"/>
      <c r="E67" s="157"/>
      <c r="F67" s="157"/>
      <c r="G67" s="157"/>
      <c r="H67" s="157"/>
      <c r="I67" s="90"/>
      <c r="J67" s="91"/>
    </row>
    <row r="68" ht="13.5" customHeight="1">
      <c r="A68" s="158"/>
      <c r="B68" s="159"/>
      <c r="C68" s="148"/>
      <c r="D68" s="148"/>
      <c r="E68" s="148"/>
      <c r="F68" s="148"/>
      <c r="G68" s="148"/>
      <c r="H68" s="148"/>
      <c r="I68" s="90"/>
      <c r="J68" s="91"/>
    </row>
    <row r="69" ht="13.5" customHeight="1">
      <c r="A69" t="s" s="161">
        <v>85</v>
      </c>
      <c r="B69" s="162"/>
      <c r="C69" s="137">
        <f>C29</f>
        <v>0</v>
      </c>
      <c r="D69" s="137">
        <f>D29</f>
        <v>0</v>
      </c>
      <c r="E69" s="137">
        <f>E29</f>
        <v>0</v>
      </c>
      <c r="F69" s="137">
        <f>F29</f>
        <v>0</v>
      </c>
      <c r="G69" s="137">
        <f>G29</f>
        <v>0</v>
      </c>
      <c r="H69" s="137">
        <f>H29</f>
        <v>0</v>
      </c>
      <c r="I69" s="154"/>
      <c r="J69" s="91"/>
    </row>
    <row r="70" ht="13.5" customHeight="1">
      <c r="A70" t="s" s="161">
        <v>86</v>
      </c>
      <c r="B70" s="162"/>
      <c r="C70" s="137">
        <f>C41</f>
        <v>0</v>
      </c>
      <c r="D70" s="137">
        <f>D41</f>
        <v>0</v>
      </c>
      <c r="E70" s="137">
        <f>E41</f>
        <v>0</v>
      </c>
      <c r="F70" s="137">
        <f>F41</f>
        <v>0</v>
      </c>
      <c r="G70" s="137">
        <f>G41</f>
        <v>0</v>
      </c>
      <c r="H70" s="137">
        <f>H41</f>
        <v>0</v>
      </c>
      <c r="I70" s="154"/>
      <c r="J70" s="91"/>
    </row>
    <row r="71" ht="13.5" customHeight="1">
      <c r="A71" t="s" s="161">
        <v>87</v>
      </c>
      <c r="B71" s="162"/>
      <c r="C71" s="163">
        <f>C69+C70</f>
        <v>0</v>
      </c>
      <c r="D71" s="163">
        <f>D69+D70</f>
        <v>0</v>
      </c>
      <c r="E71" s="163">
        <f>E69+E70</f>
        <v>0</v>
      </c>
      <c r="F71" s="163">
        <f>F69+F70</f>
        <v>0</v>
      </c>
      <c r="G71" s="163">
        <f>G69+G70</f>
        <v>0</v>
      </c>
      <c r="H71" s="163">
        <f>H69+H70</f>
        <v>0</v>
      </c>
      <c r="I71" s="154"/>
      <c r="J71" s="91"/>
    </row>
    <row r="72" ht="14.25" customHeight="1">
      <c r="A72" t="s" s="164">
        <v>88</v>
      </c>
      <c r="B72" s="165">
        <f>'Pressupostos'!B17</f>
        <v>0.23</v>
      </c>
      <c r="C72" s="137">
        <f>C69*$B$72</f>
        <v>0</v>
      </c>
      <c r="D72" s="137">
        <f>D69*$B$72</f>
        <v>0</v>
      </c>
      <c r="E72" s="137">
        <f>E69*$B$72</f>
        <v>0</v>
      </c>
      <c r="F72" s="137">
        <f>F69*$B$72</f>
        <v>0</v>
      </c>
      <c r="G72" s="137">
        <f>G69*$B$72</f>
        <v>0</v>
      </c>
      <c r="H72" s="137">
        <f>H69*$B$72</f>
        <v>0</v>
      </c>
      <c r="I72" s="154"/>
      <c r="J72" s="91"/>
    </row>
    <row r="73" ht="14.25" customHeight="1">
      <c r="A73" s="138"/>
      <c r="B73" s="166"/>
      <c r="C73" s="140"/>
      <c r="D73" s="140"/>
      <c r="E73" s="140"/>
      <c r="F73" s="140"/>
      <c r="G73" s="140"/>
      <c r="H73" s="140"/>
      <c r="I73" s="90"/>
      <c r="J73" s="91"/>
    </row>
    <row r="74" ht="13.5" customHeight="1">
      <c r="A74" s="141"/>
      <c r="B74" s="167"/>
      <c r="C74" s="143"/>
      <c r="D74" s="143"/>
      <c r="E74" s="143"/>
      <c r="F74" s="143"/>
      <c r="G74" s="143"/>
      <c r="H74" s="143"/>
      <c r="I74" s="90"/>
      <c r="J74" s="91"/>
    </row>
    <row r="75" ht="13.5" customHeight="1">
      <c r="A75" t="s" s="161">
        <v>89</v>
      </c>
      <c r="B75" s="162"/>
      <c r="C75" s="137">
        <f>C54</f>
        <v>8330</v>
      </c>
      <c r="D75" s="137">
        <f>D54</f>
        <v>34635.045</v>
      </c>
      <c r="E75" s="137">
        <f>E54</f>
        <v>45055.092699</v>
      </c>
      <c r="F75" s="137">
        <f>F54</f>
        <v>48409.9562622384</v>
      </c>
      <c r="G75" s="137">
        <f>G54</f>
        <v>48409.9562622384</v>
      </c>
      <c r="H75" s="137">
        <f>H54</f>
        <v>48409.9562622384</v>
      </c>
      <c r="I75" s="154"/>
      <c r="J75" s="91"/>
    </row>
    <row r="76" ht="13.5" customHeight="1">
      <c r="A76" t="s" s="161">
        <v>90</v>
      </c>
      <c r="B76" s="162"/>
      <c r="C76" s="137">
        <f>C66</f>
        <v>0</v>
      </c>
      <c r="D76" s="137">
        <f>D66</f>
        <v>0</v>
      </c>
      <c r="E76" s="137">
        <f>E66</f>
        <v>0</v>
      </c>
      <c r="F76" s="137">
        <f>F66</f>
        <v>0</v>
      </c>
      <c r="G76" s="137">
        <f>G66</f>
        <v>0</v>
      </c>
      <c r="H76" s="137">
        <f>H66</f>
        <v>0</v>
      </c>
      <c r="I76" s="154"/>
      <c r="J76" s="91"/>
    </row>
    <row r="77" ht="13.5" customHeight="1">
      <c r="A77" t="s" s="161">
        <v>91</v>
      </c>
      <c r="B77" s="162"/>
      <c r="C77" s="163">
        <f>C75+C76</f>
        <v>8330</v>
      </c>
      <c r="D77" s="163">
        <f>D75+D76</f>
        <v>34635.045</v>
      </c>
      <c r="E77" s="163">
        <f>E75+E76</f>
        <v>45055.092699</v>
      </c>
      <c r="F77" s="163">
        <f>F75+F76</f>
        <v>48409.9562622384</v>
      </c>
      <c r="G77" s="163">
        <f>G75+G76</f>
        <v>48409.9562622384</v>
      </c>
      <c r="H77" s="163">
        <f>H75+H76</f>
        <v>48409.9562622384</v>
      </c>
      <c r="I77" s="154"/>
      <c r="J77" s="91"/>
    </row>
    <row r="78" ht="14.25" customHeight="1">
      <c r="A78" t="s" s="164">
        <v>92</v>
      </c>
      <c r="B78" s="165">
        <f>'Pressupostos'!B18</f>
        <v>0.23</v>
      </c>
      <c r="C78" s="137">
        <f>C75*$B$78</f>
        <v>1915.9</v>
      </c>
      <c r="D78" s="137">
        <f>D75*$B$78</f>
        <v>7966.06035</v>
      </c>
      <c r="E78" s="137">
        <f>E75*$B$78</f>
        <v>10362.67132077</v>
      </c>
      <c r="F78" s="137">
        <f>F75*$B$78</f>
        <v>11134.289940314831</v>
      </c>
      <c r="G78" s="137">
        <f>G75*$B$78</f>
        <v>11134.289940314831</v>
      </c>
      <c r="H78" s="137">
        <f>H75*$B$78</f>
        <v>11134.289940314831</v>
      </c>
      <c r="I78" s="154"/>
      <c r="J78" s="91"/>
    </row>
    <row r="79" ht="14.25" customHeight="1">
      <c r="A79" s="168"/>
      <c r="B79" s="169"/>
      <c r="C79" s="170"/>
      <c r="D79" s="170"/>
      <c r="E79" s="170"/>
      <c r="F79" s="170"/>
      <c r="G79" s="170"/>
      <c r="H79" s="170"/>
      <c r="I79" s="90"/>
      <c r="J79" s="91"/>
    </row>
    <row r="80" ht="14.25" customHeight="1">
      <c r="A80" t="s" s="161">
        <v>93</v>
      </c>
      <c r="B80" s="162"/>
      <c r="C80" s="137">
        <f>C71+C77</f>
        <v>8330</v>
      </c>
      <c r="D80" s="137">
        <f>D71+D77</f>
        <v>34635.045</v>
      </c>
      <c r="E80" s="137">
        <f>E71+E77</f>
        <v>45055.092699</v>
      </c>
      <c r="F80" s="137">
        <f>F71+F77</f>
        <v>48409.9562622384</v>
      </c>
      <c r="G80" s="137">
        <f>G71+G77</f>
        <v>48409.9562622384</v>
      </c>
      <c r="H80" s="137">
        <f>H71+H77</f>
        <v>48409.9562622384</v>
      </c>
      <c r="I80" s="154"/>
      <c r="J80" s="91"/>
    </row>
    <row r="81" ht="14.25" customHeight="1">
      <c r="A81" s="168"/>
      <c r="B81" s="171"/>
      <c r="C81" s="170"/>
      <c r="D81" s="170"/>
      <c r="E81" s="170"/>
      <c r="F81" s="170"/>
      <c r="G81" s="170"/>
      <c r="H81" s="170"/>
      <c r="I81" s="90"/>
      <c r="J81" s="91"/>
    </row>
    <row r="82" ht="14.25" customHeight="1">
      <c r="A82" t="s" s="161">
        <v>94</v>
      </c>
      <c r="B82" s="162"/>
      <c r="C82" s="137">
        <f>C72+C78</f>
        <v>1915.9</v>
      </c>
      <c r="D82" s="137">
        <f>D72+D78</f>
        <v>7966.06035</v>
      </c>
      <c r="E82" s="137">
        <f>E72+E78</f>
        <v>10362.67132077</v>
      </c>
      <c r="F82" s="137">
        <f>F72+F78</f>
        <v>11134.289940314831</v>
      </c>
      <c r="G82" s="137">
        <f>G72+G78</f>
        <v>11134.289940314831</v>
      </c>
      <c r="H82" s="137">
        <f>H72+H78</f>
        <v>11134.289940314831</v>
      </c>
      <c r="I82" s="154"/>
      <c r="J82" s="91"/>
    </row>
    <row r="83" ht="14.25" customHeight="1">
      <c r="A83" s="56"/>
      <c r="B83" s="31"/>
      <c r="C83" s="31"/>
      <c r="D83" s="31"/>
      <c r="E83" s="31"/>
      <c r="F83" s="31"/>
      <c r="G83" s="31"/>
      <c r="H83" s="31"/>
      <c r="I83" s="90"/>
      <c r="J83" s="91"/>
    </row>
    <row r="84" ht="14.25" customHeight="1">
      <c r="A84" t="s" s="161">
        <v>95</v>
      </c>
      <c r="B84" s="162"/>
      <c r="C84" s="137">
        <f>C80+C82</f>
        <v>10245.9</v>
      </c>
      <c r="D84" s="137">
        <f>D80+D82</f>
        <v>42601.10535</v>
      </c>
      <c r="E84" s="137">
        <f>E80+E82</f>
        <v>55417.76401977</v>
      </c>
      <c r="F84" s="137">
        <f>F80+F82</f>
        <v>59544.246202553230</v>
      </c>
      <c r="G84" s="137">
        <f>G80+G82</f>
        <v>59544.246202553230</v>
      </c>
      <c r="H84" s="137">
        <f>H80+H82</f>
        <v>59544.246202553230</v>
      </c>
      <c r="I84" s="154"/>
      <c r="J84" s="91"/>
    </row>
    <row r="85" ht="14.25" customHeight="1">
      <c r="A85" s="124"/>
      <c r="B85" s="81"/>
      <c r="C85" s="81"/>
      <c r="D85" s="81"/>
      <c r="E85" s="81"/>
      <c r="F85" s="81"/>
      <c r="G85" s="81"/>
      <c r="H85" s="81"/>
      <c r="I85" s="90"/>
      <c r="J85" s="91"/>
    </row>
    <row r="86" ht="13.5" customHeight="1">
      <c r="A86" s="48"/>
      <c r="B86" s="49"/>
      <c r="C86" s="49"/>
      <c r="D86" s="49"/>
      <c r="E86" s="49"/>
      <c r="F86" s="49"/>
      <c r="G86" s="49"/>
      <c r="H86" s="49"/>
      <c r="I86" s="90"/>
      <c r="J86" s="91"/>
    </row>
    <row r="87" ht="14.25" customHeight="1">
      <c r="A87" t="s" s="172">
        <v>96</v>
      </c>
      <c r="B87" s="173"/>
      <c r="C87" s="137">
        <f>$B$87*C84</f>
        <v>0</v>
      </c>
      <c r="D87" s="137">
        <f>$B$87*D84</f>
        <v>0</v>
      </c>
      <c r="E87" s="137">
        <f>$B$87*E84</f>
        <v>0</v>
      </c>
      <c r="F87" s="137">
        <f>$B$87*F84</f>
        <v>0</v>
      </c>
      <c r="G87" s="137">
        <f>$B$87*G84</f>
        <v>0</v>
      </c>
      <c r="H87" s="137">
        <f>$B$87*H84</f>
        <v>0</v>
      </c>
      <c r="I87" s="154"/>
      <c r="J87" s="91"/>
    </row>
    <row r="88" ht="14.25" customHeight="1">
      <c r="A88" s="124"/>
      <c r="B88" s="81"/>
      <c r="C88" s="81"/>
      <c r="D88" s="81"/>
      <c r="E88" s="81"/>
      <c r="F88" s="81"/>
      <c r="G88" s="81"/>
      <c r="H88" s="81"/>
      <c r="I88" s="8"/>
      <c r="J88" s="9"/>
    </row>
    <row r="89" ht="13.5" customHeight="1">
      <c r="A89" s="92"/>
      <c r="B89" s="90"/>
      <c r="C89" s="90"/>
      <c r="D89" s="90"/>
      <c r="E89" s="90"/>
      <c r="F89" s="90"/>
      <c r="G89" s="90"/>
      <c r="H89" s="90"/>
      <c r="I89" s="8"/>
      <c r="J89" s="9"/>
    </row>
    <row r="90" ht="13.5" customHeight="1">
      <c r="A90" s="92"/>
      <c r="B90" s="90"/>
      <c r="C90" s="90"/>
      <c r="D90" s="90"/>
      <c r="E90" s="90"/>
      <c r="F90" s="90"/>
      <c r="G90" s="90"/>
      <c r="H90" s="90"/>
      <c r="I90" s="8"/>
      <c r="J90" s="9"/>
    </row>
    <row r="91" ht="13.5" customHeight="1">
      <c r="A91" s="92"/>
      <c r="B91" s="90"/>
      <c r="C91" s="90"/>
      <c r="D91" s="90"/>
      <c r="E91" s="90"/>
      <c r="F91" s="90"/>
      <c r="G91" s="90"/>
      <c r="H91" s="90"/>
      <c r="I91" s="8"/>
      <c r="J91" s="9"/>
    </row>
    <row r="92" ht="13.5" customHeight="1">
      <c r="A92" s="92"/>
      <c r="B92" s="90"/>
      <c r="C92" s="90"/>
      <c r="D92" s="90"/>
      <c r="E92" s="90"/>
      <c r="F92" s="90"/>
      <c r="G92" s="90"/>
      <c r="H92" s="90"/>
      <c r="I92" s="8"/>
      <c r="J92" s="9"/>
    </row>
    <row r="93" ht="13.5" customHeight="1">
      <c r="A93" s="92"/>
      <c r="B93" s="90"/>
      <c r="C93" s="90"/>
      <c r="D93" s="90"/>
      <c r="E93" s="90"/>
      <c r="F93" s="90"/>
      <c r="G93" s="90"/>
      <c r="H93" s="90"/>
      <c r="I93" s="8"/>
      <c r="J93" s="9"/>
    </row>
    <row r="94" ht="13.5" customHeight="1">
      <c r="A94" s="92"/>
      <c r="B94" s="90"/>
      <c r="C94" s="90"/>
      <c r="D94" s="90"/>
      <c r="E94" s="90"/>
      <c r="F94" s="90"/>
      <c r="G94" s="90"/>
      <c r="H94" s="90"/>
      <c r="I94" s="8"/>
      <c r="J94" s="9"/>
    </row>
    <row r="95" ht="13.5" customHeight="1">
      <c r="A95" s="92"/>
      <c r="B95" s="90"/>
      <c r="C95" s="90"/>
      <c r="D95" s="90"/>
      <c r="E95" s="90"/>
      <c r="F95" s="90"/>
      <c r="G95" s="90"/>
      <c r="H95" s="90"/>
      <c r="I95" s="8"/>
      <c r="J95" s="9"/>
    </row>
    <row r="96" ht="13.5" customHeight="1">
      <c r="A96" s="92"/>
      <c r="B96" s="90"/>
      <c r="C96" s="90"/>
      <c r="D96" s="90"/>
      <c r="E96" s="90"/>
      <c r="F96" s="90"/>
      <c r="G96" s="90"/>
      <c r="H96" s="90"/>
      <c r="I96" s="8"/>
      <c r="J96" s="9"/>
    </row>
    <row r="97" ht="13.5" customHeight="1">
      <c r="A97" s="98"/>
      <c r="B97" s="99"/>
      <c r="C97" s="99"/>
      <c r="D97" s="99"/>
      <c r="E97" s="99"/>
      <c r="F97" s="99"/>
      <c r="G97" s="99"/>
      <c r="H97" s="99"/>
      <c r="I97" s="34"/>
      <c r="J97" s="35"/>
    </row>
  </sheetData>
  <mergeCells count="33">
    <mergeCell ref="A4:H4"/>
    <mergeCell ref="A29:B29"/>
    <mergeCell ref="A12:B12"/>
    <mergeCell ref="A8:B8"/>
    <mergeCell ref="A13:B13"/>
    <mergeCell ref="A17:B17"/>
    <mergeCell ref="A21:B21"/>
    <mergeCell ref="A25:B25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I38"/>
  <sheetViews>
    <sheetView workbookViewId="0" showGridLines="0" defaultGridColor="1"/>
  </sheetViews>
  <sheetFormatPr defaultColWidth="6.5" defaultRowHeight="13.5" customHeight="1" outlineLevelRow="0" outlineLevelCol="0"/>
  <cols>
    <col min="1" max="1" width="30.375" style="174" customWidth="1"/>
    <col min="2" max="2" width="5.875" style="174" customWidth="1"/>
    <col min="3" max="3" width="8.625" style="174" customWidth="1"/>
    <col min="4" max="4" width="8.625" style="174" customWidth="1"/>
    <col min="5" max="5" width="8.625" style="174" customWidth="1"/>
    <col min="6" max="6" width="8.625" style="174" customWidth="1"/>
    <col min="7" max="7" width="8.625" style="174" customWidth="1"/>
    <col min="8" max="8" width="8.625" style="174" customWidth="1"/>
    <col min="9" max="9" width="8.625" style="174" customWidth="1"/>
    <col min="10" max="256" width="6.5" style="174" customWidth="1"/>
  </cols>
  <sheetData>
    <row r="1" ht="14.25" customHeight="1">
      <c r="A1" s="102"/>
      <c r="B1" s="103"/>
      <c r="C1" s="104"/>
      <c r="D1" s="104"/>
      <c r="E1" s="104"/>
      <c r="F1" s="104"/>
      <c r="G1" t="s" s="105">
        <v>97</v>
      </c>
      <c r="H1" t="s" s="40">
        <f>'Pressupostos'!E1</f>
        <v>58</v>
      </c>
      <c r="I1" s="5"/>
    </row>
    <row r="2" ht="13.5" customHeight="1">
      <c r="A2" s="109"/>
      <c r="B2" s="107"/>
      <c r="C2" s="107"/>
      <c r="D2" s="107"/>
      <c r="E2" s="107"/>
      <c r="F2" s="107"/>
      <c r="G2" s="107"/>
      <c r="H2" t="s" s="108">
        <f>'Pressupostos'!B9</f>
        <v>25</v>
      </c>
      <c r="I2" s="91"/>
    </row>
    <row r="3" ht="13.5" customHeight="1">
      <c r="A3" s="109"/>
      <c r="B3" s="107"/>
      <c r="C3" s="107"/>
      <c r="D3" s="107"/>
      <c r="E3" s="107"/>
      <c r="F3" s="107"/>
      <c r="G3" s="107"/>
      <c r="H3" s="110"/>
      <c r="I3" s="91"/>
    </row>
    <row r="4" ht="16.5" customHeight="1">
      <c r="A4" t="s" s="42">
        <v>98</v>
      </c>
      <c r="B4" s="11"/>
      <c r="C4" s="11"/>
      <c r="D4" s="11"/>
      <c r="E4" s="11"/>
      <c r="F4" s="11"/>
      <c r="G4" s="11"/>
      <c r="H4" s="11"/>
      <c r="I4" s="91"/>
    </row>
    <row r="5" ht="13.5" customHeight="1">
      <c r="A5" s="111"/>
      <c r="B5" s="112"/>
      <c r="C5" s="112"/>
      <c r="D5" s="112"/>
      <c r="E5" s="112"/>
      <c r="F5" s="112"/>
      <c r="G5" s="112"/>
      <c r="H5" s="112"/>
      <c r="I5" s="91"/>
    </row>
    <row r="6" ht="13.5" customHeight="1">
      <c r="A6" s="48"/>
      <c r="B6" s="49"/>
      <c r="C6" s="150"/>
      <c r="D6" s="150"/>
      <c r="E6" s="150"/>
      <c r="F6" s="150"/>
      <c r="G6" s="150"/>
      <c r="H6" s="150"/>
      <c r="I6" s="91"/>
    </row>
    <row r="7" ht="25.5" customHeight="1">
      <c r="A7" t="s" s="175">
        <v>99</v>
      </c>
      <c r="B7" t="s" s="176">
        <v>100</v>
      </c>
      <c r="C7" s="177">
        <f>'VN'!C8</f>
        <v>2015</v>
      </c>
      <c r="D7" s="177">
        <f>'VN'!D8</f>
        <v>2016</v>
      </c>
      <c r="E7" s="177">
        <f>'VN'!E8</f>
        <v>2017</v>
      </c>
      <c r="F7" s="177">
        <f>'VN'!F8</f>
        <v>2018</v>
      </c>
      <c r="G7" s="177">
        <f>'VN'!G8</f>
        <v>2019</v>
      </c>
      <c r="H7" s="177">
        <f>'VN'!H8</f>
        <v>2020</v>
      </c>
      <c r="I7" s="178"/>
    </row>
    <row r="8" ht="13.5" customHeight="1">
      <c r="A8" t="s" s="175">
        <v>101</v>
      </c>
      <c r="B8" s="179"/>
      <c r="C8" s="180">
        <f>SUM(C9:C12)</f>
        <v>0</v>
      </c>
      <c r="D8" s="180">
        <f>SUM(D9:D12)</f>
        <v>0</v>
      </c>
      <c r="E8" s="180">
        <f>SUM(E9:E12)</f>
        <v>0</v>
      </c>
      <c r="F8" s="180">
        <f>SUM(F9:F12)</f>
        <v>0</v>
      </c>
      <c r="G8" s="180">
        <f>SUM(G9:G12)</f>
        <v>0</v>
      </c>
      <c r="H8" s="180">
        <f>SUM(H9:H12)</f>
        <v>0</v>
      </c>
      <c r="I8" s="178"/>
    </row>
    <row r="9" ht="13.5" customHeight="1">
      <c r="A9" t="s" s="181">
        <f>'VN'!A13</f>
        <v>63</v>
      </c>
      <c r="B9" s="182"/>
      <c r="C9" s="183">
        <f>'VN'!C13*(1-$B$9)</f>
        <v>0</v>
      </c>
      <c r="D9" s="183">
        <f>'VN'!D13*(1-$B$9)</f>
        <v>0</v>
      </c>
      <c r="E9" s="183">
        <f>'VN'!E13*(1-$B$9)</f>
        <v>0</v>
      </c>
      <c r="F9" s="183">
        <f>'VN'!F13*(1-$B$9)</f>
        <v>0</v>
      </c>
      <c r="G9" s="183">
        <f>'VN'!G13*(1-$B$9)</f>
        <v>0</v>
      </c>
      <c r="H9" s="183">
        <f>'VN'!H13*(1-$B$9)</f>
        <v>0</v>
      </c>
      <c r="I9" s="178"/>
    </row>
    <row r="10" ht="13.5" customHeight="1">
      <c r="A10" t="s" s="181">
        <f>'VN'!A17</f>
        <v>67</v>
      </c>
      <c r="B10" s="182"/>
      <c r="C10" s="183">
        <f>'VN'!C17*(1-$B$10)</f>
        <v>0</v>
      </c>
      <c r="D10" s="183">
        <f>'VN'!D17*(1-$B$10)</f>
        <v>0</v>
      </c>
      <c r="E10" s="183">
        <f>'VN'!E17*(1-$B$10)</f>
        <v>0</v>
      </c>
      <c r="F10" s="183">
        <f>'VN'!F17*(1-$B$10)</f>
        <v>0</v>
      </c>
      <c r="G10" s="183">
        <f>'VN'!G17*(1-$B$10)</f>
        <v>0</v>
      </c>
      <c r="H10" s="183">
        <f>'VN'!H17*(1-$B$10)</f>
        <v>0</v>
      </c>
      <c r="I10" s="178"/>
    </row>
    <row r="11" ht="13.5" customHeight="1">
      <c r="A11" t="s" s="181">
        <f>'VN'!A21</f>
        <v>68</v>
      </c>
      <c r="B11" s="182"/>
      <c r="C11" s="183">
        <f>'VN'!C21*(1-$B$11)</f>
        <v>0</v>
      </c>
      <c r="D11" s="183">
        <f>'VN'!D21*(1-$B$11)</f>
        <v>0</v>
      </c>
      <c r="E11" s="183">
        <f>'VN'!E21*(1-$B$11)</f>
        <v>0</v>
      </c>
      <c r="F11" s="183">
        <f>'VN'!F21*(1-$B$11)</f>
        <v>0</v>
      </c>
      <c r="G11" s="183">
        <f>'VN'!G21*(1-$B$11)</f>
        <v>0</v>
      </c>
      <c r="H11" s="183">
        <f>'VN'!H21*(1-$B$11)</f>
        <v>0</v>
      </c>
      <c r="I11" s="178"/>
    </row>
    <row r="12" ht="13.5" customHeight="1">
      <c r="A12" t="s" s="181">
        <f>'VN'!A25</f>
        <v>69</v>
      </c>
      <c r="B12" s="182"/>
      <c r="C12" s="183">
        <f>'VN'!C25*(1-$B$12)</f>
        <v>0</v>
      </c>
      <c r="D12" s="183">
        <f>'VN'!D25*(1-$B$12)</f>
        <v>0</v>
      </c>
      <c r="E12" s="183">
        <f>'VN'!E25*(1-$B$12)</f>
        <v>0</v>
      </c>
      <c r="F12" s="183">
        <f>'VN'!F25*(1-$B$12)</f>
        <v>0</v>
      </c>
      <c r="G12" s="183">
        <f>'VN'!G25*(1-$B$12)</f>
        <v>0</v>
      </c>
      <c r="H12" s="183">
        <f>'VN'!H25*(1-$B$12)</f>
        <v>0</v>
      </c>
      <c r="I12" s="178"/>
    </row>
    <row r="13" ht="13.5" customHeight="1">
      <c r="A13" t="s" s="175">
        <v>102</v>
      </c>
      <c r="B13" s="184"/>
      <c r="C13" s="185">
        <f>C15+C14</f>
        <v>0</v>
      </c>
      <c r="D13" s="185">
        <f>D15+D14</f>
        <v>0</v>
      </c>
      <c r="E13" s="185">
        <f>E15+E14</f>
        <v>0</v>
      </c>
      <c r="F13" s="185">
        <f>F15+F14</f>
        <v>0</v>
      </c>
      <c r="G13" s="185">
        <f>G15+G14</f>
        <v>0</v>
      </c>
      <c r="H13" s="185">
        <f>H15+H14</f>
        <v>0</v>
      </c>
      <c r="I13" s="178"/>
    </row>
    <row r="14" ht="13.5" customHeight="1">
      <c r="A14" t="s" s="181">
        <f>'VN'!A33</f>
        <v>63</v>
      </c>
      <c r="B14" s="182"/>
      <c r="C14" s="183">
        <f>'VN'!C33*(1-$B$14)</f>
        <v>0</v>
      </c>
      <c r="D14" s="183">
        <f>'VN'!D33*(1-$B$14)</f>
        <v>0</v>
      </c>
      <c r="E14" s="183">
        <f>'VN'!E33*(1-$B$14)</f>
        <v>0</v>
      </c>
      <c r="F14" s="183">
        <f>'VN'!F33*(1-$B$14)</f>
        <v>0</v>
      </c>
      <c r="G14" s="183">
        <f>'VN'!G33*(1-$B$14)</f>
        <v>0</v>
      </c>
      <c r="H14" s="183">
        <f>'VN'!H33*(1-$B$14)</f>
        <v>0</v>
      </c>
      <c r="I14" s="178"/>
    </row>
    <row r="15" ht="13.5" customHeight="1">
      <c r="A15" t="s" s="181">
        <f>'VN'!A37</f>
        <v>67</v>
      </c>
      <c r="B15" s="182"/>
      <c r="C15" s="183">
        <f>'VN'!C37*(1-$B$15)</f>
        <v>0</v>
      </c>
      <c r="D15" s="183">
        <f>'VN'!D37*(1-$B$15)</f>
        <v>0</v>
      </c>
      <c r="E15" s="183">
        <f>'VN'!E37*(1-$B$15)</f>
        <v>0</v>
      </c>
      <c r="F15" s="183">
        <f>'VN'!F37*(1-$B$15)</f>
        <v>0</v>
      </c>
      <c r="G15" s="183">
        <f>'VN'!G37*(1-$B$15)</f>
        <v>0</v>
      </c>
      <c r="H15" s="183">
        <f>'VN'!H37*(1-$B$15)</f>
        <v>0</v>
      </c>
      <c r="I15" s="178"/>
    </row>
    <row r="16" ht="14.25" customHeight="1">
      <c r="A16" t="s" s="125">
        <v>103</v>
      </c>
      <c r="B16" s="121"/>
      <c r="C16" s="186">
        <f>C8+C13</f>
        <v>0</v>
      </c>
      <c r="D16" s="186">
        <f>D8+D13</f>
        <v>0</v>
      </c>
      <c r="E16" s="186">
        <f>E8+E13</f>
        <v>0</v>
      </c>
      <c r="F16" s="186">
        <f>F8+F13</f>
        <v>0</v>
      </c>
      <c r="G16" s="186">
        <f>G8+G13</f>
        <v>0</v>
      </c>
      <c r="H16" s="186">
        <f>H8+H13</f>
        <v>0</v>
      </c>
      <c r="I16" s="178"/>
    </row>
    <row r="17" ht="14.25" customHeight="1">
      <c r="A17" s="187"/>
      <c r="B17" s="188"/>
      <c r="C17" s="189"/>
      <c r="D17" s="189"/>
      <c r="E17" s="189"/>
      <c r="F17" s="189"/>
      <c r="G17" s="189"/>
      <c r="H17" s="189"/>
      <c r="I17" s="91"/>
    </row>
    <row r="18" ht="14.25" customHeight="1">
      <c r="A18" t="s" s="190">
        <v>94</v>
      </c>
      <c r="B18" s="165">
        <f>'Pressupostos'!B19</f>
        <v>0.23</v>
      </c>
      <c r="C18" s="191">
        <f>C8*$B$18</f>
        <v>0</v>
      </c>
      <c r="D18" s="191">
        <f>D8*$B$18</f>
        <v>0</v>
      </c>
      <c r="E18" s="191">
        <f>E8*$B$18</f>
        <v>0</v>
      </c>
      <c r="F18" s="191">
        <f>F8*$B$18</f>
        <v>0</v>
      </c>
      <c r="G18" s="191">
        <f>G8*$B$18</f>
        <v>0</v>
      </c>
      <c r="H18" s="191">
        <f>H8*$B$18</f>
        <v>0</v>
      </c>
      <c r="I18" s="178"/>
    </row>
    <row r="19" ht="14.25" customHeight="1">
      <c r="A19" s="56"/>
      <c r="B19" s="31"/>
      <c r="C19" s="31"/>
      <c r="D19" s="31"/>
      <c r="E19" s="31"/>
      <c r="F19" s="31"/>
      <c r="G19" s="31"/>
      <c r="H19" s="31"/>
      <c r="I19" s="91"/>
    </row>
    <row r="20" ht="14.25" customHeight="1">
      <c r="A20" t="s" s="125">
        <v>104</v>
      </c>
      <c r="B20" s="121"/>
      <c r="C20" s="137">
        <f>C16+C18</f>
        <v>0</v>
      </c>
      <c r="D20" s="137">
        <f>D16+D18</f>
        <v>0</v>
      </c>
      <c r="E20" s="137">
        <f>E16+E18</f>
        <v>0</v>
      </c>
      <c r="F20" s="137">
        <f>F16+F18</f>
        <v>0</v>
      </c>
      <c r="G20" s="137">
        <f>G16+G18</f>
        <v>0</v>
      </c>
      <c r="H20" s="137">
        <f>H16+H18</f>
        <v>0</v>
      </c>
      <c r="I20" s="178"/>
    </row>
    <row r="21" ht="14.25" customHeight="1">
      <c r="A21" s="124"/>
      <c r="B21" s="81"/>
      <c r="C21" s="81"/>
      <c r="D21" s="81"/>
      <c r="E21" s="81"/>
      <c r="F21" s="81"/>
      <c r="G21" s="81"/>
      <c r="H21" s="81"/>
      <c r="I21" s="91"/>
    </row>
    <row r="22" ht="13.5" customHeight="1">
      <c r="A22" s="41"/>
      <c r="B22" s="7"/>
      <c r="C22" s="7"/>
      <c r="D22" s="7"/>
      <c r="E22" s="7"/>
      <c r="F22" s="7"/>
      <c r="G22" s="7"/>
      <c r="H22" s="7"/>
      <c r="I22" s="91"/>
    </row>
    <row r="23" ht="13.5" customHeight="1">
      <c r="A23" t="s" s="192">
        <v>105</v>
      </c>
      <c r="B23" s="7"/>
      <c r="C23" s="7"/>
      <c r="D23" s="7"/>
      <c r="E23" s="7"/>
      <c r="F23" s="7"/>
      <c r="G23" s="7"/>
      <c r="H23" s="7"/>
      <c r="I23" s="91"/>
    </row>
    <row r="24" ht="13.5" customHeight="1">
      <c r="A24" t="s" s="192">
        <v>106</v>
      </c>
      <c r="B24" s="7"/>
      <c r="C24" s="7"/>
      <c r="D24" s="7"/>
      <c r="E24" s="7"/>
      <c r="F24" s="7"/>
      <c r="G24" s="7"/>
      <c r="H24" s="7"/>
      <c r="I24" s="91"/>
    </row>
    <row r="25" ht="13.5" customHeight="1">
      <c r="A25" t="s" s="192">
        <v>107</v>
      </c>
      <c r="B25" s="7"/>
      <c r="C25" s="7"/>
      <c r="D25" s="7"/>
      <c r="E25" s="7"/>
      <c r="F25" s="7"/>
      <c r="G25" s="7"/>
      <c r="H25" s="7"/>
      <c r="I25" s="91"/>
    </row>
    <row r="26" ht="13.5" customHeight="1">
      <c r="A26" t="s" s="192">
        <v>108</v>
      </c>
      <c r="B26" s="7"/>
      <c r="C26" s="7"/>
      <c r="D26" s="7"/>
      <c r="E26" s="7"/>
      <c r="F26" s="7"/>
      <c r="G26" s="7"/>
      <c r="H26" s="7"/>
      <c r="I26" s="91"/>
    </row>
    <row r="27" ht="13.5" customHeight="1">
      <c r="A27" s="193"/>
      <c r="B27" s="7"/>
      <c r="C27" s="7"/>
      <c r="D27" s="7"/>
      <c r="E27" s="7"/>
      <c r="F27" s="7"/>
      <c r="G27" s="7"/>
      <c r="H27" s="7"/>
      <c r="I27" s="91"/>
    </row>
    <row r="28" ht="13.5" customHeight="1">
      <c r="A28" t="s" s="192">
        <v>109</v>
      </c>
      <c r="B28" s="7"/>
      <c r="C28" s="7"/>
      <c r="D28" s="7"/>
      <c r="E28" s="7"/>
      <c r="F28" s="7"/>
      <c r="G28" s="7"/>
      <c r="H28" s="7"/>
      <c r="I28" s="91"/>
    </row>
    <row r="29" ht="13.5" customHeight="1">
      <c r="A29" s="194"/>
      <c r="B29" s="7"/>
      <c r="C29" s="7"/>
      <c r="D29" s="7"/>
      <c r="E29" s="7"/>
      <c r="F29" s="7"/>
      <c r="G29" s="7"/>
      <c r="H29" s="7"/>
      <c r="I29" s="91"/>
    </row>
    <row r="30" ht="13.5" customHeight="1">
      <c r="A30" s="195"/>
      <c r="B30" s="90"/>
      <c r="C30" s="90"/>
      <c r="D30" s="90"/>
      <c r="E30" s="90"/>
      <c r="F30" s="90"/>
      <c r="G30" s="90"/>
      <c r="H30" s="90"/>
      <c r="I30" s="9"/>
    </row>
    <row r="31" ht="13.5" customHeight="1">
      <c r="A31" s="92"/>
      <c r="B31" s="90"/>
      <c r="C31" s="90"/>
      <c r="D31" s="90"/>
      <c r="E31" s="90"/>
      <c r="F31" s="90"/>
      <c r="G31" s="90"/>
      <c r="H31" s="90"/>
      <c r="I31" s="9"/>
    </row>
    <row r="32" ht="13.5" customHeight="1">
      <c r="A32" s="92"/>
      <c r="B32" s="90"/>
      <c r="C32" s="90"/>
      <c r="D32" s="90"/>
      <c r="E32" s="90"/>
      <c r="F32" s="90"/>
      <c r="G32" s="90"/>
      <c r="H32" s="90"/>
      <c r="I32" s="9"/>
    </row>
    <row r="33" ht="13.5" customHeight="1">
      <c r="A33" s="92"/>
      <c r="B33" s="90"/>
      <c r="C33" s="90"/>
      <c r="D33" s="90"/>
      <c r="E33" s="90"/>
      <c r="F33" s="90"/>
      <c r="G33" s="90"/>
      <c r="H33" s="90"/>
      <c r="I33" s="9"/>
    </row>
    <row r="34" ht="13.5" customHeight="1">
      <c r="A34" s="92"/>
      <c r="B34" s="90"/>
      <c r="C34" s="90"/>
      <c r="D34" s="90"/>
      <c r="E34" s="90"/>
      <c r="F34" s="90"/>
      <c r="G34" s="90"/>
      <c r="H34" s="90"/>
      <c r="I34" s="9"/>
    </row>
    <row r="35" ht="13.5" customHeight="1">
      <c r="A35" s="92"/>
      <c r="B35" s="90"/>
      <c r="C35" s="90"/>
      <c r="D35" s="90"/>
      <c r="E35" s="90"/>
      <c r="F35" s="90"/>
      <c r="G35" s="90"/>
      <c r="H35" s="90"/>
      <c r="I35" s="9"/>
    </row>
    <row r="36" ht="13.5" customHeight="1">
      <c r="A36" s="92"/>
      <c r="B36" s="90"/>
      <c r="C36" s="90"/>
      <c r="D36" s="90"/>
      <c r="E36" s="90"/>
      <c r="F36" s="90"/>
      <c r="G36" s="90"/>
      <c r="H36" s="90"/>
      <c r="I36" s="9"/>
    </row>
    <row r="37" ht="13.5" customHeight="1">
      <c r="A37" s="92"/>
      <c r="B37" s="90"/>
      <c r="C37" s="90"/>
      <c r="D37" s="90"/>
      <c r="E37" s="90"/>
      <c r="F37" s="90"/>
      <c r="G37" s="90"/>
      <c r="H37" s="90"/>
      <c r="I37" s="9"/>
    </row>
    <row r="38" ht="13.5" customHeight="1">
      <c r="A38" s="98"/>
      <c r="B38" s="99"/>
      <c r="C38" s="99"/>
      <c r="D38" s="99"/>
      <c r="E38" s="99"/>
      <c r="F38" s="99"/>
      <c r="G38" s="99"/>
      <c r="H38" s="99"/>
      <c r="I38" s="35"/>
    </row>
  </sheetData>
  <mergeCells count="3">
    <mergeCell ref="A4:H4"/>
    <mergeCell ref="A16:B16"/>
    <mergeCell ref="A20:B20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K53"/>
  <sheetViews>
    <sheetView workbookViewId="0" showGridLines="0" defaultGridColor="1"/>
  </sheetViews>
  <sheetFormatPr defaultColWidth="6.5" defaultRowHeight="12.75" customHeight="1" outlineLevelRow="0" outlineLevelCol="0"/>
  <cols>
    <col min="1" max="1" width="22.25" style="196" customWidth="1"/>
    <col min="2" max="2" width="4.875" style="196" customWidth="1"/>
    <col min="3" max="3" width="4.875" style="196" customWidth="1"/>
    <col min="4" max="4" width="4.875" style="196" customWidth="1"/>
    <col min="5" max="5" width="8.875" style="196" customWidth="1"/>
    <col min="6" max="6" width="8.625" style="196" customWidth="1"/>
    <col min="7" max="7" width="8.625" style="196" customWidth="1"/>
    <col min="8" max="8" width="8.625" style="196" customWidth="1"/>
    <col min="9" max="9" width="8.625" style="196" customWidth="1"/>
    <col min="10" max="10" width="8.625" style="196" customWidth="1"/>
    <col min="11" max="11" width="8.625" style="196" customWidth="1"/>
    <col min="12" max="256" width="6.5" style="196" customWidth="1"/>
  </cols>
  <sheetData>
    <row r="1" ht="13.5" customHeight="1">
      <c r="A1" s="197"/>
      <c r="B1" s="3"/>
      <c r="C1" s="3"/>
      <c r="D1" s="3"/>
      <c r="E1" s="104"/>
      <c r="F1" s="104"/>
      <c r="G1" s="104"/>
      <c r="H1" s="104"/>
      <c r="I1" s="104"/>
      <c r="J1" t="s" s="198">
        <f>'VN'!G1</f>
        <v>20</v>
      </c>
      <c r="K1" t="s" s="199">
        <f>'Pressupostos'!E1</f>
        <v>58</v>
      </c>
    </row>
    <row r="2" ht="12.75" customHeight="1">
      <c r="A2" s="109"/>
      <c r="B2" s="200"/>
      <c r="C2" s="200"/>
      <c r="D2" s="200"/>
      <c r="E2" s="107"/>
      <c r="F2" s="107"/>
      <c r="G2" s="107"/>
      <c r="H2" s="107"/>
      <c r="I2" s="107"/>
      <c r="J2" s="107"/>
      <c r="K2" t="s" s="201">
        <f>'Pressupostos'!B9</f>
        <v>25</v>
      </c>
    </row>
    <row r="3" ht="12.75" customHeight="1">
      <c r="A3" s="109"/>
      <c r="B3" s="200"/>
      <c r="C3" s="200"/>
      <c r="D3" s="200"/>
      <c r="E3" s="107"/>
      <c r="F3" s="107"/>
      <c r="G3" s="107"/>
      <c r="H3" s="107"/>
      <c r="I3" s="107"/>
      <c r="J3" s="107"/>
      <c r="K3" s="202"/>
    </row>
    <row r="4" ht="15.75" customHeight="1">
      <c r="A4" t="s" s="42">
        <v>110</v>
      </c>
      <c r="B4" s="11"/>
      <c r="C4" s="11"/>
      <c r="D4" s="11"/>
      <c r="E4" s="11"/>
      <c r="F4" s="11"/>
      <c r="G4" s="11"/>
      <c r="H4" s="11"/>
      <c r="I4" s="11"/>
      <c r="J4" s="11"/>
      <c r="K4" s="203"/>
    </row>
    <row r="5" ht="12.75" customHeight="1">
      <c r="A5" s="43"/>
      <c r="B5" s="12"/>
      <c r="C5" s="12"/>
      <c r="D5" s="12"/>
      <c r="E5" s="12"/>
      <c r="F5" s="12"/>
      <c r="G5" s="12"/>
      <c r="H5" s="12"/>
      <c r="I5" s="12"/>
      <c r="J5" s="12"/>
      <c r="K5" s="204"/>
    </row>
    <row r="6" ht="12.75" customHeight="1">
      <c r="A6" s="48"/>
      <c r="B6" s="49"/>
      <c r="C6" s="49"/>
      <c r="D6" s="49"/>
      <c r="E6" s="49"/>
      <c r="F6" s="49"/>
      <c r="G6" s="49"/>
      <c r="H6" s="49"/>
      <c r="I6" s="49"/>
      <c r="J6" s="49"/>
      <c r="K6" s="205"/>
    </row>
    <row r="7" ht="12.75" customHeight="1">
      <c r="A7" s="117"/>
      <c r="B7" s="206"/>
      <c r="C7" s="206"/>
      <c r="D7" s="206"/>
      <c r="E7" s="118"/>
      <c r="F7" s="119">
        <f>'VN'!C8</f>
        <v>2015</v>
      </c>
      <c r="G7" s="119">
        <f>'VN'!D8</f>
        <v>2016</v>
      </c>
      <c r="H7" s="119">
        <f>'VN'!E8</f>
        <v>2017</v>
      </c>
      <c r="I7" s="119">
        <f>'VN'!F8</f>
        <v>2018</v>
      </c>
      <c r="J7" s="119">
        <f>'VN'!G8</f>
        <v>2019</v>
      </c>
      <c r="K7" s="119">
        <f>'VN'!H8</f>
        <v>2020</v>
      </c>
    </row>
    <row r="8" ht="12.75" customHeight="1">
      <c r="A8" t="s" s="207">
        <v>111</v>
      </c>
      <c r="B8" s="208"/>
      <c r="C8" s="208"/>
      <c r="D8" s="208"/>
      <c r="E8" s="209"/>
      <c r="F8" s="210">
        <v>4</v>
      </c>
      <c r="G8" s="211">
        <v>12</v>
      </c>
      <c r="H8" s="211">
        <v>12</v>
      </c>
      <c r="I8" s="211">
        <v>12</v>
      </c>
      <c r="J8" s="211">
        <v>12</v>
      </c>
      <c r="K8" s="211">
        <v>12</v>
      </c>
    </row>
    <row r="9" ht="12.75" customHeight="1">
      <c r="A9" t="s" s="207">
        <v>112</v>
      </c>
      <c r="B9" s="208"/>
      <c r="C9" s="208"/>
      <c r="D9" s="208"/>
      <c r="E9" s="209"/>
      <c r="F9" s="165">
        <v>0</v>
      </c>
      <c r="G9" s="123">
        <v>0.03</v>
      </c>
      <c r="H9" s="123">
        <v>0.03</v>
      </c>
      <c r="I9" s="123">
        <v>0.03</v>
      </c>
      <c r="J9" s="123">
        <v>0.03</v>
      </c>
      <c r="K9" s="123">
        <v>0.03</v>
      </c>
    </row>
    <row r="10" ht="12.75" customHeight="1">
      <c r="A10" s="124"/>
      <c r="B10" s="81"/>
      <c r="C10" s="81"/>
      <c r="D10" s="81"/>
      <c r="E10" s="81"/>
      <c r="F10" s="81"/>
      <c r="G10" s="81"/>
      <c r="H10" s="81"/>
      <c r="I10" s="81"/>
      <c r="J10" s="81"/>
      <c r="K10" s="212"/>
    </row>
    <row r="11" ht="12.75" customHeight="1">
      <c r="A11" s="48"/>
      <c r="B11" s="49"/>
      <c r="C11" s="49"/>
      <c r="D11" s="49"/>
      <c r="E11" s="49"/>
      <c r="F11" s="150"/>
      <c r="G11" s="150"/>
      <c r="H11" s="150"/>
      <c r="I11" s="150"/>
      <c r="J11" s="150"/>
      <c r="K11" s="213"/>
    </row>
    <row r="12" ht="12.75" customHeight="1">
      <c r="A12" s="214"/>
      <c r="B12" t="s" s="119">
        <v>113</v>
      </c>
      <c r="C12" t="s" s="119">
        <v>114</v>
      </c>
      <c r="D12" t="s" s="119">
        <v>115</v>
      </c>
      <c r="E12" t="s" s="119">
        <v>116</v>
      </c>
      <c r="F12" s="119">
        <f>'VN'!C8</f>
        <v>2015</v>
      </c>
      <c r="G12" s="119">
        <f>'VN'!D8</f>
        <v>2016</v>
      </c>
      <c r="H12" s="119">
        <f>'VN'!E8</f>
        <v>2017</v>
      </c>
      <c r="I12" s="119">
        <f>'VN'!F8</f>
        <v>2018</v>
      </c>
      <c r="J12" s="119">
        <f>'VN'!G8</f>
        <v>2019</v>
      </c>
      <c r="K12" s="119">
        <f>'VN'!H8</f>
        <v>2020</v>
      </c>
    </row>
    <row r="13" ht="12.75" customHeight="1">
      <c r="A13" t="s" s="53">
        <v>117</v>
      </c>
      <c r="B13" s="63">
        <f t="shared" si="15" ref="B13:B42">'Pressupostos'!$B$20</f>
        <v>0.23</v>
      </c>
      <c r="C13" s="215">
        <f>100%-D13</f>
        <v>1</v>
      </c>
      <c r="D13" s="63">
        <v>0</v>
      </c>
      <c r="E13" s="216"/>
      <c r="F13" s="217">
        <f>E13*$F$8</f>
        <v>0</v>
      </c>
      <c r="G13" s="217">
        <f>E13*$G$8*(1+$G$9)</f>
        <v>0</v>
      </c>
      <c r="H13" s="217">
        <f>G13*(1+$H$9)</f>
        <v>0</v>
      </c>
      <c r="I13" s="217">
        <f>H13*(1+$I$9)</f>
        <v>0</v>
      </c>
      <c r="J13" s="217">
        <f>I13*(1+$J$9)</f>
        <v>0</v>
      </c>
      <c r="K13" s="217">
        <f>J13*(1+$K$9)</f>
        <v>0</v>
      </c>
    </row>
    <row r="14" ht="12.75" customHeight="1">
      <c r="A14" t="s" s="53">
        <v>118</v>
      </c>
      <c r="B14" s="165"/>
      <c r="C14" s="218"/>
      <c r="D14" s="218"/>
      <c r="E14" s="218"/>
      <c r="F14" s="218"/>
      <c r="G14" s="218"/>
      <c r="H14" s="218"/>
      <c r="I14" s="218"/>
      <c r="J14" s="218"/>
      <c r="K14" s="218"/>
    </row>
    <row r="15" ht="12.75" customHeight="1">
      <c r="A15" t="s" s="219">
        <v>119</v>
      </c>
      <c r="B15" s="63">
        <f t="shared" si="15"/>
        <v>0.23</v>
      </c>
      <c r="C15" s="215">
        <f>100%-D15</f>
        <v>1</v>
      </c>
      <c r="D15" s="63">
        <v>0</v>
      </c>
      <c r="E15" s="216">
        <v>5</v>
      </c>
      <c r="F15" s="217">
        <f>E15*$F$8</f>
        <v>20</v>
      </c>
      <c r="G15" s="217">
        <f>E15*$G$8*(1+$G$9)</f>
        <v>61.8</v>
      </c>
      <c r="H15" s="217">
        <f>G15*(1+$H$9)</f>
        <v>63.654</v>
      </c>
      <c r="I15" s="217">
        <f>H15*(1+$I$9)</f>
        <v>65.56362</v>
      </c>
      <c r="J15" s="217">
        <f>I15*(1+$J$9)</f>
        <v>67.5305286</v>
      </c>
      <c r="K15" s="217">
        <f>J15*(1+$K$9)</f>
        <v>69.556444458</v>
      </c>
    </row>
    <row r="16" ht="12.75" customHeight="1">
      <c r="A16" t="s" s="219">
        <v>120</v>
      </c>
      <c r="B16" s="63">
        <f t="shared" si="15"/>
        <v>0.23</v>
      </c>
      <c r="C16" s="215">
        <f>100%-D16</f>
        <v>1</v>
      </c>
      <c r="D16" s="63"/>
      <c r="E16" s="216">
        <v>5</v>
      </c>
      <c r="F16" s="217">
        <f>E16*$F$8</f>
        <v>20</v>
      </c>
      <c r="G16" s="217">
        <f>E16*$G$8*(1+$G$9)</f>
        <v>61.8</v>
      </c>
      <c r="H16" s="217">
        <f>G16*(1+$H$9)</f>
        <v>63.654</v>
      </c>
      <c r="I16" s="217">
        <f>H16*(1+$I$9)</f>
        <v>65.56362</v>
      </c>
      <c r="J16" s="217">
        <f>I16*(1+$J$9)</f>
        <v>67.5305286</v>
      </c>
      <c r="K16" s="217">
        <f>J16*(1+$K$9)</f>
        <v>69.556444458</v>
      </c>
    </row>
    <row r="17" ht="12.75" customHeight="1">
      <c r="A17" t="s" s="219">
        <v>121</v>
      </c>
      <c r="B17" s="63">
        <f t="shared" si="15"/>
        <v>0.23</v>
      </c>
      <c r="C17" s="215">
        <f>100%-D17</f>
        <v>1</v>
      </c>
      <c r="D17" s="63"/>
      <c r="E17" s="216"/>
      <c r="F17" s="217">
        <f>E17*$F$8</f>
        <v>0</v>
      </c>
      <c r="G17" s="217">
        <f>E17*$G$8*(1+$G$9)</f>
        <v>0</v>
      </c>
      <c r="H17" s="217">
        <f>G17*(1+$H$9)</f>
        <v>0</v>
      </c>
      <c r="I17" s="217">
        <f>H17*(1+$I$9)</f>
        <v>0</v>
      </c>
      <c r="J17" s="217">
        <f>I17*(1+$J$9)</f>
        <v>0</v>
      </c>
      <c r="K17" s="217">
        <f>J17*(1+$K$9)</f>
        <v>0</v>
      </c>
    </row>
    <row r="18" ht="12.75" customHeight="1">
      <c r="A18" t="s" s="219">
        <v>122</v>
      </c>
      <c r="B18" s="63">
        <f t="shared" si="15"/>
        <v>0.23</v>
      </c>
      <c r="C18" s="215">
        <f>100%-D18</f>
        <v>1</v>
      </c>
      <c r="D18" s="63"/>
      <c r="E18" s="216">
        <v>12.5</v>
      </c>
      <c r="F18" s="217">
        <f>E18*$F$8</f>
        <v>50</v>
      </c>
      <c r="G18" s="217">
        <f>E18*$G$8*(1+$G$9)</f>
        <v>154.5</v>
      </c>
      <c r="H18" s="217">
        <f>G18*(1+$H$9)</f>
        <v>159.135</v>
      </c>
      <c r="I18" s="217">
        <f>H18*(1+$I$9)</f>
        <v>163.90905</v>
      </c>
      <c r="J18" s="217">
        <f>I18*(1+$J$9)</f>
        <v>168.8263215</v>
      </c>
      <c r="K18" s="217">
        <f>J18*(1+$K$9)</f>
        <v>173.891111145</v>
      </c>
    </row>
    <row r="19" ht="12.75" customHeight="1">
      <c r="A19" t="s" s="219">
        <v>123</v>
      </c>
      <c r="B19" s="63">
        <f t="shared" si="15"/>
        <v>0.23</v>
      </c>
      <c r="C19" s="215">
        <f>100%-D19</f>
        <v>1</v>
      </c>
      <c r="D19" s="63"/>
      <c r="E19" s="216">
        <v>15</v>
      </c>
      <c r="F19" s="217">
        <f>E19*$F$8</f>
        <v>60</v>
      </c>
      <c r="G19" s="217">
        <f>E19*$G$8*(1+$G$9)</f>
        <v>185.4</v>
      </c>
      <c r="H19" s="217">
        <f>G19*(1+$H$9)</f>
        <v>190.962</v>
      </c>
      <c r="I19" s="217">
        <f>H19*(1+$I$9)</f>
        <v>196.69086</v>
      </c>
      <c r="J19" s="217">
        <f>I19*(1+$J$9)</f>
        <v>202.5915858</v>
      </c>
      <c r="K19" s="217">
        <f>J19*(1+$K$9)</f>
        <v>208.669333374</v>
      </c>
    </row>
    <row r="20" ht="12.75" customHeight="1">
      <c r="A20" t="s" s="219">
        <v>124</v>
      </c>
      <c r="B20" s="63">
        <f t="shared" si="15"/>
        <v>0.23</v>
      </c>
      <c r="C20" s="215">
        <f>100%-D20</f>
        <v>1</v>
      </c>
      <c r="D20" s="63"/>
      <c r="E20" s="216">
        <v>40</v>
      </c>
      <c r="F20" s="217">
        <f>E20*$F$8</f>
        <v>160</v>
      </c>
      <c r="G20" s="217">
        <f>E20*$G$8*(1+$G$9)</f>
        <v>494.4</v>
      </c>
      <c r="H20" s="217">
        <f>G20*(1+$H$9)</f>
        <v>509.232</v>
      </c>
      <c r="I20" s="217">
        <f>H20*(1+$I$9)</f>
        <v>524.50896</v>
      </c>
      <c r="J20" s="217">
        <f>I20*(1+$J$9)</f>
        <v>540.2442288</v>
      </c>
      <c r="K20" s="217">
        <f>J20*(1+$K$9)</f>
        <v>556.451555664</v>
      </c>
    </row>
    <row r="21" ht="12.75" customHeight="1">
      <c r="A21" t="s" s="53">
        <v>125</v>
      </c>
      <c r="B21" s="165"/>
      <c r="C21" s="215"/>
      <c r="D21" s="165"/>
      <c r="E21" s="218"/>
      <c r="F21" s="218"/>
      <c r="G21" s="218"/>
      <c r="H21" s="218"/>
      <c r="I21" s="218"/>
      <c r="J21" s="218"/>
      <c r="K21" s="218"/>
    </row>
    <row r="22" ht="12.75" customHeight="1">
      <c r="A22" t="s" s="219">
        <v>126</v>
      </c>
      <c r="B22" s="63">
        <f t="shared" si="15"/>
        <v>0.23</v>
      </c>
      <c r="C22" s="215">
        <f>100%-D22</f>
        <v>1</v>
      </c>
      <c r="D22" s="63"/>
      <c r="E22" s="216">
        <v>25</v>
      </c>
      <c r="F22" s="217">
        <f>(E22*$F$8)</f>
        <v>100</v>
      </c>
      <c r="G22" s="217">
        <f>E22*$G$8*(1+$G$9)</f>
        <v>309</v>
      </c>
      <c r="H22" s="217">
        <f>G22*(1+$H$9)</f>
        <v>318.27</v>
      </c>
      <c r="I22" s="217">
        <f>H22*(1+$I$9)</f>
        <v>327.8181</v>
      </c>
      <c r="J22" s="217">
        <f>I22*(1+$J$9)</f>
        <v>337.652643</v>
      </c>
      <c r="K22" s="217">
        <f>J22*(1+$K$9)</f>
        <v>347.78222229</v>
      </c>
    </row>
    <row r="23" ht="12.75" customHeight="1">
      <c r="A23" t="s" s="219">
        <v>127</v>
      </c>
      <c r="B23" s="63">
        <f t="shared" si="15"/>
        <v>0.23</v>
      </c>
      <c r="C23" s="215">
        <f>100%-D23</f>
        <v>1</v>
      </c>
      <c r="D23" s="63"/>
      <c r="E23" s="216"/>
      <c r="F23" s="217">
        <f>(E23*$F$8)</f>
        <v>0</v>
      </c>
      <c r="G23" s="217">
        <f>E23*$G$8*(1+$G$9)</f>
        <v>0</v>
      </c>
      <c r="H23" s="217">
        <f>G23*(1+$H$9)</f>
        <v>0</v>
      </c>
      <c r="I23" s="217">
        <f>H23*(1+$I$9)</f>
        <v>0</v>
      </c>
      <c r="J23" s="217">
        <f>I23*(1+$J$9)</f>
        <v>0</v>
      </c>
      <c r="K23" s="217">
        <f>J23*(1+$K$9)</f>
        <v>0</v>
      </c>
    </row>
    <row r="24" ht="12.75" customHeight="1">
      <c r="A24" t="s" s="219">
        <v>128</v>
      </c>
      <c r="B24" s="63">
        <f t="shared" si="15"/>
        <v>0.23</v>
      </c>
      <c r="C24" s="215">
        <f>100%-D24</f>
        <v>1</v>
      </c>
      <c r="D24" s="63"/>
      <c r="E24" s="216">
        <v>5</v>
      </c>
      <c r="F24" s="217">
        <f>(E24*$F$8)</f>
        <v>20</v>
      </c>
      <c r="G24" s="217">
        <f>E24*$G$8*(1+$G$9)</f>
        <v>61.8</v>
      </c>
      <c r="H24" s="217">
        <f>G24*(1+$H$9)</f>
        <v>63.654</v>
      </c>
      <c r="I24" s="217">
        <f>H24*(1+$I$9)</f>
        <v>65.56362</v>
      </c>
      <c r="J24" s="217">
        <f>I24*(1+$J$9)</f>
        <v>67.5305286</v>
      </c>
      <c r="K24" s="217">
        <f>J24*(1+$K$9)</f>
        <v>69.556444458</v>
      </c>
    </row>
    <row r="25" ht="12.75" customHeight="1">
      <c r="A25" t="s" s="219">
        <v>129</v>
      </c>
      <c r="B25" s="63">
        <f t="shared" si="15"/>
        <v>0.23</v>
      </c>
      <c r="C25" s="215">
        <f>100%-D25</f>
        <v>1</v>
      </c>
      <c r="D25" s="63"/>
      <c r="E25" s="216"/>
      <c r="F25" s="217">
        <f>(E25*$F$8)</f>
        <v>0</v>
      </c>
      <c r="G25" s="217">
        <f>E25*$G$8*(1+$G$9)</f>
        <v>0</v>
      </c>
      <c r="H25" s="217">
        <f>G25*(1+$H$9)</f>
        <v>0</v>
      </c>
      <c r="I25" s="217">
        <f>H25*(1+$I$9)</f>
        <v>0</v>
      </c>
      <c r="J25" s="217">
        <f>I25*(1+$J$9)</f>
        <v>0</v>
      </c>
      <c r="K25" s="217">
        <f>J25*(1+$K$9)</f>
        <v>0</v>
      </c>
    </row>
    <row r="26" ht="12.75" customHeight="1">
      <c r="A26" t="s" s="53">
        <v>130</v>
      </c>
      <c r="B26" s="165"/>
      <c r="C26" s="215"/>
      <c r="D26" s="165"/>
      <c r="E26" s="218"/>
      <c r="F26" s="218"/>
      <c r="G26" s="218"/>
      <c r="H26" s="218"/>
      <c r="I26" s="218"/>
      <c r="J26" s="218"/>
      <c r="K26" s="218"/>
    </row>
    <row r="27" ht="12.75" customHeight="1">
      <c r="A27" t="s" s="219">
        <v>131</v>
      </c>
      <c r="B27" s="63">
        <f t="shared" si="15"/>
        <v>0.23</v>
      </c>
      <c r="C27" s="215">
        <f>100%-D27</f>
        <v>1</v>
      </c>
      <c r="D27" s="63"/>
      <c r="E27" s="216"/>
      <c r="F27" s="217">
        <f>(E27*$F$8)/(12)*4</f>
        <v>0</v>
      </c>
      <c r="G27" s="217">
        <f>E27*$G$8*(1+$G$9)</f>
        <v>0</v>
      </c>
      <c r="H27" s="217">
        <f>G27*(1+$H$9)</f>
        <v>0</v>
      </c>
      <c r="I27" s="217">
        <f>H27*(1+$I$9)</f>
        <v>0</v>
      </c>
      <c r="J27" s="217">
        <f>I27*(1+$J$9)</f>
        <v>0</v>
      </c>
      <c r="K27" s="217">
        <f>J27*(1+$K$9)</f>
        <v>0</v>
      </c>
    </row>
    <row r="28" ht="12.75" customHeight="1">
      <c r="A28" t="s" s="219">
        <v>132</v>
      </c>
      <c r="B28" s="63">
        <f t="shared" si="15"/>
        <v>0.23</v>
      </c>
      <c r="C28" s="215">
        <f>100%-D28</f>
        <v>1</v>
      </c>
      <c r="D28" s="63"/>
      <c r="E28" s="216">
        <v>200</v>
      </c>
      <c r="F28" s="217">
        <f>(E28*$F$8)</f>
        <v>800</v>
      </c>
      <c r="G28" s="217">
        <f>E28*$G$8*(1+$G$9)</f>
        <v>2472</v>
      </c>
      <c r="H28" s="217">
        <f>G28*(1+$H$9)</f>
        <v>2546.16</v>
      </c>
      <c r="I28" s="217">
        <f>H28*(1+$I$9)</f>
        <v>2622.5448</v>
      </c>
      <c r="J28" s="217">
        <f>I28*(1+$J$9)</f>
        <v>2701.221144</v>
      </c>
      <c r="K28" s="217">
        <f>J28*(1+$K$9)</f>
        <v>2782.25777832</v>
      </c>
    </row>
    <row r="29" ht="12.75" customHeight="1">
      <c r="A29" t="s" s="219">
        <v>133</v>
      </c>
      <c r="B29" s="63">
        <v>0.06</v>
      </c>
      <c r="C29" s="215">
        <f>100%-D29</f>
        <v>1</v>
      </c>
      <c r="D29" s="63"/>
      <c r="E29" s="216"/>
      <c r="F29" s="217">
        <f>(E29*$F$8)/(12)*4</f>
        <v>0</v>
      </c>
      <c r="G29" s="217">
        <f>E29*$G$8*(1+$G$9)</f>
        <v>0</v>
      </c>
      <c r="H29" s="217">
        <f>G29*(1+$H$9)</f>
        <v>0</v>
      </c>
      <c r="I29" s="217">
        <f>H29*(1+$I$9)</f>
        <v>0</v>
      </c>
      <c r="J29" s="217">
        <f>I29*(1+$J$9)</f>
        <v>0</v>
      </c>
      <c r="K29" s="217">
        <f>J29*(1+$K$9)</f>
        <v>0</v>
      </c>
    </row>
    <row r="30" ht="12.75" customHeight="1">
      <c r="A30" t="s" s="53">
        <v>134</v>
      </c>
      <c r="B30" s="165"/>
      <c r="C30" s="215"/>
      <c r="D30" s="165"/>
      <c r="E30" s="218"/>
      <c r="F30" s="218"/>
      <c r="G30" s="218"/>
      <c r="H30" s="218"/>
      <c r="I30" s="218"/>
      <c r="J30" s="218"/>
      <c r="K30" s="218"/>
    </row>
    <row r="31" ht="12.75" customHeight="1">
      <c r="A31" t="s" s="219">
        <v>135</v>
      </c>
      <c r="B31" s="63">
        <f t="shared" si="15"/>
        <v>0.23</v>
      </c>
      <c r="C31" s="215">
        <f>100%-D31</f>
        <v>1</v>
      </c>
      <c r="D31" s="63"/>
      <c r="E31" s="216">
        <v>35</v>
      </c>
      <c r="F31" s="217">
        <f>E31*$F$8</f>
        <v>140</v>
      </c>
      <c r="G31" s="217">
        <f>E31*$G$8*(1+$G$9)</f>
        <v>432.6</v>
      </c>
      <c r="H31" s="217">
        <f>G31*(1+$H$9)</f>
        <v>445.578</v>
      </c>
      <c r="I31" s="217">
        <f>H31*(1+$I$9)</f>
        <v>458.94534</v>
      </c>
      <c r="J31" s="217">
        <f>I31*(1+$J$9)</f>
        <v>472.7137002000001</v>
      </c>
      <c r="K31" s="217">
        <f>J31*(1+$K$9)</f>
        <v>486.8951112060001</v>
      </c>
    </row>
    <row r="32" ht="12.75" customHeight="1">
      <c r="A32" t="s" s="219">
        <v>136</v>
      </c>
      <c r="B32" s="63">
        <f t="shared" si="15"/>
        <v>0.23</v>
      </c>
      <c r="C32" s="215">
        <f>100%-D32</f>
        <v>1</v>
      </c>
      <c r="D32" s="63"/>
      <c r="E32" s="216"/>
      <c r="F32" s="217">
        <f>E32*$F$8</f>
        <v>0</v>
      </c>
      <c r="G32" s="217">
        <f>E32*$G$8*(1+$G$9)</f>
        <v>0</v>
      </c>
      <c r="H32" s="217">
        <f>G32*(1+$H$9)</f>
        <v>0</v>
      </c>
      <c r="I32" s="217">
        <f>H32*(1+$I$9)</f>
        <v>0</v>
      </c>
      <c r="J32" s="217">
        <f>I32*(1+$J$9)</f>
        <v>0</v>
      </c>
      <c r="K32" s="217">
        <f>J32*(1+$K$9)</f>
        <v>0</v>
      </c>
    </row>
    <row r="33" ht="12.75" customHeight="1">
      <c r="A33" t="s" s="219">
        <v>137</v>
      </c>
      <c r="B33" s="63">
        <f t="shared" si="15"/>
        <v>0.23</v>
      </c>
      <c r="C33" s="215">
        <f>100%-D33</f>
        <v>1</v>
      </c>
      <c r="D33" s="63"/>
      <c r="E33" s="216"/>
      <c r="F33" s="217">
        <f>E33*$F$8</f>
        <v>0</v>
      </c>
      <c r="G33" s="217">
        <f>E33*$G$8*(1+$G$9)</f>
        <v>0</v>
      </c>
      <c r="H33" s="217">
        <f>G33*(1+$H$9)</f>
        <v>0</v>
      </c>
      <c r="I33" s="217">
        <f>H33*(1+$I$9)</f>
        <v>0</v>
      </c>
      <c r="J33" s="217">
        <f>I33*(1+$J$9)</f>
        <v>0</v>
      </c>
      <c r="K33" s="217">
        <f>J33*(1+$K$9)</f>
        <v>0</v>
      </c>
    </row>
    <row r="34" ht="12.75" customHeight="1">
      <c r="A34" t="s" s="219">
        <v>138</v>
      </c>
      <c r="B34" s="165"/>
      <c r="C34" s="215"/>
      <c r="D34" s="165"/>
      <c r="E34" s="218"/>
      <c r="F34" s="218"/>
      <c r="G34" s="218"/>
      <c r="H34" s="218"/>
      <c r="I34" s="218"/>
      <c r="J34" s="218"/>
      <c r="K34" s="218"/>
    </row>
    <row r="35" ht="12.75" customHeight="1">
      <c r="A35" t="s" s="219">
        <v>139</v>
      </c>
      <c r="B35" s="63">
        <f t="shared" si="15"/>
        <v>0.23</v>
      </c>
      <c r="C35" s="215">
        <f>100%-D35</f>
        <v>1</v>
      </c>
      <c r="D35" s="63"/>
      <c r="E35" s="216"/>
      <c r="F35" s="217">
        <f>E35*$F$8</f>
        <v>0</v>
      </c>
      <c r="G35" s="217">
        <f>E35*$G$8*(1+$G$9)</f>
        <v>0</v>
      </c>
      <c r="H35" s="217">
        <f>G35*(1+$H$9)</f>
        <v>0</v>
      </c>
      <c r="I35" s="217">
        <f>H35*(1+$I$9)</f>
        <v>0</v>
      </c>
      <c r="J35" s="217">
        <f>I35*(1+$J$9)</f>
        <v>0</v>
      </c>
      <c r="K35" s="217">
        <f>J35*(1+$K$9)</f>
        <v>0</v>
      </c>
    </row>
    <row r="36" ht="12.75" customHeight="1">
      <c r="A36" t="s" s="219">
        <v>140</v>
      </c>
      <c r="B36" s="63">
        <f t="shared" si="15"/>
        <v>0.23</v>
      </c>
      <c r="C36" s="215">
        <f>100%-D36</f>
        <v>1</v>
      </c>
      <c r="D36" s="63"/>
      <c r="E36" s="216">
        <v>100</v>
      </c>
      <c r="F36" s="217">
        <f>E36*$F$8</f>
        <v>400</v>
      </c>
      <c r="G36" s="217">
        <f>E36*$G$8*(1+$G$9)</f>
        <v>1236</v>
      </c>
      <c r="H36" s="217">
        <f>G36*(1+$H$9)</f>
        <v>1273.08</v>
      </c>
      <c r="I36" s="217">
        <f>H36*(1+$I$9)</f>
        <v>1311.2724</v>
      </c>
      <c r="J36" s="217">
        <f>I36*(1+$J$9)</f>
        <v>1350.610572</v>
      </c>
      <c r="K36" s="217">
        <f>J36*(1+$K$9)</f>
        <v>1391.12888916</v>
      </c>
    </row>
    <row r="37" ht="12.75" customHeight="1">
      <c r="A37" t="s" s="219">
        <v>141</v>
      </c>
      <c r="B37" s="63">
        <v>0</v>
      </c>
      <c r="C37" s="215">
        <f>100%-D37</f>
        <v>1</v>
      </c>
      <c r="D37" s="63"/>
      <c r="E37" s="216">
        <f>45+15+35</f>
        <v>95</v>
      </c>
      <c r="F37" s="217">
        <f>E37*$F$8</f>
        <v>380</v>
      </c>
      <c r="G37" s="217">
        <f>E37*$G$8*(1+$G$9)</f>
        <v>1174.2</v>
      </c>
      <c r="H37" s="217">
        <f>G37*(1+$H$9)</f>
        <v>1209.426</v>
      </c>
      <c r="I37" s="217">
        <f>H37*(1+$I$9)</f>
        <v>1245.70878</v>
      </c>
      <c r="J37" s="217">
        <f>I37*(1+$J$9)</f>
        <v>1283.0800434</v>
      </c>
      <c r="K37" s="217">
        <f>J37*(1+$K$9)</f>
        <v>1321.572444702</v>
      </c>
    </row>
    <row r="38" ht="12.75" customHeight="1">
      <c r="A38" t="s" s="219">
        <v>142</v>
      </c>
      <c r="B38" s="63">
        <f t="shared" si="15"/>
        <v>0.23</v>
      </c>
      <c r="C38" s="215">
        <f>100%-D38</f>
        <v>1</v>
      </c>
      <c r="D38" s="63"/>
      <c r="E38" s="216"/>
      <c r="F38" s="217">
        <f>E38*$F$8</f>
        <v>0</v>
      </c>
      <c r="G38" s="217">
        <f>E38*$G$8*(1+$G$9)</f>
        <v>0</v>
      </c>
      <c r="H38" s="217">
        <f>G38*(1+$H$9)</f>
        <v>0</v>
      </c>
      <c r="I38" s="217">
        <f>H38*(1+$I$9)</f>
        <v>0</v>
      </c>
      <c r="J38" s="217">
        <f>I38*(1+$J$9)</f>
        <v>0</v>
      </c>
      <c r="K38" s="217">
        <f>J38*(1+$K$9)</f>
        <v>0</v>
      </c>
    </row>
    <row r="39" ht="12.75" customHeight="1">
      <c r="A39" t="s" s="219">
        <v>143</v>
      </c>
      <c r="B39" s="63">
        <f t="shared" si="15"/>
        <v>0.23</v>
      </c>
      <c r="C39" s="215">
        <f>100%-D39</f>
        <v>1</v>
      </c>
      <c r="D39" s="63"/>
      <c r="E39" s="216"/>
      <c r="F39" s="217">
        <f>E39*$F$8</f>
        <v>0</v>
      </c>
      <c r="G39" s="217">
        <f>E39*$G$8*(1+$G$9)</f>
        <v>0</v>
      </c>
      <c r="H39" s="217">
        <f>G39*(1+$H$9)</f>
        <v>0</v>
      </c>
      <c r="I39" s="217">
        <f>H39*(1+$I$9)</f>
        <v>0</v>
      </c>
      <c r="J39" s="217">
        <f>I39*(1+$J$9)</f>
        <v>0</v>
      </c>
      <c r="K39" s="217">
        <f>J39*(1+$K$9)</f>
        <v>0</v>
      </c>
    </row>
    <row r="40" ht="12.75" customHeight="1">
      <c r="A40" t="s" s="219">
        <v>144</v>
      </c>
      <c r="B40" s="63">
        <f t="shared" si="15"/>
        <v>0.23</v>
      </c>
      <c r="C40" s="215">
        <f>100%-D40</f>
        <v>1</v>
      </c>
      <c r="D40" s="63"/>
      <c r="E40" s="216"/>
      <c r="F40" s="217">
        <f>E40*$F$8</f>
        <v>0</v>
      </c>
      <c r="G40" s="217">
        <f>E40*$G$8*(1+$G$9)</f>
        <v>0</v>
      </c>
      <c r="H40" s="217">
        <f>G40*(1+$H$9)</f>
        <v>0</v>
      </c>
      <c r="I40" s="217">
        <f>H40*(1+$I$9)</f>
        <v>0</v>
      </c>
      <c r="J40" s="217">
        <f>I40*(1+$J$9)</f>
        <v>0</v>
      </c>
      <c r="K40" s="217">
        <f>J40*(1+$K$9)</f>
        <v>0</v>
      </c>
    </row>
    <row r="41" ht="12.75" customHeight="1">
      <c r="A41" t="s" s="219">
        <v>145</v>
      </c>
      <c r="B41" s="63">
        <f t="shared" si="15"/>
        <v>0.23</v>
      </c>
      <c r="C41" s="215">
        <f>100%-D41</f>
        <v>1</v>
      </c>
      <c r="D41" s="63"/>
      <c r="E41" s="216"/>
      <c r="F41" s="217">
        <f>E41*$F$8</f>
        <v>0</v>
      </c>
      <c r="G41" s="217">
        <f>E41*$G$8*(1+$G$9)</f>
        <v>0</v>
      </c>
      <c r="H41" s="217">
        <f>G41*(1+$H$9)</f>
        <v>0</v>
      </c>
      <c r="I41" s="217">
        <f>H41*(1+$I$9)</f>
        <v>0</v>
      </c>
      <c r="J41" s="217">
        <f>I41*(1+$J$9)</f>
        <v>0</v>
      </c>
      <c r="K41" s="217">
        <f>J41*(1+$K$9)</f>
        <v>0</v>
      </c>
    </row>
    <row r="42" ht="12.75" customHeight="1">
      <c r="A42" t="s" s="53">
        <v>146</v>
      </c>
      <c r="B42" s="63">
        <f t="shared" si="15"/>
        <v>0.23</v>
      </c>
      <c r="C42" s="215">
        <f>100%-D42</f>
        <v>1</v>
      </c>
      <c r="D42" s="63"/>
      <c r="E42" s="216">
        <v>15</v>
      </c>
      <c r="F42" s="217">
        <f>E42*$F$8</f>
        <v>60</v>
      </c>
      <c r="G42" s="217">
        <f>E42*$G$8*(1+$G$9)</f>
        <v>185.4</v>
      </c>
      <c r="H42" s="217">
        <f>G42*(1+$H$9)</f>
        <v>190.962</v>
      </c>
      <c r="I42" s="217">
        <f>H42*(1+$I$9)</f>
        <v>196.69086</v>
      </c>
      <c r="J42" s="217">
        <f>I42*(1+$J$9)</f>
        <v>202.5915858</v>
      </c>
      <c r="K42" s="217">
        <f>J42*(1+$K$9)</f>
        <v>208.669333374</v>
      </c>
    </row>
    <row r="43" ht="15" customHeight="1">
      <c r="A43" t="s" s="120">
        <v>147</v>
      </c>
      <c r="B43" s="206"/>
      <c r="C43" s="206"/>
      <c r="D43" s="206"/>
      <c r="E43" s="118"/>
      <c r="F43" s="220">
        <f>SUM(F13:F42)</f>
        <v>2210</v>
      </c>
      <c r="G43" s="220">
        <f>SUM(G13:G42)</f>
        <v>6828.9</v>
      </c>
      <c r="H43" s="220">
        <f>SUM(H13:H42)</f>
        <v>7033.767000000001</v>
      </c>
      <c r="I43" s="220">
        <f>SUM(I13:I42)</f>
        <v>7244.780009999999</v>
      </c>
      <c r="J43" s="220">
        <f>SUM(J13:J42)</f>
        <v>7462.123410300001</v>
      </c>
      <c r="K43" s="220">
        <f>SUM(K13:K42)</f>
        <v>7685.987112609</v>
      </c>
    </row>
    <row r="44" ht="13.5" customHeight="1">
      <c r="A44" s="56"/>
      <c r="B44" s="31"/>
      <c r="C44" s="31"/>
      <c r="D44" s="31"/>
      <c r="E44" s="31"/>
      <c r="F44" s="221"/>
      <c r="G44" s="221"/>
      <c r="H44" s="221"/>
      <c r="I44" s="221"/>
      <c r="J44" s="221"/>
      <c r="K44" s="222"/>
    </row>
    <row r="45" ht="14.25" customHeight="1">
      <c r="A45" t="s" s="223">
        <v>148</v>
      </c>
      <c r="B45" s="224"/>
      <c r="C45" s="224"/>
      <c r="D45" s="224"/>
      <c r="E45" s="225"/>
      <c r="F45" s="226">
        <f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2210</v>
      </c>
      <c r="G45" s="226">
        <f>(G13*$C$13)+(G15*$C$15)+(G16*$C$16)+(G17*$C$17)+(G18*$C$18)+(G19*$C$19)+(G20*$C$20)+(G22*$C$22)+(G23*$C$23)+(G24*$C$24)+(G25*$C$25)+(G27*$C$27)+(G28*$C$28)+(G29*$C$29)+(G31*$C$31)+(G32*$C$32)+(G33*$C$33)+(G35*$C$35)+(G36*$C$36)+(G37*$C$37)+(G38*$C$38)+(G39*$C$39)+(G40*$C$40)+(G41*$C$41)+(G42*$C$42)</f>
        <v>6828.9</v>
      </c>
      <c r="H45" s="226">
        <f>(H13*$C$13)+(H15*$C$15)+(H16*$C$16)+(H17*$C$17)+(H18*$C$18)+(H19*$C$19)+(H20*$C$20)+(H22*$C$22)+(H23*$C$23)+(H24*$C$24)+(H25*$C$25)+(H27*$C$27)+(H28*$C$28)+(H29*$C$29)+(H31*$C$31)+(H32*$C$32)+(H33*$C$33)+(H35*$C$35)+(H36*$C$36)+(H37*$C$37)+(H38*$C$38)+(H39*$C$39)+(H40*$C$40)+(H41*$C$41)+(H42*$C$42)</f>
        <v>7033.767000000001</v>
      </c>
      <c r="I45" s="226">
        <f>(I13*$C$13)+(I15*$C$15)+(I16*$C$16)+(I17*$C$17)+(I18*$C$18)+(I19*$C$19)+(I20*$C$20)+(I22*$C$22)+(I23*$C$23)+(I24*$C$24)+(I25*$C$25)+(I27*$C$27)+(I28*$C$28)+(I29*$C$29)+(I31*$C$31)+(I32*$C$32)+(I33*$C$33)+(I35*$C$35)+(I36*$C$36)+(I37*$C$37)+(I38*$C$38)+(I39*$C$39)+(I40*$C$40)+(I41*$C$41)+(I42*$C$42)</f>
        <v>7244.780009999999</v>
      </c>
      <c r="J45" s="226">
        <f>(J13*$C$13)+(J15*$C$15)+(J16*$C$16)+(J17*$C$17)+(J18*$C$18)+(J19*$C$19)+(J20*$C$20)+(J22*$C$22)+(J23*$C$23)+(J24*$C$24)+(J25*$C$25)+(J27*$C$27)+(J28*$C$28)+(J29*$C$29)+(J31*$C$31)+(J32*$C$32)+(J33*$C$33)+(J35*$C$35)+(J36*$C$36)+(J37*$C$37)+(J38*$C$38)+(J39*$C$39)+(J40*$C$40)+(J41*$C$41)+(J42*$C$42)</f>
        <v>7462.123410300001</v>
      </c>
      <c r="K45" s="226">
        <f>(K13*$C$13)+(K15*$C$15)+(K16*$C$16)+(K17*$C$17)+(K18*$C$18)+(K19*$C$19)+(K20*$C$20)+(K22*$C$22)+(K23*$C$23)+(K24*$C$24)+(K25*$C$25)+(K27*$C$27)+(K28*$C$28)+(K29*$C$29)+(K31*$C$31)+(K32*$C$32)+(K33*$C$33)+(K35*$C$35)+(K36*$C$36)+(K37*$C$37)+(K38*$C$38)+(K39*$C$39)+(K40*$C$40)+(K41*$C$41)+(K42*$C$42)</f>
        <v>7685.987112609</v>
      </c>
    </row>
    <row r="46" ht="13.5" customHeight="1">
      <c r="A46" s="56"/>
      <c r="B46" s="31"/>
      <c r="C46" s="31"/>
      <c r="D46" s="31"/>
      <c r="E46" s="31"/>
      <c r="F46" s="221"/>
      <c r="G46" s="221"/>
      <c r="H46" s="221"/>
      <c r="I46" s="221"/>
      <c r="J46" s="221"/>
      <c r="K46" s="222"/>
    </row>
    <row r="47" ht="13.5" customHeight="1">
      <c r="A47" t="s" s="223">
        <v>149</v>
      </c>
      <c r="B47" s="224"/>
      <c r="C47" s="224"/>
      <c r="D47" s="224"/>
      <c r="E47" s="225"/>
      <c r="F47" s="226">
        <f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0</v>
      </c>
      <c r="G47" s="226">
        <f>(G13*$D$13)+(G15*$D$15)+(G16*$D$16)+(G17*$D$17)+(G18*$D$18)+(G19*$D$19)+(G20*$D$20)+(G22*$D$22)+(G23*$D$23)+(G24*$D$24)+(G25*$D$25)+(G27*$D$27)+(G28*$D$28)+(G29*$D$29)+(G31*$D$31)+(G32*$D$32)+(G33*$D$33)+(G35*$D$35)+(G36*$D$36)+(G37*$D$37)+(G38*$D$38)+(G39*$D$39)+(G40*$D$40)+(G41*$D$41)+(G42*$D$42)</f>
        <v>0</v>
      </c>
      <c r="H47" s="226">
        <f>(H13*$D$13)+(H15*$D$15)+(H16*$D$16)+(H17*$D$17)+(H18*$D$18)+(H19*$D$19)+(H20*$D$20)+(H22*$D$22)+(H23*$D$23)+(H24*$D$24)+(H25*$D$25)+(H27*$D$27)+(H28*$D$28)+(H29*$D$29)+(H31*$D$31)+(H32*$D$32)+(H33*$D$33)+(H35*$D$35)+(H36*$D$36)+(H37*$D$37)+(H38*$D$38)+(H39*$D$39)+(H40*$D$40)+(H41*$D$41)+(H42*$D$42)</f>
        <v>0</v>
      </c>
      <c r="I47" s="226">
        <f>(I13*$D$13)+(I15*$D$15)+(I16*$D$16)+(I17*$D$17)+(I18*$D$18)+(I19*$D$19)+(I20*$D$20)+(I22*$D$22)+(I23*$D$23)+(I24*$D$24)+(I25*$D$25)+(I27*$D$27)+(I28*$D$28)+(I29*$D$29)+(I31*$D$31)+(I32*$D$32)+(I33*$D$33)+(I35*$D$35)+(I36*$D$36)+(I37*$D$37)+(I38*$D$38)+(I39*$D$39)+(I40*$D$40)+(I41*$D$41)+(I42*$D$42)</f>
        <v>0</v>
      </c>
      <c r="J47" s="226">
        <f>(J13*$D$13)+(J15*$D$15)+(J16*$D$16)+(J17*$D$17)+(J18*$D$18)+(J19*$D$19)+(J20*$D$20)+(J22*$D$22)+(J23*$D$23)+(J24*$D$24)+(J25*$D$25)+(J27*$D$27)+(J28*$D$28)+(J29*$D$29)+(J31*$D$31)+(J32*$D$32)+(J33*$D$33)+(J35*$D$35)+(J36*$D$36)+(J37*$D$37)+(J38*$D$38)+(J39*$D$39)+(J40*$D$40)+(J41*$D$41)+(J42*$D$42)</f>
        <v>0</v>
      </c>
      <c r="K47" s="226">
        <f>(K13*$D$13)+(K15*$D$15)+(K16*$D$16)+(K17*$D$17)+(K18*$D$18)+(K19*$D$19)+(K20*$D$20)+(K22*$D$22)+(K23*$D$23)+(K24*$D$24)+(K25*$D$25)+(K27*$D$27)+(K28*$D$28)+(K29*$D$29)+(K31*$D$31)+(K32*$D$32)+(K33*$D$33)+(K35*$D$35)+(K36*$D$36)+(K37*$D$37)+(K38*$D$38)+(K39*$D$39)+(K40*$D$40)+(K41*$D$41)+(K42*$D$42)</f>
        <v>0</v>
      </c>
    </row>
    <row r="48" ht="13.5" customHeight="1">
      <c r="A48" s="56"/>
      <c r="B48" s="31"/>
      <c r="C48" s="31"/>
      <c r="D48" s="31"/>
      <c r="E48" s="31"/>
      <c r="F48" s="221"/>
      <c r="G48" s="221"/>
      <c r="H48" s="221"/>
      <c r="I48" s="221"/>
      <c r="J48" s="221"/>
      <c r="K48" s="222"/>
    </row>
    <row r="49" ht="13.5" customHeight="1">
      <c r="A49" t="s" s="223">
        <v>150</v>
      </c>
      <c r="B49" s="224"/>
      <c r="C49" s="224"/>
      <c r="D49" s="224"/>
      <c r="E49" s="225"/>
      <c r="F49" s="226">
        <f>F45+F47</f>
        <v>2210</v>
      </c>
      <c r="G49" s="226">
        <f>G45+G47</f>
        <v>6828.9</v>
      </c>
      <c r="H49" s="226">
        <f>H45+H47</f>
        <v>7033.767000000001</v>
      </c>
      <c r="I49" s="226">
        <f>I45+I47</f>
        <v>7244.780009999999</v>
      </c>
      <c r="J49" s="226">
        <f>J45+J47</f>
        <v>7462.123410300001</v>
      </c>
      <c r="K49" s="226">
        <f>K45+K47</f>
        <v>7685.987112609</v>
      </c>
    </row>
    <row r="50" ht="13.5" customHeight="1">
      <c r="A50" s="56"/>
      <c r="B50" s="31"/>
      <c r="C50" s="31"/>
      <c r="D50" s="31"/>
      <c r="E50" s="31"/>
      <c r="F50" s="221"/>
      <c r="G50" s="221"/>
      <c r="H50" s="221"/>
      <c r="I50" s="221"/>
      <c r="J50" s="221"/>
      <c r="K50" s="222"/>
    </row>
    <row r="51" ht="13.5" customHeight="1">
      <c r="A51" t="s" s="85">
        <v>94</v>
      </c>
      <c r="B51" s="227"/>
      <c r="C51" s="227"/>
      <c r="D51" s="227"/>
      <c r="E51" s="228"/>
      <c r="F51" s="229">
        <f>(F13*$B$13)+(F15*$B$15)+(F16*$B$16)+(F17*$B$17)+(F18*$B$18)+(F19*$B$19)+(F20*$B$20)+(F22*$B$22)+(F23*$B$23)+(F24*$B$24)+(F25*$B$25)+(F27*$B$27)+(F29*$B$29)+(F36*$B$36)+(F41*$B$41)</f>
        <v>190.9</v>
      </c>
      <c r="G51" s="229">
        <f>(G13*$B$13)+(G15*$B$15)+(G16*$B$16)+(G17*$B$17)+(G18*$B$18)+(G19*$B$19)+(G20*$B$20)+(G22*$B$22)+(G23*$B$23)+(G24*$B$24)+(G25*$B$25)+(G27*$B$27)+(G29*$B$29)+(G36*$B$36)+(G41*$B$41)</f>
        <v>589.8810000000001</v>
      </c>
      <c r="H51" s="229">
        <f>(H13*$B$13)+(H15*$B$15)+(H16*$B$16)+(H17*$B$17)+(H18*$B$18)+(H19*$B$19)+(H20*$B$20)+(H22*$B$22)+(H23*$B$23)+(H24*$B$24)+(H25*$B$25)+(H27*$B$27)+(H29*$B$29)+(H36*$B$36)+(H41*$B$41)</f>
        <v>607.57743</v>
      </c>
      <c r="I51" s="229">
        <f>(I13*$B$13)+(I15*$B$15)+(I16*$B$16)+(I17*$B$17)+(I18*$B$18)+(I19*$B$19)+(I20*$B$20)+(I22*$B$22)+(I23*$B$23)+(I24*$B$24)+(I25*$B$25)+(I27*$B$27)+(I29*$B$29)+(I36*$B$36)+(I41*$B$41)</f>
        <v>625.8047529</v>
      </c>
      <c r="J51" s="229">
        <f>(J13*$B$13)+(J15*$B$15)+(J16*$B$16)+(J17*$B$17)+(J18*$B$18)+(J19*$B$19)+(J20*$B$20)+(J22*$B$22)+(J23*$B$23)+(J24*$B$24)+(J25*$B$25)+(J27*$B$27)+(J29*$B$29)+(J36*$B$36)+(J41*$B$41)</f>
        <v>644.5788954870001</v>
      </c>
      <c r="K51" s="229">
        <f>(K13*$B$13)+(K15*$B$15)+(K16*$B$16)+(K17*$B$17)+(K18*$B$18)+(K19*$B$19)+(K20*$B$20)+(K22*$B$22)+(K23*$B$23)+(K24*$B$24)+(K25*$B$25)+(K27*$B$27)+(K29*$B$29)+(K36*$B$36)+(K41*$B$41)</f>
        <v>663.9162623516102</v>
      </c>
    </row>
    <row r="52" ht="13.5" customHeight="1">
      <c r="A52" s="56"/>
      <c r="B52" s="31"/>
      <c r="C52" s="31"/>
      <c r="D52" s="31"/>
      <c r="E52" s="31"/>
      <c r="F52" s="221"/>
      <c r="G52" s="221"/>
      <c r="H52" s="221"/>
      <c r="I52" s="221"/>
      <c r="J52" s="221"/>
      <c r="K52" s="222"/>
    </row>
    <row r="53" ht="13.5" customHeight="1">
      <c r="A53" t="s" s="223">
        <v>151</v>
      </c>
      <c r="B53" s="224"/>
      <c r="C53" s="224"/>
      <c r="D53" s="224"/>
      <c r="E53" s="230"/>
      <c r="F53" s="226">
        <f>F43+F51</f>
        <v>2400.9</v>
      </c>
      <c r="G53" s="226">
        <f>G43+G51</f>
        <v>7418.781</v>
      </c>
      <c r="H53" s="226">
        <f>H43+H51</f>
        <v>7641.344430000001</v>
      </c>
      <c r="I53" s="226">
        <f>I43+I51</f>
        <v>7870.5847629</v>
      </c>
      <c r="J53" s="226">
        <f>J43+J51</f>
        <v>8106.702305787001</v>
      </c>
      <c r="K53" s="226">
        <f>K43+K51</f>
        <v>8349.903374960610</v>
      </c>
    </row>
  </sheetData>
  <mergeCells count="7">
    <mergeCell ref="A49:D49"/>
    <mergeCell ref="A53:E53"/>
    <mergeCell ref="A4:K4"/>
    <mergeCell ref="A43:E43"/>
    <mergeCell ref="A51:E51"/>
    <mergeCell ref="A45:D45"/>
    <mergeCell ref="A47:D47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1:I90"/>
  <sheetViews>
    <sheetView workbookViewId="0" showGridLines="0" defaultGridColor="1"/>
  </sheetViews>
  <sheetFormatPr defaultColWidth="6.5" defaultRowHeight="12.75" customHeight="1" outlineLevelRow="0" outlineLevelCol="0"/>
  <cols>
    <col min="1" max="1" width="19" style="231" customWidth="1"/>
    <col min="2" max="2" width="4" style="231" customWidth="1"/>
    <col min="3" max="3" width="9.375" style="231" customWidth="1"/>
    <col min="4" max="4" width="8.625" style="231" customWidth="1"/>
    <col min="5" max="5" width="8.625" style="231" customWidth="1"/>
    <col min="6" max="6" width="8.625" style="231" customWidth="1"/>
    <col min="7" max="7" width="8.625" style="231" customWidth="1"/>
    <col min="8" max="8" width="8.625" style="231" customWidth="1"/>
    <col min="9" max="9" width="8.625" style="231" customWidth="1"/>
    <col min="10" max="256" width="6.5" style="231" customWidth="1"/>
  </cols>
  <sheetData>
    <row r="1" ht="13.5" customHeight="1">
      <c r="A1" s="197"/>
      <c r="B1" s="3"/>
      <c r="C1" s="104"/>
      <c r="D1" s="104"/>
      <c r="E1" s="104"/>
      <c r="F1" s="104"/>
      <c r="G1" s="104"/>
      <c r="H1" t="s" s="198">
        <f>'VN'!G1</f>
        <v>20</v>
      </c>
      <c r="I1" t="s" s="232">
        <f>'Pressupostos'!E1</f>
        <v>58</v>
      </c>
    </row>
    <row r="2" ht="12.75" customHeight="1">
      <c r="A2" s="233"/>
      <c r="B2" s="234"/>
      <c r="C2" s="107"/>
      <c r="D2" s="107"/>
      <c r="E2" s="107"/>
      <c r="F2" s="107"/>
      <c r="G2" s="107"/>
      <c r="H2" s="107"/>
      <c r="I2" t="s" s="201">
        <f>'Pressupostos'!B9</f>
        <v>25</v>
      </c>
    </row>
    <row r="3" ht="12.75" customHeight="1">
      <c r="A3" s="233"/>
      <c r="B3" s="234"/>
      <c r="C3" s="107"/>
      <c r="D3" s="107"/>
      <c r="E3" s="107"/>
      <c r="F3" s="107"/>
      <c r="G3" s="107"/>
      <c r="H3" s="107"/>
      <c r="I3" s="202"/>
    </row>
    <row r="4" ht="15.75" customHeight="1">
      <c r="A4" t="s" s="42">
        <v>152</v>
      </c>
      <c r="B4" s="11"/>
      <c r="C4" s="11"/>
      <c r="D4" s="11"/>
      <c r="E4" s="11"/>
      <c r="F4" s="11"/>
      <c r="G4" s="11"/>
      <c r="H4" s="11"/>
      <c r="I4" s="203"/>
    </row>
    <row r="5" ht="12.75" customHeight="1">
      <c r="A5" s="235"/>
      <c r="B5" s="236"/>
      <c r="C5" s="236"/>
      <c r="D5" s="237"/>
      <c r="E5" s="237"/>
      <c r="F5" s="237"/>
      <c r="G5" s="237"/>
      <c r="H5" s="237"/>
      <c r="I5" s="238"/>
    </row>
    <row r="6" ht="12.75" customHeight="1">
      <c r="A6" s="117"/>
      <c r="B6" s="206"/>
      <c r="C6" s="118"/>
      <c r="D6" s="119">
        <f>'VN'!C8</f>
        <v>2015</v>
      </c>
      <c r="E6" s="119">
        <f>'VN'!D8</f>
        <v>2016</v>
      </c>
      <c r="F6" s="119">
        <f>'VN'!E8</f>
        <v>2017</v>
      </c>
      <c r="G6" s="119">
        <f>'VN'!F8</f>
        <v>2018</v>
      </c>
      <c r="H6" s="119">
        <f>'VN'!G8</f>
        <v>2019</v>
      </c>
      <c r="I6" s="119">
        <f>'VN'!H8</f>
        <v>2020</v>
      </c>
    </row>
    <row r="7" ht="12.75" customHeight="1">
      <c r="A7" t="s" s="207">
        <v>111</v>
      </c>
      <c r="B7" s="208"/>
      <c r="C7" s="209"/>
      <c r="D7" s="210">
        <v>4</v>
      </c>
      <c r="E7" s="239">
        <v>14</v>
      </c>
      <c r="F7" s="239">
        <v>14</v>
      </c>
      <c r="G7" s="239">
        <f>F7</f>
        <v>14</v>
      </c>
      <c r="H7" s="239">
        <f>G7</f>
        <v>14</v>
      </c>
      <c r="I7" s="239">
        <f>H7</f>
        <v>14</v>
      </c>
    </row>
    <row r="8" ht="12.75" customHeight="1">
      <c r="A8" t="s" s="207">
        <v>153</v>
      </c>
      <c r="B8" s="208"/>
      <c r="C8" s="209"/>
      <c r="D8" s="165">
        <v>0</v>
      </c>
      <c r="E8" s="123">
        <v>0</v>
      </c>
      <c r="F8" s="123">
        <v>0.7140000000000001</v>
      </c>
      <c r="G8" s="123">
        <v>0</v>
      </c>
      <c r="H8" s="123">
        <v>0</v>
      </c>
      <c r="I8" s="123">
        <v>0</v>
      </c>
    </row>
    <row r="9" ht="12.75" customHeight="1">
      <c r="A9" s="240"/>
      <c r="B9" s="241"/>
      <c r="C9" s="242"/>
      <c r="D9" s="81"/>
      <c r="E9" s="81"/>
      <c r="F9" s="81"/>
      <c r="G9" s="81"/>
      <c r="H9" s="81"/>
      <c r="I9" s="212"/>
    </row>
    <row r="10" ht="12.75" customHeight="1">
      <c r="A10" s="243"/>
      <c r="B10" s="244"/>
      <c r="C10" s="245"/>
      <c r="D10" s="150"/>
      <c r="E10" s="150"/>
      <c r="F10" s="150"/>
      <c r="G10" s="150"/>
      <c r="H10" s="150"/>
      <c r="I10" s="213"/>
    </row>
    <row r="11" ht="12.75" customHeight="1">
      <c r="A11" t="s" s="246">
        <v>154</v>
      </c>
      <c r="B11" s="247"/>
      <c r="C11" s="248"/>
      <c r="D11" s="119">
        <f>D6</f>
        <v>2015</v>
      </c>
      <c r="E11" s="119">
        <f>E6</f>
        <v>2016</v>
      </c>
      <c r="F11" s="119">
        <f>F6</f>
        <v>2017</v>
      </c>
      <c r="G11" s="119">
        <f>G6</f>
        <v>2018</v>
      </c>
      <c r="H11" s="119">
        <f>H6</f>
        <v>2019</v>
      </c>
      <c r="I11" s="119">
        <f>I6</f>
        <v>2020</v>
      </c>
    </row>
    <row r="12" ht="12.75" customHeight="1">
      <c r="A12" t="s" s="249">
        <v>155</v>
      </c>
      <c r="B12" s="208"/>
      <c r="C12" s="209"/>
      <c r="D12" s="250">
        <v>1</v>
      </c>
      <c r="E12" s="250">
        <v>1</v>
      </c>
      <c r="F12" s="250">
        <v>1</v>
      </c>
      <c r="G12" s="250">
        <v>1</v>
      </c>
      <c r="H12" s="250">
        <v>1</v>
      </c>
      <c r="I12" s="250">
        <v>1</v>
      </c>
    </row>
    <row r="13" ht="12.75" customHeight="1">
      <c r="A13" t="s" s="251">
        <v>156</v>
      </c>
      <c r="B13" s="252"/>
      <c r="C13" s="253"/>
      <c r="D13" s="250"/>
      <c r="E13" s="250"/>
      <c r="F13" s="250"/>
      <c r="G13" s="250"/>
      <c r="H13" s="250"/>
      <c r="I13" s="250"/>
    </row>
    <row r="14" ht="12.75" customHeight="1">
      <c r="A14" t="s" s="251">
        <v>157</v>
      </c>
      <c r="B14" s="252"/>
      <c r="C14" s="253"/>
      <c r="D14" s="250"/>
      <c r="E14" s="250"/>
      <c r="F14" s="250"/>
      <c r="G14" s="250"/>
      <c r="H14" s="250"/>
      <c r="I14" s="250"/>
    </row>
    <row r="15" ht="12.75" customHeight="1">
      <c r="A15" t="s" s="251">
        <v>158</v>
      </c>
      <c r="B15" s="252"/>
      <c r="C15" s="253"/>
      <c r="D15" s="250"/>
      <c r="E15" s="250"/>
      <c r="F15" s="250"/>
      <c r="G15" s="250"/>
      <c r="H15" s="250"/>
      <c r="I15" s="250"/>
    </row>
    <row r="16" ht="12.75" customHeight="1">
      <c r="A16" t="s" s="251">
        <v>159</v>
      </c>
      <c r="B16" s="252"/>
      <c r="C16" s="253"/>
      <c r="D16" s="250"/>
      <c r="E16" s="250"/>
      <c r="F16" s="250"/>
      <c r="G16" s="250"/>
      <c r="H16" s="250"/>
      <c r="I16" s="250"/>
    </row>
    <row r="17" ht="12.75" customHeight="1">
      <c r="A17" t="s" s="251">
        <v>160</v>
      </c>
      <c r="B17" s="252"/>
      <c r="C17" s="253"/>
      <c r="D17" s="250"/>
      <c r="E17" s="250"/>
      <c r="F17" s="250"/>
      <c r="G17" s="250"/>
      <c r="H17" s="250"/>
      <c r="I17" s="250"/>
    </row>
    <row r="18" ht="12.75" customHeight="1">
      <c r="A18" t="s" s="251">
        <v>161</v>
      </c>
      <c r="B18" s="252"/>
      <c r="C18" s="253"/>
      <c r="D18" s="250"/>
      <c r="E18" s="250"/>
      <c r="F18" s="250"/>
      <c r="G18" s="250"/>
      <c r="H18" s="250"/>
      <c r="I18" s="250"/>
    </row>
    <row r="19" ht="12.75" customHeight="1">
      <c r="A19" t="s" s="251">
        <v>162</v>
      </c>
      <c r="B19" s="252"/>
      <c r="C19" s="253"/>
      <c r="D19" s="250"/>
      <c r="E19" s="250"/>
      <c r="F19" s="250"/>
      <c r="G19" s="250"/>
      <c r="H19" s="250"/>
      <c r="I19" s="250"/>
    </row>
    <row r="20" ht="12.75" customHeight="1">
      <c r="A20" t="s" s="251">
        <v>163</v>
      </c>
      <c r="B20" s="252"/>
      <c r="C20" s="253"/>
      <c r="D20" s="250"/>
      <c r="E20" s="250"/>
      <c r="F20" s="250"/>
      <c r="G20" s="250"/>
      <c r="H20" s="250"/>
      <c r="I20" s="250"/>
    </row>
    <row r="21" ht="12.75" customHeight="1">
      <c r="A21" s="254"/>
      <c r="B21" s="252"/>
      <c r="C21" s="253"/>
      <c r="D21" s="250"/>
      <c r="E21" s="250"/>
      <c r="F21" s="250"/>
      <c r="G21" s="250"/>
      <c r="H21" s="250"/>
      <c r="I21" s="250"/>
    </row>
    <row r="22" ht="12.75" customHeight="1">
      <c r="A22" s="254"/>
      <c r="B22" s="252"/>
      <c r="C22" s="253"/>
      <c r="D22" s="250"/>
      <c r="E22" s="250"/>
      <c r="F22" s="250"/>
      <c r="G22" s="250"/>
      <c r="H22" s="250"/>
      <c r="I22" s="250"/>
    </row>
    <row r="23" ht="13.5" customHeight="1">
      <c r="A23" t="s" s="120">
        <v>164</v>
      </c>
      <c r="B23" s="206"/>
      <c r="C23" s="118"/>
      <c r="D23" s="255">
        <f>SUM(D12:D22)</f>
        <v>1</v>
      </c>
      <c r="E23" s="255">
        <f>SUM(E12:E22)</f>
        <v>1</v>
      </c>
      <c r="F23" s="255">
        <f>SUM(F12:F22)</f>
        <v>1</v>
      </c>
      <c r="G23" s="255">
        <f>SUM(G12:G22)</f>
        <v>1</v>
      </c>
      <c r="H23" s="255">
        <f>SUM(H12:H22)</f>
        <v>1</v>
      </c>
      <c r="I23" s="255">
        <f>SUM(I12:I22)</f>
        <v>1</v>
      </c>
    </row>
    <row r="24" ht="13.5" customHeight="1">
      <c r="A24" s="240"/>
      <c r="B24" s="241"/>
      <c r="C24" s="242"/>
      <c r="D24" s="81"/>
      <c r="E24" s="81"/>
      <c r="F24" s="81"/>
      <c r="G24" s="81"/>
      <c r="H24" s="81"/>
      <c r="I24" s="212"/>
    </row>
    <row r="25" ht="12.75" customHeight="1">
      <c r="A25" s="243"/>
      <c r="B25" s="244"/>
      <c r="C25" s="245"/>
      <c r="D25" s="150"/>
      <c r="E25" s="150"/>
      <c r="F25" s="150"/>
      <c r="G25" s="150"/>
      <c r="H25" s="150"/>
      <c r="I25" s="213"/>
    </row>
    <row r="26" ht="12.75" customHeight="1">
      <c r="A26" t="s" s="246">
        <v>165</v>
      </c>
      <c r="B26" s="247"/>
      <c r="C26" s="248"/>
      <c r="D26" s="119">
        <f>D11</f>
        <v>2015</v>
      </c>
      <c r="E26" s="119">
        <f>E11</f>
        <v>2016</v>
      </c>
      <c r="F26" s="119">
        <f>F11</f>
        <v>2017</v>
      </c>
      <c r="G26" s="119">
        <f>G11</f>
        <v>2018</v>
      </c>
      <c r="H26" s="119">
        <f>H11</f>
        <v>2019</v>
      </c>
      <c r="I26" s="119">
        <f>I11</f>
        <v>2020</v>
      </c>
    </row>
    <row r="27" ht="12.75" customHeight="1">
      <c r="A27" t="s" s="249">
        <f>A12</f>
        <v>155</v>
      </c>
      <c r="B27" s="208"/>
      <c r="C27" s="209"/>
      <c r="D27" s="256">
        <v>700</v>
      </c>
      <c r="E27" s="256">
        <f>ROUND(D27*(1+$E$8),2)</f>
        <v>700</v>
      </c>
      <c r="F27" s="256">
        <f>ROUND(E27*(1+F8),2)</f>
        <v>1199.8</v>
      </c>
      <c r="G27" s="256">
        <f>ROUND(F27*(1+G8),2)</f>
        <v>1199.8</v>
      </c>
      <c r="H27" s="256">
        <f>ROUND(G27*(1+H8),2)</f>
        <v>1199.8</v>
      </c>
      <c r="I27" s="256">
        <f>ROUND(H27*(1+I8),2)</f>
        <v>1199.8</v>
      </c>
    </row>
    <row r="28" ht="12.75" customHeight="1">
      <c r="A28" t="s" s="249">
        <f>A13</f>
        <v>156</v>
      </c>
      <c r="B28" s="208"/>
      <c r="C28" s="209"/>
      <c r="D28" s="256"/>
      <c r="E28" s="256">
        <f>ROUND(D28*(1+E8),2)</f>
        <v>0</v>
      </c>
      <c r="F28" s="256">
        <f>ROUND(E28*(1+F8),2)</f>
        <v>0</v>
      </c>
      <c r="G28" s="256">
        <f>ROUND(F28*(1+G8),2)</f>
        <v>0</v>
      </c>
      <c r="H28" s="256">
        <f>ROUND(G28*(1+H8),2)</f>
        <v>0</v>
      </c>
      <c r="I28" s="256">
        <f>ROUND(H28*(1+I8),2)</f>
        <v>0</v>
      </c>
    </row>
    <row r="29" ht="12.75" customHeight="1">
      <c r="A29" t="s" s="249">
        <f>A14</f>
        <v>157</v>
      </c>
      <c r="B29" s="208"/>
      <c r="C29" s="209"/>
      <c r="D29" s="256"/>
      <c r="E29" s="256">
        <f>ROUND(D29*(1+E8),2)</f>
        <v>0</v>
      </c>
      <c r="F29" s="256">
        <f>ROUND(E29*(1+F8),2)</f>
        <v>0</v>
      </c>
      <c r="G29" s="256">
        <f>ROUND(F29*(1+G8),2)</f>
        <v>0</v>
      </c>
      <c r="H29" s="256">
        <f>ROUND(G29*(1+H8),2)</f>
        <v>0</v>
      </c>
      <c r="I29" s="256">
        <f>ROUND(H29*(1+I8),2)</f>
        <v>0</v>
      </c>
    </row>
    <row r="30" ht="12.75" customHeight="1">
      <c r="A30" t="s" s="249">
        <f>A15</f>
        <v>158</v>
      </c>
      <c r="B30" s="208"/>
      <c r="C30" s="209"/>
      <c r="D30" s="256">
        <v>0</v>
      </c>
      <c r="E30" s="256">
        <f>ROUND(D30*(1+E8),2)</f>
        <v>0</v>
      </c>
      <c r="F30" s="256">
        <f>ROUND(E30*(1+F8),2)</f>
        <v>0</v>
      </c>
      <c r="G30" s="256">
        <f>ROUND(F30*(1+G8),2)</f>
        <v>0</v>
      </c>
      <c r="H30" s="256">
        <f>ROUND(G30*(1+H8),2)</f>
        <v>0</v>
      </c>
      <c r="I30" s="256">
        <f>ROUND(H30*(1+I8),2)</f>
        <v>0</v>
      </c>
    </row>
    <row r="31" ht="12.75" customHeight="1">
      <c r="A31" t="s" s="249">
        <f>A16</f>
        <v>159</v>
      </c>
      <c r="B31" s="208"/>
      <c r="C31" s="209"/>
      <c r="D31" s="256"/>
      <c r="E31" s="256">
        <f>ROUND(D31*(1+E8),2)</f>
        <v>0</v>
      </c>
      <c r="F31" s="256">
        <f>ROUND(E31*(1+F8),2)</f>
        <v>0</v>
      </c>
      <c r="G31" s="256">
        <f>ROUND(F31*(1+G8),2)</f>
        <v>0</v>
      </c>
      <c r="H31" s="256">
        <f>ROUND(G31*(1+H8),2)</f>
        <v>0</v>
      </c>
      <c r="I31" s="256">
        <f>ROUND(H31*(1+I8),2)</f>
        <v>0</v>
      </c>
    </row>
    <row r="32" ht="12.75" customHeight="1">
      <c r="A32" t="s" s="249">
        <f>A17</f>
        <v>160</v>
      </c>
      <c r="B32" s="208"/>
      <c r="C32" s="209"/>
      <c r="D32" s="256"/>
      <c r="E32" s="256">
        <f>ROUND(D32*(1+E8),2)</f>
        <v>0</v>
      </c>
      <c r="F32" s="256">
        <f>ROUND(E32*(1+F8),2)</f>
        <v>0</v>
      </c>
      <c r="G32" s="256">
        <f>ROUND(F32*(1+G8),2)</f>
        <v>0</v>
      </c>
      <c r="H32" s="256">
        <f>ROUND(G32*(1+H8),2)</f>
        <v>0</v>
      </c>
      <c r="I32" s="256">
        <f>ROUND(H32*(1+I8),2)</f>
        <v>0</v>
      </c>
    </row>
    <row r="33" ht="12.75" customHeight="1">
      <c r="A33" t="s" s="249">
        <f>A18</f>
        <v>161</v>
      </c>
      <c r="B33" s="208"/>
      <c r="C33" s="209"/>
      <c r="D33" s="256"/>
      <c r="E33" s="256">
        <f>ROUND(D33*(1+E8),2)</f>
        <v>0</v>
      </c>
      <c r="F33" s="256">
        <f>ROUND(E33*(1+F8),2)</f>
        <v>0</v>
      </c>
      <c r="G33" s="256">
        <f>ROUND(F33*(1+G8),2)</f>
        <v>0</v>
      </c>
      <c r="H33" s="256">
        <f>ROUND(G33*(1+H8),2)</f>
        <v>0</v>
      </c>
      <c r="I33" s="256">
        <f>ROUND(H33*(1+I8),2)</f>
        <v>0</v>
      </c>
    </row>
    <row r="34" ht="12.75" customHeight="1">
      <c r="A34" t="s" s="249">
        <f>A19</f>
        <v>162</v>
      </c>
      <c r="B34" s="208"/>
      <c r="C34" s="209"/>
      <c r="D34" s="256"/>
      <c r="E34" s="256">
        <f>ROUND(D34*(1+E8),2)</f>
        <v>0</v>
      </c>
      <c r="F34" s="256">
        <f>ROUND(E34*(1+F8),2)</f>
        <v>0</v>
      </c>
      <c r="G34" s="256">
        <f>ROUND(F34*(1+G8),2)</f>
        <v>0</v>
      </c>
      <c r="H34" s="256">
        <f>ROUND(G34*(1+H8),2)</f>
        <v>0</v>
      </c>
      <c r="I34" s="256">
        <f>ROUND(H34*(1+I8),2)</f>
        <v>0</v>
      </c>
    </row>
    <row r="35" ht="12.75" customHeight="1">
      <c r="A35" t="s" s="249">
        <f>A20</f>
        <v>163</v>
      </c>
      <c r="B35" s="208"/>
      <c r="C35" s="209"/>
      <c r="D35" s="256"/>
      <c r="E35" s="256">
        <f>ROUND(D35*(1+E8),2)</f>
        <v>0</v>
      </c>
      <c r="F35" s="256">
        <f>ROUND(E35*(1+F8),2)</f>
        <v>0</v>
      </c>
      <c r="G35" s="256">
        <f>ROUND(F35*(1+G8),2)</f>
        <v>0</v>
      </c>
      <c r="H35" s="256">
        <f>ROUND(G35*(1+H8),2)</f>
        <v>0</v>
      </c>
      <c r="I35" s="256">
        <f>ROUND(H35*(1+I8),2)</f>
        <v>0</v>
      </c>
    </row>
    <row r="36" ht="12.75" customHeight="1">
      <c r="A36" s="249">
        <f>A21</f>
        <v>0</v>
      </c>
      <c r="B36" s="208"/>
      <c r="C36" s="209"/>
      <c r="D36" s="256"/>
      <c r="E36" s="256">
        <f>ROUND(D36*(1+E8),2)</f>
        <v>0</v>
      </c>
      <c r="F36" s="256">
        <f>ROUND(E36*(1+F8),2)</f>
        <v>0</v>
      </c>
      <c r="G36" s="256">
        <f>ROUND(F36*(1+G8),2)</f>
        <v>0</v>
      </c>
      <c r="H36" s="256">
        <f>ROUND(G36*(1+H8),2)</f>
        <v>0</v>
      </c>
      <c r="I36" s="256">
        <f>ROUND(H36*(1+I8),2)</f>
        <v>0</v>
      </c>
    </row>
    <row r="37" ht="12.75" customHeight="1">
      <c r="A37" s="249">
        <f>A22</f>
        <v>0</v>
      </c>
      <c r="B37" s="257"/>
      <c r="C37" s="258"/>
      <c r="D37" s="256"/>
      <c r="E37" s="256">
        <f>ROUND(D37*(1+E8),2)</f>
        <v>0</v>
      </c>
      <c r="F37" s="256">
        <f>ROUND(E37*(1+F8),2)</f>
        <v>0</v>
      </c>
      <c r="G37" s="256">
        <f>ROUND(F37*(1+G8),2)</f>
        <v>0</v>
      </c>
      <c r="H37" s="256">
        <f>ROUND(G37*(1+H8),2)</f>
        <v>0</v>
      </c>
      <c r="I37" s="256">
        <f>ROUND(H37*(1+I8),2)</f>
        <v>0</v>
      </c>
    </row>
    <row r="38" ht="12.75" customHeight="1">
      <c r="A38" s="259"/>
      <c r="B38" s="260"/>
      <c r="C38" s="261"/>
      <c r="D38" s="262"/>
      <c r="E38" s="262"/>
      <c r="F38" s="262"/>
      <c r="G38" s="262"/>
      <c r="H38" s="262"/>
      <c r="I38" s="263"/>
    </row>
    <row r="39" ht="12.75" customHeight="1">
      <c r="A39" s="264"/>
      <c r="B39" s="265"/>
      <c r="C39" s="266"/>
      <c r="D39" s="150"/>
      <c r="E39" s="150"/>
      <c r="F39" s="150"/>
      <c r="G39" s="150"/>
      <c r="H39" s="150"/>
      <c r="I39" s="213"/>
    </row>
    <row r="40" ht="12.75" customHeight="1">
      <c r="A40" t="s" s="246">
        <v>166</v>
      </c>
      <c r="B40" s="247"/>
      <c r="C40" s="248"/>
      <c r="D40" s="119">
        <f>D26</f>
        <v>2015</v>
      </c>
      <c r="E40" s="119">
        <f>E26</f>
        <v>2016</v>
      </c>
      <c r="F40" s="119">
        <f>F26</f>
        <v>2017</v>
      </c>
      <c r="G40" s="119">
        <f>G26</f>
        <v>2018</v>
      </c>
      <c r="H40" s="119">
        <f>H26</f>
        <v>2019</v>
      </c>
      <c r="I40" s="119">
        <f>I26</f>
        <v>2020</v>
      </c>
    </row>
    <row r="41" ht="12.75" customHeight="1">
      <c r="A41" t="s" s="249">
        <f>A27</f>
        <v>155</v>
      </c>
      <c r="B41" s="208"/>
      <c r="C41" s="209"/>
      <c r="D41" s="185">
        <f>D12*D27*D7</f>
        <v>2800</v>
      </c>
      <c r="E41" s="185">
        <f>E12*E27*E7</f>
        <v>9800</v>
      </c>
      <c r="F41" s="185">
        <f>F12*F27*F7</f>
        <v>16797.2</v>
      </c>
      <c r="G41" s="185">
        <f>G12*G27*G7</f>
        <v>16797.2</v>
      </c>
      <c r="H41" s="185">
        <f>H12*H27*H7</f>
        <v>16797.2</v>
      </c>
      <c r="I41" s="185">
        <f>I12*I27*I7</f>
        <v>16797.2</v>
      </c>
    </row>
    <row r="42" ht="12.75" customHeight="1">
      <c r="A42" t="s" s="249">
        <f>A28</f>
        <v>156</v>
      </c>
      <c r="B42" s="208"/>
      <c r="C42" s="209"/>
      <c r="D42" s="185">
        <f>D13*D28*D7</f>
        <v>0</v>
      </c>
      <c r="E42" s="185">
        <f>E13*E28*E7</f>
        <v>0</v>
      </c>
      <c r="F42" s="185">
        <f>F13*F28*F7</f>
        <v>0</v>
      </c>
      <c r="G42" s="185">
        <f>G13*G28*G7</f>
        <v>0</v>
      </c>
      <c r="H42" s="185">
        <f>H13*H28*H7</f>
        <v>0</v>
      </c>
      <c r="I42" s="185">
        <f>I13*I28*I7</f>
        <v>0</v>
      </c>
    </row>
    <row r="43" ht="12.75" customHeight="1">
      <c r="A43" t="s" s="249">
        <f>A29</f>
        <v>157</v>
      </c>
      <c r="B43" s="208"/>
      <c r="C43" s="209"/>
      <c r="D43" s="185">
        <f>D14*D29*D7</f>
        <v>0</v>
      </c>
      <c r="E43" s="185">
        <f>E14*E29*E7</f>
        <v>0</v>
      </c>
      <c r="F43" s="185">
        <f>F14*F29*F7</f>
        <v>0</v>
      </c>
      <c r="G43" s="185">
        <f>G14*G29*G7</f>
        <v>0</v>
      </c>
      <c r="H43" s="185">
        <f>H14*H29*H7</f>
        <v>0</v>
      </c>
      <c r="I43" s="185">
        <f>I14*I29*I7</f>
        <v>0</v>
      </c>
    </row>
    <row r="44" ht="12.75" customHeight="1">
      <c r="A44" t="s" s="249">
        <f>A30</f>
        <v>158</v>
      </c>
      <c r="B44" s="208"/>
      <c r="C44" s="209"/>
      <c r="D44" s="185">
        <f>D15*D30*D7</f>
        <v>0</v>
      </c>
      <c r="E44" s="185">
        <f>E15*E30*E7</f>
        <v>0</v>
      </c>
      <c r="F44" s="185">
        <f>F15*F30*F7</f>
        <v>0</v>
      </c>
      <c r="G44" s="185">
        <f>G15*G30*G7</f>
        <v>0</v>
      </c>
      <c r="H44" s="185">
        <f>H15*H30*H7</f>
        <v>0</v>
      </c>
      <c r="I44" s="185">
        <f>I15*I30*I7</f>
        <v>0</v>
      </c>
    </row>
    <row r="45" ht="12.75" customHeight="1">
      <c r="A45" t="s" s="249">
        <f>A31</f>
        <v>159</v>
      </c>
      <c r="B45" s="208"/>
      <c r="C45" s="209"/>
      <c r="D45" s="185">
        <f>D16*D31*D7</f>
        <v>0</v>
      </c>
      <c r="E45" s="185">
        <f>E16*E31*E7</f>
        <v>0</v>
      </c>
      <c r="F45" s="185">
        <f>F16*F31*F7</f>
        <v>0</v>
      </c>
      <c r="G45" s="185">
        <f>G16*G31*G7</f>
        <v>0</v>
      </c>
      <c r="H45" s="185">
        <f>H16*H31*H7</f>
        <v>0</v>
      </c>
      <c r="I45" s="185">
        <f>I16*I31*I7</f>
        <v>0</v>
      </c>
    </row>
    <row r="46" ht="12.75" customHeight="1">
      <c r="A46" t="s" s="249">
        <f>A32</f>
        <v>160</v>
      </c>
      <c r="B46" s="208"/>
      <c r="C46" s="209"/>
      <c r="D46" s="185">
        <f>D17*D32*D7</f>
        <v>0</v>
      </c>
      <c r="E46" s="185">
        <f>E17*E32*E7</f>
        <v>0</v>
      </c>
      <c r="F46" s="185">
        <f>F17*F32*F7</f>
        <v>0</v>
      </c>
      <c r="G46" s="185">
        <f>G17*G32*G7</f>
        <v>0</v>
      </c>
      <c r="H46" s="185">
        <f>H17*H32*H7</f>
        <v>0</v>
      </c>
      <c r="I46" s="185">
        <f>I17*I32*I7</f>
        <v>0</v>
      </c>
    </row>
    <row r="47" ht="12.75" customHeight="1">
      <c r="A47" t="s" s="249">
        <f>A33</f>
        <v>161</v>
      </c>
      <c r="B47" s="208"/>
      <c r="C47" s="209"/>
      <c r="D47" s="185">
        <f>D18*D33*D7</f>
        <v>0</v>
      </c>
      <c r="E47" s="185">
        <f>E18*E33*E7</f>
        <v>0</v>
      </c>
      <c r="F47" s="185">
        <f>F18*F33*F7</f>
        <v>0</v>
      </c>
      <c r="G47" s="185">
        <f>G18*G33*G7</f>
        <v>0</v>
      </c>
      <c r="H47" s="185">
        <f>H18*H33*H7</f>
        <v>0</v>
      </c>
      <c r="I47" s="185">
        <f>I18*I33*I7</f>
        <v>0</v>
      </c>
    </row>
    <row r="48" ht="12.75" customHeight="1">
      <c r="A48" t="s" s="249">
        <f>A34</f>
        <v>162</v>
      </c>
      <c r="B48" s="208"/>
      <c r="C48" s="209"/>
      <c r="D48" s="185">
        <f>D19*D34*D7</f>
        <v>0</v>
      </c>
      <c r="E48" s="185">
        <f>E19*E34*E7</f>
        <v>0</v>
      </c>
      <c r="F48" s="185">
        <f>F19*F34*F7</f>
        <v>0</v>
      </c>
      <c r="G48" s="185">
        <f>G19*G34*G7</f>
        <v>0</v>
      </c>
      <c r="H48" s="185">
        <f>H19*H34*H7</f>
        <v>0</v>
      </c>
      <c r="I48" s="185">
        <f>I19*I34*I7</f>
        <v>0</v>
      </c>
    </row>
    <row r="49" ht="12.75" customHeight="1">
      <c r="A49" t="s" s="249">
        <f>A35</f>
        <v>163</v>
      </c>
      <c r="B49" s="208"/>
      <c r="C49" s="209"/>
      <c r="D49" s="185">
        <f>D20*D35*D7</f>
        <v>0</v>
      </c>
      <c r="E49" s="185">
        <f>E20*E35*E7</f>
        <v>0</v>
      </c>
      <c r="F49" s="185">
        <f>F20*F35*F7</f>
        <v>0</v>
      </c>
      <c r="G49" s="185">
        <f>G20*G35*G7</f>
        <v>0</v>
      </c>
      <c r="H49" s="185">
        <f>H20*H35*H7</f>
        <v>0</v>
      </c>
      <c r="I49" s="185">
        <f>I20*I35*I7</f>
        <v>0</v>
      </c>
    </row>
    <row r="50" ht="12.75" customHeight="1">
      <c r="A50" s="249">
        <f>A36</f>
        <v>0</v>
      </c>
      <c r="B50" s="208"/>
      <c r="C50" s="209"/>
      <c r="D50" s="185">
        <f>D21*D36*D7</f>
        <v>0</v>
      </c>
      <c r="E50" s="185">
        <f>E21*E36*E7</f>
        <v>0</v>
      </c>
      <c r="F50" s="185">
        <f>F21*F36*F7</f>
        <v>0</v>
      </c>
      <c r="G50" s="185">
        <f>G21*G36*G7</f>
        <v>0</v>
      </c>
      <c r="H50" s="185">
        <f>H21*H36*H7</f>
        <v>0</v>
      </c>
      <c r="I50" s="185">
        <f>I21*I36*I7</f>
        <v>0</v>
      </c>
    </row>
    <row r="51" ht="12.75" customHeight="1">
      <c r="A51" s="249">
        <f>A37</f>
        <v>0</v>
      </c>
      <c r="B51" s="208"/>
      <c r="C51" s="209"/>
      <c r="D51" s="185">
        <f>D22*D37*D7</f>
        <v>0</v>
      </c>
      <c r="E51" s="185">
        <f>E22*E37*E7</f>
        <v>0</v>
      </c>
      <c r="F51" s="185">
        <f>F22*F37*F7</f>
        <v>0</v>
      </c>
      <c r="G51" s="185">
        <f>G22*G37*G7</f>
        <v>0</v>
      </c>
      <c r="H51" s="185">
        <f>H22*H37*H7</f>
        <v>0</v>
      </c>
      <c r="I51" s="185">
        <f>I22*I37*I7</f>
        <v>0</v>
      </c>
    </row>
    <row r="52" ht="13.5" customHeight="1">
      <c r="A52" t="s" s="120">
        <v>164</v>
      </c>
      <c r="B52" s="206"/>
      <c r="C52" s="118"/>
      <c r="D52" s="180">
        <f>SUM(D41:D51)</f>
        <v>2800</v>
      </c>
      <c r="E52" s="180">
        <f>SUM(E41:E51)</f>
        <v>9800</v>
      </c>
      <c r="F52" s="180">
        <f>SUM(F41:F51)</f>
        <v>16797.2</v>
      </c>
      <c r="G52" s="180">
        <f>SUM(G41:G51)</f>
        <v>16797.2</v>
      </c>
      <c r="H52" s="180">
        <f>SUM(H41:H51)</f>
        <v>16797.2</v>
      </c>
      <c r="I52" s="180">
        <f>SUM(I41:I51)</f>
        <v>16797.2</v>
      </c>
    </row>
    <row r="53" ht="13.5" customHeight="1">
      <c r="A53" s="259"/>
      <c r="B53" s="267"/>
      <c r="C53" s="268"/>
      <c r="D53" s="262"/>
      <c r="E53" s="262"/>
      <c r="F53" s="262"/>
      <c r="G53" s="262"/>
      <c r="H53" s="262"/>
      <c r="I53" s="263"/>
    </row>
    <row r="54" ht="12.75" customHeight="1">
      <c r="A54" s="48"/>
      <c r="B54" s="49"/>
      <c r="C54" s="245"/>
      <c r="D54" s="269"/>
      <c r="E54" s="269"/>
      <c r="F54" s="269"/>
      <c r="G54" s="269"/>
      <c r="H54" s="269"/>
      <c r="I54" s="270"/>
    </row>
    <row r="55" ht="12.75" customHeight="1">
      <c r="A55" t="s" s="271">
        <v>167</v>
      </c>
      <c r="B55" s="272"/>
      <c r="C55" s="273"/>
      <c r="D55" s="119">
        <f>D6</f>
        <v>2015</v>
      </c>
      <c r="E55" s="119">
        <f>E6</f>
        <v>2016</v>
      </c>
      <c r="F55" s="119">
        <f>F6</f>
        <v>2017</v>
      </c>
      <c r="G55" s="119">
        <f>G6</f>
        <v>2018</v>
      </c>
      <c r="H55" s="119">
        <f>H6</f>
        <v>2019</v>
      </c>
      <c r="I55" s="119">
        <f>I6</f>
        <v>2020</v>
      </c>
    </row>
    <row r="56" ht="12.75" customHeight="1">
      <c r="A56" t="s" s="129">
        <v>168</v>
      </c>
      <c r="B56" s="274"/>
      <c r="C56" s="118"/>
      <c r="D56" s="214"/>
      <c r="E56" s="214"/>
      <c r="F56" s="214"/>
      <c r="G56" s="214"/>
      <c r="H56" s="214"/>
      <c r="I56" s="214"/>
    </row>
    <row r="57" ht="12.75" customHeight="1">
      <c r="A57" t="s" s="129">
        <v>169</v>
      </c>
      <c r="B57" s="275"/>
      <c r="C57" s="276">
        <f>'Pressupostos'!B23</f>
        <v>0.2375</v>
      </c>
      <c r="D57" s="277">
        <f>$C$57*(D41+D62)</f>
        <v>665</v>
      </c>
      <c r="E57" s="277">
        <f>$C$57*(E41+E62)</f>
        <v>3040</v>
      </c>
      <c r="F57" s="277">
        <f>$C$57*(F41+F62)</f>
        <v>3989.335</v>
      </c>
      <c r="G57" s="277">
        <f>$C$57*(G41+G62)</f>
        <v>3989.335</v>
      </c>
      <c r="H57" s="277">
        <f>$C$57*(H41+H62)</f>
        <v>3989.335</v>
      </c>
      <c r="I57" s="277">
        <f>$C$57*(I41+I62)</f>
        <v>3989.335</v>
      </c>
    </row>
    <row r="58" ht="12.75" customHeight="1">
      <c r="A58" t="s" s="129">
        <v>170</v>
      </c>
      <c r="B58" s="275"/>
      <c r="C58" s="276">
        <f>'Pressupostos'!B24</f>
        <v>0.2375</v>
      </c>
      <c r="D58" s="277">
        <f>$C$58*(SUM(D42:D51)+D63)</f>
        <v>0</v>
      </c>
      <c r="E58" s="277">
        <f>$C$58*(SUM(E42:E51)+E63)</f>
        <v>0</v>
      </c>
      <c r="F58" s="277">
        <f>$C$58*(SUM(F42:F51)+F63)</f>
        <v>0</v>
      </c>
      <c r="G58" s="277">
        <f>$C$58*(SUM(G42:G51)+G63)</f>
        <v>0</v>
      </c>
      <c r="H58" s="277">
        <f>$C$58*(SUM(H42:H51)+H63)</f>
        <v>0</v>
      </c>
      <c r="I58" s="277">
        <f>$C$58*(SUM(I42:I51)+I63)</f>
        <v>0</v>
      </c>
    </row>
    <row r="59" ht="12.75" customHeight="1">
      <c r="A59" t="s" s="249">
        <v>171</v>
      </c>
      <c r="B59" s="278"/>
      <c r="C59" s="279">
        <v>0.01</v>
      </c>
      <c r="D59" s="191">
        <f>$C$59*D52</f>
        <v>28</v>
      </c>
      <c r="E59" s="191">
        <f>$C$59*E52</f>
        <v>98</v>
      </c>
      <c r="F59" s="191">
        <f>$C$59*F52</f>
        <v>167.972</v>
      </c>
      <c r="G59" s="191">
        <f>$C$59*G52</f>
        <v>167.972</v>
      </c>
      <c r="H59" s="191">
        <f>$C$59*H52</f>
        <v>167.972</v>
      </c>
      <c r="I59" s="191">
        <f>$C$59*I52</f>
        <v>167.972</v>
      </c>
    </row>
    <row r="60" ht="12.75" customHeight="1">
      <c r="A60" t="s" s="249">
        <v>172</v>
      </c>
      <c r="B60" s="278"/>
      <c r="C60" s="280">
        <f>6.87*22</f>
        <v>151.14</v>
      </c>
      <c r="D60" s="191">
        <f>$C$60*4*D23</f>
        <v>604.5600000000001</v>
      </c>
      <c r="E60" s="191">
        <f>C60*(1+E8)*11*E23</f>
        <v>1662.54</v>
      </c>
      <c r="F60" s="191">
        <f>C60*(1+E8)*(1+F8)*11*F23</f>
        <v>2849.59356</v>
      </c>
      <c r="G60" s="191">
        <f>C60*(1+E8)*(1+F8)*(1+G8)*11*G23</f>
        <v>2849.59356</v>
      </c>
      <c r="H60" s="191">
        <f>C60*(1+E8)*(1+F8)*(1+G8)*(1+H8)*11*H23</f>
        <v>2849.59356</v>
      </c>
      <c r="I60" s="191">
        <f>C60*(1+E8)*(1+F8)*(1+G8)*(1+H8)*(1+I8)*11*I23</f>
        <v>2849.59356</v>
      </c>
    </row>
    <row r="61" ht="12.75" customHeight="1">
      <c r="A61" t="s" s="249">
        <v>173</v>
      </c>
      <c r="B61" s="278"/>
      <c r="C61" s="276"/>
      <c r="D61" s="277"/>
      <c r="E61" s="277"/>
      <c r="F61" s="277"/>
      <c r="G61" s="277"/>
      <c r="H61" s="277"/>
      <c r="I61" s="277"/>
    </row>
    <row r="62" ht="12.75" customHeight="1">
      <c r="A62" t="s" s="129">
        <v>169</v>
      </c>
      <c r="B62" s="275"/>
      <c r="C62" s="279"/>
      <c r="D62" s="281"/>
      <c r="E62" s="281">
        <v>3000</v>
      </c>
      <c r="F62" s="281"/>
      <c r="G62" s="281"/>
      <c r="H62" s="281"/>
      <c r="I62" s="281"/>
    </row>
    <row r="63" ht="12.75" customHeight="1">
      <c r="A63" t="s" s="129">
        <v>170</v>
      </c>
      <c r="B63" s="275"/>
      <c r="C63" s="279"/>
      <c r="D63" s="281"/>
      <c r="E63" s="281"/>
      <c r="F63" s="281"/>
      <c r="G63" s="281"/>
      <c r="H63" s="281"/>
      <c r="I63" s="281"/>
    </row>
    <row r="64" ht="12.75" customHeight="1">
      <c r="A64" t="s" s="282">
        <v>174</v>
      </c>
      <c r="B64" s="283"/>
      <c r="C64" s="284"/>
      <c r="D64" s="281"/>
      <c r="E64" s="281"/>
      <c r="F64" s="281"/>
      <c r="G64" s="281"/>
      <c r="H64" s="281"/>
      <c r="I64" s="281"/>
    </row>
    <row r="65" ht="12.75" customHeight="1">
      <c r="A65" t="s" s="249">
        <v>175</v>
      </c>
      <c r="B65" s="283"/>
      <c r="C65" s="284"/>
      <c r="D65" s="281"/>
      <c r="E65" s="281"/>
      <c r="F65" s="281"/>
      <c r="G65" s="281"/>
      <c r="H65" s="281"/>
      <c r="I65" s="281"/>
    </row>
    <row r="66" ht="14.25" customHeight="1">
      <c r="A66" t="s" s="285">
        <v>176</v>
      </c>
      <c r="B66" s="286"/>
      <c r="C66" s="287"/>
      <c r="D66" s="137">
        <f>SUM(D57:D65)</f>
        <v>1297.56</v>
      </c>
      <c r="E66" s="137">
        <f>SUM(E57:E65)</f>
        <v>7800.54</v>
      </c>
      <c r="F66" s="137">
        <f>SUM(F57:F65)</f>
        <v>7006.90056</v>
      </c>
      <c r="G66" s="137">
        <f>SUM(G57:G65)</f>
        <v>7006.90056</v>
      </c>
      <c r="H66" s="137">
        <f>SUM(H57:H65)</f>
        <v>7006.90056</v>
      </c>
      <c r="I66" s="137">
        <f>SUM(I57:I65)</f>
        <v>7006.90056</v>
      </c>
    </row>
    <row r="67" ht="13.5" customHeight="1">
      <c r="A67" s="288"/>
      <c r="B67" s="289"/>
      <c r="C67" s="289"/>
      <c r="D67" s="31"/>
      <c r="E67" s="31"/>
      <c r="F67" s="31"/>
      <c r="G67" s="31"/>
      <c r="H67" s="31"/>
      <c r="I67" s="290"/>
    </row>
    <row r="68" ht="13.5" customHeight="1">
      <c r="A68" t="s" s="285">
        <v>177</v>
      </c>
      <c r="B68" s="286"/>
      <c r="C68" s="287"/>
      <c r="D68" s="137">
        <f>D52+D66</f>
        <v>4097.559999999999</v>
      </c>
      <c r="E68" s="137">
        <f>E52+E66</f>
        <v>17600.54</v>
      </c>
      <c r="F68" s="137">
        <f>F52+F66</f>
        <v>23804.10056</v>
      </c>
      <c r="G68" s="137">
        <f>G52+G66</f>
        <v>23804.10056</v>
      </c>
      <c r="H68" s="137">
        <f>H52+H66</f>
        <v>23804.10056</v>
      </c>
      <c r="I68" s="137">
        <f>I52+I66</f>
        <v>23804.10056</v>
      </c>
    </row>
    <row r="69" ht="13.5" customHeight="1">
      <c r="A69" s="291"/>
      <c r="B69" s="267"/>
      <c r="C69" s="267"/>
      <c r="D69" s="81"/>
      <c r="E69" s="81"/>
      <c r="F69" s="81"/>
      <c r="G69" s="81"/>
      <c r="H69" s="81"/>
      <c r="I69" s="212"/>
    </row>
    <row r="70" ht="12.75" customHeight="1">
      <c r="A70" s="292"/>
      <c r="B70" s="265"/>
      <c r="C70" s="265"/>
      <c r="D70" s="150"/>
      <c r="E70" s="150"/>
      <c r="F70" s="150"/>
      <c r="G70" s="150"/>
      <c r="H70" s="150"/>
      <c r="I70" s="213"/>
    </row>
    <row r="71" ht="12.75" customHeight="1">
      <c r="A71" t="s" s="271">
        <v>178</v>
      </c>
      <c r="B71" s="272"/>
      <c r="C71" s="273"/>
      <c r="D71" s="119">
        <f>D6</f>
        <v>2015</v>
      </c>
      <c r="E71" s="119">
        <f>E6</f>
        <v>2016</v>
      </c>
      <c r="F71" s="119">
        <f>F6</f>
        <v>2017</v>
      </c>
      <c r="G71" s="119">
        <f>G6</f>
        <v>2018</v>
      </c>
      <c r="H71" s="119">
        <f>H6</f>
        <v>2019</v>
      </c>
      <c r="I71" s="119">
        <f>I6</f>
        <v>2020</v>
      </c>
    </row>
    <row r="72" ht="12.75" customHeight="1">
      <c r="A72" t="s" s="249">
        <v>179</v>
      </c>
      <c r="B72" s="283"/>
      <c r="C72" s="284"/>
      <c r="D72" s="293"/>
      <c r="E72" s="293"/>
      <c r="F72" s="293"/>
      <c r="G72" s="293"/>
      <c r="H72" s="293"/>
      <c r="I72" s="293"/>
    </row>
    <row r="73" ht="12.75" customHeight="1">
      <c r="A73" t="s" s="129">
        <v>169</v>
      </c>
      <c r="B73" s="274"/>
      <c r="C73" s="284"/>
      <c r="D73" s="277">
        <f>D41+D62</f>
        <v>2800</v>
      </c>
      <c r="E73" s="277">
        <f>E41+E62</f>
        <v>12800</v>
      </c>
      <c r="F73" s="277">
        <f>F41+F62</f>
        <v>16797.2</v>
      </c>
      <c r="G73" s="277">
        <f>G41+G62</f>
        <v>16797.2</v>
      </c>
      <c r="H73" s="277">
        <f>H41+H62</f>
        <v>16797.2</v>
      </c>
      <c r="I73" s="277">
        <f>I41+I62</f>
        <v>16797.2</v>
      </c>
    </row>
    <row r="74" ht="12.75" customHeight="1">
      <c r="A74" t="s" s="129">
        <v>170</v>
      </c>
      <c r="B74" s="274"/>
      <c r="C74" s="284"/>
      <c r="D74" s="277">
        <f>SUM(D42:D51)+D63</f>
        <v>0</v>
      </c>
      <c r="E74" s="277">
        <f>SUM(E42:E51)+E63</f>
        <v>0</v>
      </c>
      <c r="F74" s="277">
        <f>SUM(F42:F51)+F63</f>
        <v>0</v>
      </c>
      <c r="G74" s="277">
        <f>SUM(G42:G51)+G63</f>
        <v>0</v>
      </c>
      <c r="H74" s="277">
        <f>SUM(H42:H51)+H63</f>
        <v>0</v>
      </c>
      <c r="I74" s="277">
        <f>SUM(I42:I51)+I63</f>
        <v>0</v>
      </c>
    </row>
    <row r="75" ht="12.75" customHeight="1">
      <c r="A75" t="s" s="249">
        <v>180</v>
      </c>
      <c r="B75" s="283"/>
      <c r="C75" s="284"/>
      <c r="D75" s="277">
        <f>D57+D58</f>
        <v>665</v>
      </c>
      <c r="E75" s="277">
        <f>E57+E58</f>
        <v>3040</v>
      </c>
      <c r="F75" s="277">
        <f>F57+F58</f>
        <v>3989.335</v>
      </c>
      <c r="G75" s="277">
        <f>G57+G58</f>
        <v>3989.335</v>
      </c>
      <c r="H75" s="277">
        <f>H57+H58</f>
        <v>3989.335</v>
      </c>
      <c r="I75" s="277">
        <f>I57+I58</f>
        <v>3989.335</v>
      </c>
    </row>
    <row r="76" ht="12.75" customHeight="1">
      <c r="A76" t="s" s="249">
        <v>181</v>
      </c>
      <c r="B76" s="283"/>
      <c r="C76" s="284"/>
      <c r="D76" s="277">
        <f>D59</f>
        <v>28</v>
      </c>
      <c r="E76" s="277">
        <f>E59</f>
        <v>98</v>
      </c>
      <c r="F76" s="277">
        <f>F59</f>
        <v>167.972</v>
      </c>
      <c r="G76" s="277">
        <f>G59</f>
        <v>167.972</v>
      </c>
      <c r="H76" s="277">
        <f>H59</f>
        <v>167.972</v>
      </c>
      <c r="I76" s="277">
        <f>I59</f>
        <v>167.972</v>
      </c>
    </row>
    <row r="77" ht="12.75" customHeight="1">
      <c r="A77" t="s" s="249">
        <v>182</v>
      </c>
      <c r="B77" s="283"/>
      <c r="C77" s="284"/>
      <c r="D77" s="277">
        <f>D60</f>
        <v>604.5600000000001</v>
      </c>
      <c r="E77" s="277">
        <f>E60</f>
        <v>1662.54</v>
      </c>
      <c r="F77" s="277">
        <f>F60</f>
        <v>2849.59356</v>
      </c>
      <c r="G77" s="277">
        <f>G60</f>
        <v>2849.59356</v>
      </c>
      <c r="H77" s="277">
        <f>H60</f>
        <v>2849.59356</v>
      </c>
      <c r="I77" s="277">
        <f>I60</f>
        <v>2849.59356</v>
      </c>
    </row>
    <row r="78" ht="12.75" customHeight="1">
      <c r="A78" t="s" s="249">
        <v>183</v>
      </c>
      <c r="B78" s="283"/>
      <c r="C78" s="284"/>
      <c r="D78" s="277">
        <f>D64+D65</f>
        <v>0</v>
      </c>
      <c r="E78" s="277">
        <f>E64+E65</f>
        <v>0</v>
      </c>
      <c r="F78" s="277">
        <f>F64+F65</f>
        <v>0</v>
      </c>
      <c r="G78" s="277">
        <f>G64+G65</f>
        <v>0</v>
      </c>
      <c r="H78" s="277">
        <f>H64+H65</f>
        <v>0</v>
      </c>
      <c r="I78" s="277">
        <f>I64+I65</f>
        <v>0</v>
      </c>
    </row>
    <row r="79" ht="13.5" customHeight="1">
      <c r="A79" t="s" s="285">
        <v>177</v>
      </c>
      <c r="B79" s="286"/>
      <c r="C79" s="287"/>
      <c r="D79" s="137">
        <f>SUM(D73:D78)</f>
        <v>4097.56</v>
      </c>
      <c r="E79" s="137">
        <f>SUM(E73:E78)</f>
        <v>17600.54</v>
      </c>
      <c r="F79" s="137">
        <f>SUM(F73:F78)</f>
        <v>23804.10056</v>
      </c>
      <c r="G79" s="137">
        <f>SUM(G73:G78)</f>
        <v>23804.10056</v>
      </c>
      <c r="H79" s="137">
        <f>SUM(H73:H78)</f>
        <v>23804.10056</v>
      </c>
      <c r="I79" s="137">
        <f>SUM(I73:I78)</f>
        <v>23804.10056</v>
      </c>
    </row>
    <row r="80" ht="13.5" customHeight="1">
      <c r="A80" s="294"/>
      <c r="B80" s="295"/>
      <c r="C80" s="295"/>
      <c r="D80" s="296"/>
      <c r="E80" s="296"/>
      <c r="F80" s="296"/>
      <c r="G80" s="296"/>
      <c r="H80" s="296"/>
      <c r="I80" s="297"/>
    </row>
    <row r="81" ht="12.75" customHeight="1">
      <c r="A81" s="292"/>
      <c r="B81" s="265"/>
      <c r="C81" s="49"/>
      <c r="D81" s="150"/>
      <c r="E81" s="150"/>
      <c r="F81" s="150"/>
      <c r="G81" s="150"/>
      <c r="H81" s="150"/>
      <c r="I81" s="213"/>
    </row>
    <row r="82" ht="12.75" customHeight="1">
      <c r="A82" t="s" s="271">
        <v>184</v>
      </c>
      <c r="B82" s="272"/>
      <c r="C82" s="273"/>
      <c r="D82" s="119">
        <f>D71</f>
        <v>2015</v>
      </c>
      <c r="E82" s="119">
        <f>E71</f>
        <v>2016</v>
      </c>
      <c r="F82" s="119">
        <f>F71</f>
        <v>2017</v>
      </c>
      <c r="G82" s="119">
        <f>G71</f>
        <v>2018</v>
      </c>
      <c r="H82" s="119">
        <f>H71</f>
        <v>2019</v>
      </c>
      <c r="I82" s="119">
        <f>I71</f>
        <v>2020</v>
      </c>
    </row>
    <row r="83" ht="12.75" customHeight="1">
      <c r="A83" t="s" s="249">
        <v>185</v>
      </c>
      <c r="B83" s="209"/>
      <c r="C83" s="276"/>
      <c r="D83" s="277"/>
      <c r="E83" s="277"/>
      <c r="F83" s="277"/>
      <c r="G83" s="277"/>
      <c r="H83" s="277"/>
      <c r="I83" s="277"/>
    </row>
    <row r="84" ht="12.75" customHeight="1">
      <c r="A84" t="s" s="129">
        <v>186</v>
      </c>
      <c r="B84" s="275"/>
      <c r="C84" s="276">
        <f>'Pressupostos'!B25</f>
        <v>0.11</v>
      </c>
      <c r="D84" s="277">
        <f>$C$84*D73</f>
        <v>308</v>
      </c>
      <c r="E84" s="277">
        <f>$C$84*E73</f>
        <v>1408</v>
      </c>
      <c r="F84" s="277">
        <f>$C$84*F73</f>
        <v>1847.692</v>
      </c>
      <c r="G84" s="277">
        <f>$C$84*G73</f>
        <v>1847.692</v>
      </c>
      <c r="H84" s="277">
        <f>$C$84*H73</f>
        <v>1847.692</v>
      </c>
      <c r="I84" s="277">
        <f>$C$84*I73</f>
        <v>1847.692</v>
      </c>
    </row>
    <row r="85" ht="12.75" customHeight="1">
      <c r="A85" t="s" s="129">
        <v>187</v>
      </c>
      <c r="B85" s="275"/>
      <c r="C85" s="276">
        <f>'Pressupostos'!B26</f>
        <v>0.11</v>
      </c>
      <c r="D85" s="277">
        <f>$C$85*D74</f>
        <v>0</v>
      </c>
      <c r="E85" s="277">
        <f>$C$85*E74</f>
        <v>0</v>
      </c>
      <c r="F85" s="277">
        <f>$C$85*F74</f>
        <v>0</v>
      </c>
      <c r="G85" s="277">
        <f>$C$85*G74</f>
        <v>0</v>
      </c>
      <c r="H85" s="277">
        <f>$C$85*H74</f>
        <v>0</v>
      </c>
      <c r="I85" s="277">
        <f>$C$85*I74</f>
        <v>0</v>
      </c>
    </row>
    <row r="86" ht="12.75" customHeight="1">
      <c r="A86" t="s" s="249">
        <v>188</v>
      </c>
      <c r="B86" s="209"/>
      <c r="C86" s="276">
        <f>'Pressupostos'!B27</f>
        <v>0.145</v>
      </c>
      <c r="D86" s="277">
        <f>$C$86*(D73+D74)</f>
        <v>406</v>
      </c>
      <c r="E86" s="277">
        <f>$C$86*(E73+E74)</f>
        <v>1856</v>
      </c>
      <c r="F86" s="277">
        <f>$C$86*(F73+F74)</f>
        <v>2435.594</v>
      </c>
      <c r="G86" s="277">
        <f>$C$86*(G73+G74)</f>
        <v>2435.594</v>
      </c>
      <c r="H86" s="277">
        <f>$C$86*(H73+H74)</f>
        <v>2435.594</v>
      </c>
      <c r="I86" s="277">
        <f>$C$86*(I73+I74)</f>
        <v>2435.594</v>
      </c>
    </row>
    <row r="87" ht="13.5" customHeight="1">
      <c r="A87" t="s" s="285">
        <v>189</v>
      </c>
      <c r="B87" s="286"/>
      <c r="C87" s="287"/>
      <c r="D87" s="137">
        <f>SUM(D84:D86)</f>
        <v>714</v>
      </c>
      <c r="E87" s="137">
        <f>SUM(E84:E86)</f>
        <v>3264</v>
      </c>
      <c r="F87" s="137">
        <f>SUM(F84:F86)</f>
        <v>4283.286</v>
      </c>
      <c r="G87" s="137">
        <f>SUM(G84:G86)</f>
        <v>4283.286</v>
      </c>
      <c r="H87" s="137">
        <f>SUM(H84:H86)</f>
        <v>4283.286</v>
      </c>
      <c r="I87" s="137">
        <f>SUM(I84:I86)</f>
        <v>4283.286</v>
      </c>
    </row>
    <row r="88" ht="13.5" customHeight="1">
      <c r="A88" s="298"/>
      <c r="B88" s="299"/>
      <c r="C88" s="300"/>
      <c r="D88" s="301"/>
      <c r="E88" s="301"/>
      <c r="F88" s="301"/>
      <c r="G88" s="301"/>
      <c r="H88" s="301"/>
      <c r="I88" s="302"/>
    </row>
    <row r="89" ht="12.75" customHeight="1">
      <c r="A89" s="92"/>
      <c r="B89" s="90"/>
      <c r="C89" s="303"/>
      <c r="D89" s="90"/>
      <c r="E89" s="90"/>
      <c r="F89" s="90"/>
      <c r="G89" s="90"/>
      <c r="H89" s="90"/>
      <c r="I89" s="91"/>
    </row>
    <row r="90" ht="12.75" customHeight="1">
      <c r="A90" s="304"/>
      <c r="B90" s="305"/>
      <c r="C90" s="306"/>
      <c r="D90" s="307"/>
      <c r="E90" s="307"/>
      <c r="F90" s="307"/>
      <c r="G90" s="307"/>
      <c r="H90" s="307"/>
      <c r="I90" s="308"/>
    </row>
  </sheetData>
  <mergeCells count="13"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  <mergeCell ref="A55:C55"/>
    <mergeCell ref="A40:C40"/>
    <mergeCell ref="A52:C52"/>
  </mergeCells>
  <pageMargins left="0.75" right="0.75" top="1" bottom="1" header="0.5" footer="0.5"/>
  <pageSetup firstPageNumber="1" fitToHeight="1" fitToWidth="1" scale="58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37"/>
  <sheetViews>
    <sheetView workbookViewId="0" showGridLines="0" defaultGridColor="1"/>
  </sheetViews>
  <sheetFormatPr defaultColWidth="6.5" defaultRowHeight="12.75" customHeight="1" outlineLevelRow="0" outlineLevelCol="0"/>
  <cols>
    <col min="1" max="1" width="23.125" style="309" customWidth="1"/>
    <col min="2" max="2" width="5.625" style="309" customWidth="1"/>
    <col min="3" max="3" width="8.625" style="309" customWidth="1"/>
    <col min="4" max="4" width="8.625" style="309" customWidth="1"/>
    <col min="5" max="5" width="8.625" style="309" customWidth="1"/>
    <col min="6" max="6" width="8.625" style="309" customWidth="1"/>
    <col min="7" max="7" width="8.625" style="309" customWidth="1"/>
    <col min="8" max="8" width="8.625" style="309" customWidth="1"/>
    <col min="9" max="256" width="6.5" style="309" customWidth="1"/>
  </cols>
  <sheetData>
    <row r="1" ht="13.5" customHeight="1">
      <c r="A1" s="197"/>
      <c r="B1" s="3"/>
      <c r="C1" s="104"/>
      <c r="D1" s="104"/>
      <c r="E1" s="104"/>
      <c r="F1" s="104"/>
      <c r="G1" t="s" s="105">
        <v>20</v>
      </c>
      <c r="H1" t="s" s="232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201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202"/>
    </row>
    <row r="4" ht="13.5" customHeight="1">
      <c r="A4" t="s" s="42">
        <v>190</v>
      </c>
      <c r="B4" s="11"/>
      <c r="C4" s="11"/>
      <c r="D4" s="11"/>
      <c r="E4" s="11"/>
      <c r="F4" s="11"/>
      <c r="G4" s="11"/>
      <c r="H4" s="203"/>
    </row>
    <row r="5" ht="12.75" customHeight="1">
      <c r="A5" s="43"/>
      <c r="B5" s="12"/>
      <c r="C5" s="12"/>
      <c r="D5" s="12"/>
      <c r="E5" s="12"/>
      <c r="F5" s="12"/>
      <c r="G5" s="12"/>
      <c r="H5" s="204"/>
    </row>
    <row r="6" ht="12.75" customHeight="1">
      <c r="A6" s="48"/>
      <c r="B6" s="265"/>
      <c r="C6" s="150"/>
      <c r="D6" s="150"/>
      <c r="E6" s="150"/>
      <c r="F6" s="150"/>
      <c r="G6" s="150"/>
      <c r="H6" s="213"/>
    </row>
    <row r="7" ht="12.75" customHeight="1">
      <c r="A7" s="310"/>
      <c r="B7" s="27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7">
        <v>191</v>
      </c>
      <c r="B8" s="278"/>
      <c r="C8" s="311"/>
      <c r="D8" s="293"/>
      <c r="E8" s="293"/>
      <c r="F8" s="293"/>
      <c r="G8" s="293"/>
      <c r="H8" s="293"/>
    </row>
    <row r="9" ht="12.75" customHeight="1">
      <c r="A9" t="s" s="129">
        <v>192</v>
      </c>
      <c r="B9" s="278"/>
      <c r="C9" s="312"/>
      <c r="D9" s="313">
        <f>C9</f>
        <v>0</v>
      </c>
      <c r="E9" s="313">
        <f>D9</f>
        <v>0</v>
      </c>
      <c r="F9" s="313">
        <f>E9</f>
        <v>0</v>
      </c>
      <c r="G9" s="313">
        <f>F9</f>
        <v>0</v>
      </c>
      <c r="H9" s="313">
        <f>G9</f>
        <v>0</v>
      </c>
    </row>
    <row r="10" ht="12.75" customHeight="1">
      <c r="A10" t="s" s="129">
        <v>193</v>
      </c>
      <c r="B10" s="278"/>
      <c r="C10" s="313">
        <f>'VN'!C84*'Pressupostos'!$C$13/12</f>
        <v>853.8249999999999</v>
      </c>
      <c r="D10" s="313">
        <f>'VN'!D84*'Pressupostos'!$C$13/12</f>
        <v>3550.0921125</v>
      </c>
      <c r="E10" s="313">
        <f>'VN'!E84*'Pressupostos'!$C$13/12</f>
        <v>4618.1470016475</v>
      </c>
      <c r="F10" s="313">
        <f>'VN'!F84*'Pressupostos'!$C$13/12</f>
        <v>4962.020516879435</v>
      </c>
      <c r="G10" s="313">
        <f>'VN'!G84*'Pressupostos'!$C$13/12</f>
        <v>4962.020516879435</v>
      </c>
      <c r="H10" s="313">
        <f>'VN'!H84*'Pressupostos'!$C$13/12</f>
        <v>4962.020516879435</v>
      </c>
    </row>
    <row r="11" ht="12.75" customHeight="1">
      <c r="A11" t="s" s="129">
        <v>194</v>
      </c>
      <c r="B11" s="278"/>
      <c r="C11" s="313">
        <f>'CMVMC'!C16*'Pressupostos'!$C$15/12</f>
        <v>0</v>
      </c>
      <c r="D11" s="313">
        <f>'CMVMC'!D16*'Pressupostos'!$C$15/12</f>
        <v>0</v>
      </c>
      <c r="E11" s="313">
        <f>'CMVMC'!E16*'Pressupostos'!$C$15/12</f>
        <v>0</v>
      </c>
      <c r="F11" s="313">
        <f>'CMVMC'!F16*'Pressupostos'!$C$15/12</f>
        <v>0</v>
      </c>
      <c r="G11" s="313">
        <f>'CMVMC'!G16*'Pressupostos'!$C$15/12</f>
        <v>0</v>
      </c>
      <c r="H11" s="313">
        <f>'CMVMC'!H16*'Pressupostos'!$C$15/12</f>
        <v>0</v>
      </c>
    </row>
    <row r="12" ht="12.75" customHeight="1">
      <c r="A12" t="s" s="129">
        <v>195</v>
      </c>
      <c r="B12" s="278"/>
      <c r="C12" s="313">
        <f>IF(C29&lt;0,-C29,0)</f>
        <v>0</v>
      </c>
      <c r="D12" s="313">
        <f>IF(D29&lt;0,-D29,0)</f>
        <v>0</v>
      </c>
      <c r="E12" s="313">
        <f>IF(E29&lt;0,-E29,0)</f>
        <v>0</v>
      </c>
      <c r="F12" s="313">
        <f>IF(F29&lt;0,-F29,0)</f>
        <v>0</v>
      </c>
      <c r="G12" s="313">
        <f>IF(G29&lt;0,-G29,0)</f>
        <v>0</v>
      </c>
      <c r="H12" s="313">
        <f>IF(H29&lt;0,-H29,0)</f>
        <v>0</v>
      </c>
    </row>
    <row r="13" ht="12.75" customHeight="1">
      <c r="A13" t="s" s="314">
        <v>196</v>
      </c>
      <c r="B13" s="315"/>
      <c r="C13" s="256"/>
      <c r="D13" s="256"/>
      <c r="E13" s="256"/>
      <c r="F13" s="256"/>
      <c r="G13" s="256"/>
      <c r="H13" s="256"/>
    </row>
    <row r="14" ht="12.75" customHeight="1">
      <c r="A14" t="s" s="314">
        <v>196</v>
      </c>
      <c r="B14" s="315"/>
      <c r="C14" s="256"/>
      <c r="D14" s="256"/>
      <c r="E14" s="256"/>
      <c r="F14" s="256"/>
      <c r="G14" s="256"/>
      <c r="H14" s="256"/>
    </row>
    <row r="15" ht="12.75" customHeight="1">
      <c r="A15" t="s" s="120">
        <v>164</v>
      </c>
      <c r="B15" s="118"/>
      <c r="C15" s="316">
        <f>SUM(C9:C14)</f>
        <v>853.8249999999999</v>
      </c>
      <c r="D15" s="316">
        <f>SUM(D9:D14)</f>
        <v>3550.0921125</v>
      </c>
      <c r="E15" s="316">
        <f>SUM(E9:E14)</f>
        <v>4618.1470016475</v>
      </c>
      <c r="F15" s="316">
        <f>SUM(F9:F14)</f>
        <v>4962.020516879435</v>
      </c>
      <c r="G15" s="316">
        <f>SUM(G9:G14)</f>
        <v>4962.020516879435</v>
      </c>
      <c r="H15" s="316">
        <f>SUM(H9:H14)</f>
        <v>4962.020516879435</v>
      </c>
    </row>
    <row r="16" ht="12.75" customHeight="1">
      <c r="A16" t="s" s="317">
        <v>197</v>
      </c>
      <c r="B16" s="278"/>
      <c r="C16" s="318"/>
      <c r="D16" s="319"/>
      <c r="E16" s="319"/>
      <c r="F16" s="319"/>
      <c r="G16" s="319"/>
      <c r="H16" s="319"/>
    </row>
    <row r="17" ht="12.75" customHeight="1">
      <c r="A17" t="s" s="129">
        <v>198</v>
      </c>
      <c r="B17" s="278"/>
      <c r="C17" s="313">
        <f>('CMVMC'!C20+'FSE'!F53)*'Pressupostos'!$C$14/12</f>
        <v>200.075</v>
      </c>
      <c r="D17" s="313">
        <f>('CMVMC'!D20+'FSE'!G53)*'Pressupostos'!$C$14/12</f>
        <v>618.23175</v>
      </c>
      <c r="E17" s="313">
        <f>('CMVMC'!E20+'FSE'!H53)*'Pressupostos'!$C$14/12</f>
        <v>636.7787025000001</v>
      </c>
      <c r="F17" s="313">
        <f>('CMVMC'!F20+'FSE'!I53)*'Pressupostos'!$C$14/12</f>
        <v>655.882063575</v>
      </c>
      <c r="G17" s="313">
        <f>('CMVMC'!G20+'FSE'!J53)*'Pressupostos'!$C$14/12</f>
        <v>675.558525482250</v>
      </c>
      <c r="H17" s="313">
        <f>('CMVMC'!H20+'FSE'!K53)*'Pressupostos'!$C$14/12</f>
        <v>695.8252812467175</v>
      </c>
    </row>
    <row r="18" ht="12.75" customHeight="1">
      <c r="A18" t="s" s="129">
        <v>195</v>
      </c>
      <c r="B18" s="278"/>
      <c r="C18" s="313">
        <f>IF(C29&gt;0,C29,0)</f>
        <v>38.97132499999998</v>
      </c>
      <c r="D18" s="313">
        <f>IF(D29&gt;0,D29,0)</f>
        <v>2254.378170833333</v>
      </c>
      <c r="E18" s="313">
        <f>IF(E29&gt;0,E29,0)</f>
        <v>3013.158556025834</v>
      </c>
      <c r="F18" s="313">
        <f>IF(F29&gt;0,F29,0)</f>
        <v>3201.506380187041</v>
      </c>
      <c r="G18" s="313">
        <f>IF(G29&gt;0,G29,0)</f>
        <v>3196.812844540291</v>
      </c>
      <c r="H18" s="313">
        <f>IF(H29&gt;0,H29,0)</f>
        <v>3191.978502824139</v>
      </c>
    </row>
    <row r="19" ht="12.75" customHeight="1">
      <c r="A19" t="s" s="314">
        <v>196</v>
      </c>
      <c r="B19" s="315"/>
      <c r="C19" s="256"/>
      <c r="D19" s="256"/>
      <c r="E19" s="256"/>
      <c r="F19" s="256"/>
      <c r="G19" s="256"/>
      <c r="H19" s="256"/>
    </row>
    <row r="20" ht="13.5" customHeight="1">
      <c r="A20" t="s" s="120">
        <v>164</v>
      </c>
      <c r="B20" s="118"/>
      <c r="C20" s="316">
        <f>SUM(C17:C19)</f>
        <v>239.046325</v>
      </c>
      <c r="D20" s="316">
        <f>SUM(D17:D19)</f>
        <v>2872.609920833333</v>
      </c>
      <c r="E20" s="316">
        <f>SUM(E17:E19)</f>
        <v>3649.937258525834</v>
      </c>
      <c r="F20" s="316">
        <f>SUM(F17:F19)</f>
        <v>3857.388443762041</v>
      </c>
      <c r="G20" s="316">
        <f>SUM(G17:G19)</f>
        <v>3872.371370022541</v>
      </c>
      <c r="H20" s="316">
        <f>SUM(H17:H19)</f>
        <v>3887.803784070856</v>
      </c>
    </row>
    <row r="21" ht="13.5" customHeight="1">
      <c r="A21" s="320"/>
      <c r="B21" s="289"/>
      <c r="C21" s="321"/>
      <c r="D21" s="322"/>
      <c r="E21" s="322"/>
      <c r="F21" s="322"/>
      <c r="G21" s="322"/>
      <c r="H21" s="323"/>
    </row>
    <row r="22" ht="13.5" customHeight="1">
      <c r="A22" t="s" s="85">
        <v>199</v>
      </c>
      <c r="B22" s="275"/>
      <c r="C22" s="316">
        <f>C15-C20</f>
        <v>614.7786749999999</v>
      </c>
      <c r="D22" s="316">
        <f>D15-D20</f>
        <v>677.4821916666669</v>
      </c>
      <c r="E22" s="316">
        <f>E15-E20</f>
        <v>968.2097431216666</v>
      </c>
      <c r="F22" s="316">
        <f>F15-F20</f>
        <v>1104.632073117395</v>
      </c>
      <c r="G22" s="316">
        <f>G15-G20</f>
        <v>1089.649146856895</v>
      </c>
      <c r="H22" s="316">
        <f>H15-H20</f>
        <v>1074.216732808579</v>
      </c>
    </row>
    <row r="23" ht="13.5" customHeight="1">
      <c r="A23" s="324"/>
      <c r="B23" s="325"/>
      <c r="C23" s="321"/>
      <c r="D23" s="322"/>
      <c r="E23" s="322"/>
      <c r="F23" s="322"/>
      <c r="G23" s="322"/>
      <c r="H23" s="323"/>
    </row>
    <row r="24" ht="13.5" customHeight="1">
      <c r="A24" t="s" s="85">
        <v>200</v>
      </c>
      <c r="B24" s="275"/>
      <c r="C24" s="316">
        <f>C22</f>
        <v>614.7786749999999</v>
      </c>
      <c r="D24" s="316">
        <f>D22-C22</f>
        <v>62.70351666666704</v>
      </c>
      <c r="E24" s="316">
        <f>E22-D22</f>
        <v>290.7275514549997</v>
      </c>
      <c r="F24" s="316">
        <f>F22-E22</f>
        <v>136.422329995728</v>
      </c>
      <c r="G24" s="316">
        <f>G22-F22</f>
        <v>-14.98292626049988</v>
      </c>
      <c r="H24" s="316">
        <f>H22-G22</f>
        <v>-15.43241404831542</v>
      </c>
    </row>
    <row r="25" ht="13.5" customHeight="1">
      <c r="A25" s="326"/>
      <c r="B25" s="267"/>
      <c r="C25" s="242"/>
      <c r="D25" s="81"/>
      <c r="E25" s="81"/>
      <c r="F25" s="81"/>
      <c r="G25" s="81"/>
      <c r="H25" s="212"/>
    </row>
    <row r="26" ht="12.75" customHeight="1">
      <c r="A26" t="s" s="327">
        <v>201</v>
      </c>
      <c r="B26" s="260"/>
      <c r="C26" s="328"/>
      <c r="D26" s="7"/>
      <c r="E26" s="7"/>
      <c r="F26" s="7"/>
      <c r="G26" s="7"/>
      <c r="H26" s="329"/>
    </row>
    <row r="27" ht="12.75" customHeight="1">
      <c r="A27" s="41"/>
      <c r="B27" s="7"/>
      <c r="C27" s="7"/>
      <c r="D27" s="7"/>
      <c r="E27" s="330"/>
      <c r="F27" s="7"/>
      <c r="G27" s="7"/>
      <c r="H27" s="329"/>
    </row>
    <row r="28" ht="12.75" customHeight="1">
      <c r="A28" s="331"/>
      <c r="B28" s="332"/>
      <c r="C28" s="333"/>
      <c r="D28" s="333"/>
      <c r="E28" s="333"/>
      <c r="F28" s="333"/>
      <c r="G28" s="333"/>
      <c r="H28" s="334"/>
    </row>
    <row r="29" ht="12.75" customHeight="1">
      <c r="A29" t="s" s="335">
        <v>202</v>
      </c>
      <c r="B29" s="336"/>
      <c r="C29" s="337">
        <f>SUM(C30:C32)</f>
        <v>38.97132499999998</v>
      </c>
      <c r="D29" s="337">
        <f>SUM(D30:D32)</f>
        <v>2254.378170833333</v>
      </c>
      <c r="E29" s="337">
        <f>SUM(E30:E32)</f>
        <v>3013.158556025834</v>
      </c>
      <c r="F29" s="337">
        <f>SUM(F30:F32)</f>
        <v>3201.506380187041</v>
      </c>
      <c r="G29" s="337">
        <f>SUM(G30:G32)</f>
        <v>3196.812844540291</v>
      </c>
      <c r="H29" s="337">
        <f>SUM(H30:H32)</f>
        <v>3191.978502824139</v>
      </c>
    </row>
    <row r="30" ht="12.75" customHeight="1">
      <c r="A30" t="s" s="338">
        <v>203</v>
      </c>
      <c r="B30" s="336"/>
      <c r="C30" s="339">
        <f>('Gastos com Pessoal'!D84+'Gastos com Pessoal'!D85+'Gastos com Pessoal'!D57+'Gastos com Pessoal'!D58)/'FSE'!F8</f>
        <v>243.25</v>
      </c>
      <c r="D30" s="339">
        <f>('Gastos com Pessoal'!E84+'Gastos com Pessoal'!E85+'Gastos com Pessoal'!E57+'Gastos com Pessoal'!E58)/'FSE'!G8</f>
        <v>370.6666666666667</v>
      </c>
      <c r="E30" s="339">
        <f>('Gastos com Pessoal'!F84+'Gastos com Pessoal'!F85+'Gastos com Pessoal'!F57+'Gastos com Pessoal'!F58)/'FSE'!H8</f>
        <v>486.4189166666667</v>
      </c>
      <c r="F30" s="339">
        <f>('Gastos com Pessoal'!G84+'Gastos com Pessoal'!G85+'Gastos com Pessoal'!G57+'Gastos com Pessoal'!G58)/'FSE'!I8</f>
        <v>486.4189166666667</v>
      </c>
      <c r="G30" s="339">
        <f>('Gastos com Pessoal'!H84+'Gastos com Pessoal'!H85+'Gastos com Pessoal'!H57+'Gastos com Pessoal'!H58)/'FSE'!J8</f>
        <v>486.4189166666667</v>
      </c>
      <c r="H30" s="339">
        <f>('Gastos com Pessoal'!I84+'Gastos com Pessoal'!I85+'Gastos com Pessoal'!I57+'Gastos com Pessoal'!I58)/'FSE'!K8</f>
        <v>486.4189166666667</v>
      </c>
    </row>
    <row r="31" ht="12.75" customHeight="1">
      <c r="A31" t="s" s="338">
        <v>204</v>
      </c>
      <c r="B31" s="336"/>
      <c r="C31" s="339">
        <f>'Gastos com Pessoal'!D86/'FSE'!F8</f>
        <v>101.5</v>
      </c>
      <c r="D31" s="339">
        <f>'Gastos com Pessoal'!E86/'FSE'!G8</f>
        <v>154.6666666666667</v>
      </c>
      <c r="E31" s="339">
        <f>'Gastos com Pessoal'!F86/'FSE'!H8</f>
        <v>202.9661666666667</v>
      </c>
      <c r="F31" s="339">
        <f>'Gastos com Pessoal'!G86/'FSE'!I8</f>
        <v>202.9661666666667</v>
      </c>
      <c r="G31" s="339">
        <f>'Gastos com Pessoal'!H86/'FSE'!J8</f>
        <v>202.9661666666667</v>
      </c>
      <c r="H31" s="339">
        <f>'Gastos com Pessoal'!I86/'FSE'!K8</f>
        <v>202.9661666666667</v>
      </c>
    </row>
    <row r="32" ht="12.75" customHeight="1">
      <c r="A32" t="s" s="338">
        <v>94</v>
      </c>
      <c r="B32" s="336"/>
      <c r="C32" s="339">
        <f>('VN'!C82-'CMVMC'!C18-'FSE'!F51-'Investimento'!C31)/4</f>
        <v>-305.778675</v>
      </c>
      <c r="D32" s="339">
        <f>('VN'!D82-'CMVMC'!D18-'FSE'!G51-'Investimento'!D31)/4</f>
        <v>1729.0448375</v>
      </c>
      <c r="E32" s="339">
        <f>('VN'!E82-'CMVMC'!E18-'FSE'!H51-'Investimento'!E31)/4</f>
        <v>2323.7734726925</v>
      </c>
      <c r="F32" s="339">
        <f>('VN'!F82-'CMVMC'!F18-'FSE'!I51-'Investimento'!F31)/4</f>
        <v>2512.121296853708</v>
      </c>
      <c r="G32" s="339">
        <f>('VN'!G82-'CMVMC'!G18-'FSE'!J51-'Investimento'!G31)/4</f>
        <v>2507.427761206958</v>
      </c>
      <c r="H32" s="339">
        <f>('VN'!H82-'CMVMC'!H18-'FSE'!K51-'Investimento'!H31)/4</f>
        <v>2502.593419490805</v>
      </c>
    </row>
    <row r="33" ht="12.75" customHeight="1">
      <c r="A33" s="340"/>
      <c r="B33" s="341"/>
      <c r="C33" s="341"/>
      <c r="D33" s="341"/>
      <c r="E33" s="342"/>
      <c r="F33" s="341"/>
      <c r="G33" s="341"/>
      <c r="H33" s="343"/>
    </row>
    <row r="34" ht="12.75" customHeight="1">
      <c r="A34" s="6"/>
      <c r="B34" s="8"/>
      <c r="C34" s="8"/>
      <c r="D34" s="8"/>
      <c r="E34" s="344"/>
      <c r="F34" s="8"/>
      <c r="G34" s="8"/>
      <c r="H34" s="9"/>
    </row>
    <row r="35" ht="12.75" customHeight="1">
      <c r="A35" s="6"/>
      <c r="B35" s="8"/>
      <c r="C35" s="8"/>
      <c r="D35" s="8"/>
      <c r="E35" s="344"/>
      <c r="F35" s="8"/>
      <c r="G35" s="8"/>
      <c r="H35" s="9"/>
    </row>
    <row r="36" ht="12.75" customHeight="1">
      <c r="A36" s="6"/>
      <c r="B36" s="8"/>
      <c r="C36" s="8"/>
      <c r="D36" s="8"/>
      <c r="E36" s="344"/>
      <c r="F36" s="8"/>
      <c r="G36" s="8"/>
      <c r="H36" s="9"/>
    </row>
    <row r="37" ht="12.75" customHeight="1">
      <c r="A37" s="345"/>
      <c r="B37" s="34"/>
      <c r="C37" s="34"/>
      <c r="D37" s="34"/>
      <c r="E37" s="346"/>
      <c r="F37" s="34"/>
      <c r="G37" s="34"/>
      <c r="H37" s="35"/>
    </row>
  </sheetData>
  <mergeCells count="6">
    <mergeCell ref="A4:H4"/>
    <mergeCell ref="A15:B15"/>
    <mergeCell ref="A20:B20"/>
    <mergeCell ref="A19:B19"/>
    <mergeCell ref="A13:B13"/>
    <mergeCell ref="A14:B1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8.xml><?xml version="1.0" encoding="utf-8"?>
<worksheet xmlns:r="http://schemas.openxmlformats.org/officeDocument/2006/relationships" xmlns="http://schemas.openxmlformats.org/spreadsheetml/2006/main">
  <dimension ref="A1:H180"/>
  <sheetViews>
    <sheetView workbookViewId="0" showGridLines="0" defaultGridColor="1"/>
  </sheetViews>
  <sheetFormatPr defaultColWidth="6.5" defaultRowHeight="12.75" customHeight="1" outlineLevelRow="0" outlineLevelCol="0"/>
  <cols>
    <col min="1" max="1" width="26.75" style="347" customWidth="1"/>
    <col min="2" max="2" width="6.5" style="347" customWidth="1"/>
    <col min="3" max="3" width="7.25" style="347" customWidth="1"/>
    <col min="4" max="4" width="7.25" style="347" customWidth="1"/>
    <col min="5" max="5" width="7.25" style="347" customWidth="1"/>
    <col min="6" max="6" width="7.25" style="347" customWidth="1"/>
    <col min="7" max="7" width="7.25" style="347" customWidth="1"/>
    <col min="8" max="8" width="7.25" style="347" customWidth="1"/>
    <col min="9" max="256" width="6.5" style="347" customWidth="1"/>
  </cols>
  <sheetData>
    <row r="1" ht="13.5" customHeight="1">
      <c r="A1" s="197"/>
      <c r="B1" s="3"/>
      <c r="C1" s="104"/>
      <c r="D1" s="104"/>
      <c r="E1" s="104"/>
      <c r="F1" s="104"/>
      <c r="G1" t="s" s="198">
        <v>20</v>
      </c>
      <c r="H1" t="s" s="199">
        <f>'Pressupostos'!E1</f>
        <v>58</v>
      </c>
    </row>
    <row r="2" ht="12.75" customHeight="1">
      <c r="A2" s="109"/>
      <c r="B2" s="107"/>
      <c r="C2" s="107"/>
      <c r="D2" s="107"/>
      <c r="E2" s="107"/>
      <c r="F2" s="107"/>
      <c r="G2" s="7"/>
      <c r="H2" t="s" s="201">
        <f>'Pressupostos'!B9</f>
        <v>25</v>
      </c>
    </row>
    <row r="3" ht="12.75" customHeight="1">
      <c r="A3" s="109"/>
      <c r="B3" s="107"/>
      <c r="C3" s="107"/>
      <c r="D3" s="107"/>
      <c r="E3" s="107"/>
      <c r="F3" s="107"/>
      <c r="G3" s="7"/>
      <c r="H3" s="202"/>
    </row>
    <row r="4" ht="15.75" customHeight="1">
      <c r="A4" t="s" s="42">
        <v>205</v>
      </c>
      <c r="B4" s="11"/>
      <c r="C4" s="11"/>
      <c r="D4" s="11"/>
      <c r="E4" s="11"/>
      <c r="F4" s="11"/>
      <c r="G4" s="11"/>
      <c r="H4" s="203"/>
    </row>
    <row r="5" ht="12.75" customHeight="1">
      <c r="A5" s="111"/>
      <c r="B5" s="112"/>
      <c r="C5" s="112"/>
      <c r="D5" s="112"/>
      <c r="E5" s="112"/>
      <c r="F5" s="112"/>
      <c r="G5" s="112"/>
      <c r="H5" s="348"/>
    </row>
    <row r="6" ht="12.75" customHeight="1">
      <c r="A6" s="349"/>
      <c r="B6" s="350"/>
      <c r="C6" s="150"/>
      <c r="D6" s="150"/>
      <c r="E6" s="150"/>
      <c r="F6" s="150"/>
      <c r="G6" s="150"/>
      <c r="H6" s="213"/>
    </row>
    <row r="7" ht="12.75" customHeight="1">
      <c r="A7" t="s" s="125">
        <v>206</v>
      </c>
      <c r="B7" s="121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7">
        <v>207</v>
      </c>
      <c r="B8" s="121"/>
      <c r="C8" s="214"/>
      <c r="D8" s="214"/>
      <c r="E8" s="214"/>
      <c r="F8" s="214"/>
      <c r="G8" s="214"/>
      <c r="H8" s="214"/>
    </row>
    <row r="9" ht="12.75" customHeight="1">
      <c r="A9" t="s" s="129">
        <v>208</v>
      </c>
      <c r="B9" s="121"/>
      <c r="C9" s="351"/>
      <c r="D9" s="351"/>
      <c r="E9" s="351"/>
      <c r="F9" s="351"/>
      <c r="G9" s="351"/>
      <c r="H9" s="351"/>
    </row>
    <row r="10" ht="12.75" customHeight="1">
      <c r="A10" t="s" s="129">
        <v>209</v>
      </c>
      <c r="B10" s="121"/>
      <c r="C10" s="351"/>
      <c r="D10" s="351"/>
      <c r="E10" s="351"/>
      <c r="F10" s="351"/>
      <c r="G10" s="351"/>
      <c r="H10" s="351"/>
    </row>
    <row r="11" ht="12.75" customHeight="1">
      <c r="A11" t="s" s="129">
        <v>210</v>
      </c>
      <c r="B11" s="121"/>
      <c r="C11" s="351"/>
      <c r="D11" s="351"/>
      <c r="E11" s="351"/>
      <c r="F11" s="351"/>
      <c r="G11" s="351"/>
      <c r="H11" s="351"/>
    </row>
    <row r="12" ht="12.75" customHeight="1">
      <c r="A12" t="s" s="120">
        <v>211</v>
      </c>
      <c r="B12" s="118"/>
      <c r="C12" s="352">
        <f>SUM(C9:C11)</f>
        <v>0</v>
      </c>
      <c r="D12" s="352">
        <f>SUM(D9:D11)</f>
        <v>0</v>
      </c>
      <c r="E12" s="352">
        <f>SUM(E9:E11)</f>
        <v>0</v>
      </c>
      <c r="F12" s="352">
        <f>SUM(F9:F11)</f>
        <v>0</v>
      </c>
      <c r="G12" s="352">
        <f>SUM(G9:G11)</f>
        <v>0</v>
      </c>
      <c r="H12" s="352">
        <f>SUM(H9:H11)</f>
        <v>0</v>
      </c>
    </row>
    <row r="13" ht="12.75" customHeight="1">
      <c r="A13" t="s" s="207">
        <v>212</v>
      </c>
      <c r="B13" s="209"/>
      <c r="C13" s="353"/>
      <c r="D13" s="353"/>
      <c r="E13" s="353"/>
      <c r="F13" s="353"/>
      <c r="G13" s="353"/>
      <c r="H13" s="353"/>
    </row>
    <row r="14" ht="12.75" customHeight="1">
      <c r="A14" t="s" s="129">
        <v>213</v>
      </c>
      <c r="B14" s="209"/>
      <c r="C14" s="351"/>
      <c r="D14" s="351"/>
      <c r="E14" s="351"/>
      <c r="F14" s="351"/>
      <c r="G14" s="351"/>
      <c r="H14" s="351"/>
    </row>
    <row r="15" ht="12.75" customHeight="1">
      <c r="A15" t="s" s="129">
        <v>214</v>
      </c>
      <c r="B15" s="209"/>
      <c r="C15" s="351"/>
      <c r="D15" s="351"/>
      <c r="E15" s="351"/>
      <c r="F15" s="351"/>
      <c r="G15" s="351"/>
      <c r="H15" s="351"/>
    </row>
    <row r="16" ht="12.75" customHeight="1">
      <c r="A16" t="s" s="129">
        <v>215</v>
      </c>
      <c r="B16" s="209"/>
      <c r="C16" s="351">
        <v>12817.89</v>
      </c>
      <c r="D16" s="351">
        <v>2000</v>
      </c>
      <c r="E16" s="351">
        <v>2000</v>
      </c>
      <c r="F16" s="351">
        <v>2000</v>
      </c>
      <c r="G16" s="351">
        <v>2000</v>
      </c>
      <c r="H16" s="351">
        <v>2000</v>
      </c>
    </row>
    <row r="17" ht="12.75" customHeight="1">
      <c r="A17" t="s" s="129">
        <v>216</v>
      </c>
      <c r="B17" s="209"/>
      <c r="C17" s="351"/>
      <c r="D17" s="351"/>
      <c r="E17" s="351"/>
      <c r="F17" s="351"/>
      <c r="G17" s="351"/>
      <c r="H17" s="351"/>
    </row>
    <row r="18" ht="12.75" customHeight="1">
      <c r="A18" t="s" s="129">
        <v>217</v>
      </c>
      <c r="B18" s="209"/>
      <c r="C18" s="351"/>
      <c r="D18" s="351"/>
      <c r="E18" s="351"/>
      <c r="F18" s="351"/>
      <c r="G18" s="351"/>
      <c r="H18" s="351"/>
    </row>
    <row r="19" ht="12.75" customHeight="1">
      <c r="A19" t="s" s="129">
        <v>218</v>
      </c>
      <c r="B19" s="209"/>
      <c r="C19" s="351"/>
      <c r="D19" s="351"/>
      <c r="E19" s="351"/>
      <c r="F19" s="351"/>
      <c r="G19" s="351"/>
      <c r="H19" s="351"/>
    </row>
    <row r="20" ht="12.75" customHeight="1">
      <c r="A20" t="s" s="129">
        <v>219</v>
      </c>
      <c r="B20" s="209"/>
      <c r="C20" s="351"/>
      <c r="D20" s="351"/>
      <c r="E20" s="351"/>
      <c r="F20" s="351"/>
      <c r="G20" s="351"/>
      <c r="H20" s="351"/>
    </row>
    <row r="21" ht="12.75" customHeight="1">
      <c r="A21" t="s" s="285">
        <v>220</v>
      </c>
      <c r="B21" s="287"/>
      <c r="C21" s="354">
        <f>SUM(C14:C20)</f>
        <v>12817.89</v>
      </c>
      <c r="D21" s="354">
        <f>SUM(D14:D20)</f>
        <v>2000</v>
      </c>
      <c r="E21" s="354">
        <f>SUM(E14:E20)</f>
        <v>2000</v>
      </c>
      <c r="F21" s="354">
        <f>SUM(F14:F20)</f>
        <v>2000</v>
      </c>
      <c r="G21" s="354">
        <f>SUM(G14:G20)</f>
        <v>2000</v>
      </c>
      <c r="H21" s="354">
        <f>SUM(H14:H20)</f>
        <v>2000</v>
      </c>
    </row>
    <row r="22" ht="12.75" customHeight="1">
      <c r="A22" t="s" s="207">
        <v>221</v>
      </c>
      <c r="B22" s="209"/>
      <c r="C22" s="355"/>
      <c r="D22" s="355"/>
      <c r="E22" s="355"/>
      <c r="F22" s="355"/>
      <c r="G22" s="355"/>
      <c r="H22" s="355"/>
    </row>
    <row r="23" ht="12.75" customHeight="1">
      <c r="A23" t="s" s="129">
        <v>222</v>
      </c>
      <c r="B23" s="209"/>
      <c r="C23" s="351"/>
      <c r="D23" s="351"/>
      <c r="E23" s="351"/>
      <c r="F23" s="351"/>
      <c r="G23" s="351"/>
      <c r="H23" s="351"/>
    </row>
    <row r="24" ht="12.75" customHeight="1">
      <c r="A24" t="s" s="129">
        <v>223</v>
      </c>
      <c r="B24" s="209"/>
      <c r="C24" s="351"/>
      <c r="D24" s="351"/>
      <c r="E24" s="351"/>
      <c r="F24" s="351"/>
      <c r="G24" s="351"/>
      <c r="H24" s="351"/>
    </row>
    <row r="25" ht="12.75" customHeight="1">
      <c r="A25" t="s" s="129">
        <v>224</v>
      </c>
      <c r="B25" s="209"/>
      <c r="C25" s="351"/>
      <c r="D25" s="351"/>
      <c r="E25" s="351"/>
      <c r="F25" s="351"/>
      <c r="G25" s="351"/>
      <c r="H25" s="351"/>
    </row>
    <row r="26" ht="12.75" customHeight="1">
      <c r="A26" t="s" s="129">
        <v>225</v>
      </c>
      <c r="B26" s="209"/>
      <c r="C26" s="351"/>
      <c r="D26" s="351"/>
      <c r="E26" s="351"/>
      <c r="F26" s="351"/>
      <c r="G26" s="351"/>
      <c r="H26" s="351"/>
    </row>
    <row r="27" ht="12.75" customHeight="1">
      <c r="A27" t="s" s="129">
        <v>226</v>
      </c>
      <c r="B27" s="209"/>
      <c r="C27" s="351"/>
      <c r="D27" s="351"/>
      <c r="E27" s="351"/>
      <c r="F27" s="351"/>
      <c r="G27" s="351"/>
      <c r="H27" s="351"/>
    </row>
    <row r="28" ht="12.75" customHeight="1">
      <c r="A28" t="s" s="285">
        <v>227</v>
      </c>
      <c r="B28" s="287"/>
      <c r="C28" s="354">
        <f>SUM(C23:C27)</f>
        <v>0</v>
      </c>
      <c r="D28" s="354">
        <f>SUM(D23:D27)</f>
        <v>0</v>
      </c>
      <c r="E28" s="354">
        <f>SUM(E23:E27)</f>
        <v>0</v>
      </c>
      <c r="F28" s="354">
        <f>SUM(F23:F27)</f>
        <v>0</v>
      </c>
      <c r="G28" s="354">
        <f>SUM(G23:G27)</f>
        <v>0</v>
      </c>
      <c r="H28" s="354">
        <f>SUM(H23:H27)</f>
        <v>0</v>
      </c>
    </row>
    <row r="29" ht="13.5" customHeight="1">
      <c r="A29" t="s" s="223">
        <v>228</v>
      </c>
      <c r="B29" s="230"/>
      <c r="C29" s="352">
        <f>C12+C21+C28</f>
        <v>12817.89</v>
      </c>
      <c r="D29" s="352">
        <f>D12+D21+D28</f>
        <v>2000</v>
      </c>
      <c r="E29" s="352">
        <f>E12+E21+E28</f>
        <v>2000</v>
      </c>
      <c r="F29" s="352">
        <f>F12+F21+F28</f>
        <v>2000</v>
      </c>
      <c r="G29" s="352">
        <f>G12+G21+G28</f>
        <v>2000</v>
      </c>
      <c r="H29" s="352">
        <f>H12+H21+H28</f>
        <v>2000</v>
      </c>
    </row>
    <row r="30" ht="13.5" customHeight="1">
      <c r="A30" s="356"/>
      <c r="B30" s="357"/>
      <c r="C30" s="358"/>
      <c r="D30" s="358"/>
      <c r="E30" s="358"/>
      <c r="F30" s="358"/>
      <c r="G30" s="358"/>
      <c r="H30" s="359"/>
    </row>
    <row r="31" ht="13.5" customHeight="1">
      <c r="A31" t="s" s="360">
        <v>94</v>
      </c>
      <c r="B31" s="361">
        <f>'Pressupostos'!B21</f>
        <v>0.23</v>
      </c>
      <c r="C31" s="352">
        <f>$B$31*(C16+C18+C20)</f>
        <v>2948.1147</v>
      </c>
      <c r="D31" s="352">
        <f>$B$31*(D16+D18+D20)</f>
        <v>460</v>
      </c>
      <c r="E31" s="352">
        <f>$B$31*(E16+E18+E20)</f>
        <v>460</v>
      </c>
      <c r="F31" s="352">
        <f>$B$31*(F16+F18+F20)</f>
        <v>460</v>
      </c>
      <c r="G31" s="352">
        <f>$B$31*(G16+G18+G20)</f>
        <v>460</v>
      </c>
      <c r="H31" s="352">
        <f>$B$31*(H16+H18+H20)</f>
        <v>460</v>
      </c>
    </row>
    <row r="32" ht="13.5" customHeight="1">
      <c r="A32" s="362"/>
      <c r="B32" s="31"/>
      <c r="C32" s="363"/>
      <c r="D32" s="363"/>
      <c r="E32" s="363"/>
      <c r="F32" s="363"/>
      <c r="G32" s="363"/>
      <c r="H32" s="364"/>
    </row>
    <row r="33" ht="12.75" customHeight="1">
      <c r="A33" t="s" s="125">
        <v>229</v>
      </c>
      <c r="B33" s="121"/>
      <c r="C33" s="119">
        <f>C7</f>
        <v>2015</v>
      </c>
      <c r="D33" s="119">
        <f>D7</f>
        <v>2016</v>
      </c>
      <c r="E33" s="119">
        <f>E7</f>
        <v>2017</v>
      </c>
      <c r="F33" s="119">
        <f>F7</f>
        <v>2018</v>
      </c>
      <c r="G33" s="119">
        <f>G7</f>
        <v>2019</v>
      </c>
      <c r="H33" s="119">
        <f>H7</f>
        <v>2020</v>
      </c>
    </row>
    <row r="34" ht="12.75" customHeight="1">
      <c r="A34" t="s" s="207">
        <v>207</v>
      </c>
      <c r="B34" s="121"/>
      <c r="C34" s="365"/>
      <c r="D34" s="365"/>
      <c r="E34" s="365"/>
      <c r="F34" s="365"/>
      <c r="G34" s="365"/>
      <c r="H34" s="365"/>
    </row>
    <row r="35" ht="12.75" customHeight="1">
      <c r="A35" t="s" s="129">
        <v>208</v>
      </c>
      <c r="B35" s="121"/>
      <c r="C35" s="366">
        <f>C9</f>
        <v>0</v>
      </c>
      <c r="D35" s="366">
        <f>C35+D9</f>
        <v>0</v>
      </c>
      <c r="E35" s="366">
        <f>D35+E9</f>
        <v>0</v>
      </c>
      <c r="F35" s="366">
        <f>E35+F9</f>
        <v>0</v>
      </c>
      <c r="G35" s="366">
        <f>F35+G9</f>
        <v>0</v>
      </c>
      <c r="H35" s="366">
        <f>G35+H9</f>
        <v>0</v>
      </c>
    </row>
    <row r="36" ht="12.75" customHeight="1">
      <c r="A36" t="s" s="129">
        <v>209</v>
      </c>
      <c r="B36" s="121"/>
      <c r="C36" s="366">
        <f>C10</f>
        <v>0</v>
      </c>
      <c r="D36" s="366">
        <f>C36+D10</f>
        <v>0</v>
      </c>
      <c r="E36" s="366">
        <f>D36+E10</f>
        <v>0</v>
      </c>
      <c r="F36" s="366">
        <f>E36+F10</f>
        <v>0</v>
      </c>
      <c r="G36" s="366">
        <f>F36+G10</f>
        <v>0</v>
      </c>
      <c r="H36" s="366">
        <f>G36+H10</f>
        <v>0</v>
      </c>
    </row>
    <row r="37" ht="12.75" customHeight="1">
      <c r="A37" t="s" s="129">
        <v>210</v>
      </c>
      <c r="B37" s="121"/>
      <c r="C37" s="366">
        <f>C11</f>
        <v>0</v>
      </c>
      <c r="D37" s="366">
        <f>C37+D11</f>
        <v>0</v>
      </c>
      <c r="E37" s="366">
        <f>D37+E11</f>
        <v>0</v>
      </c>
      <c r="F37" s="366">
        <f>E37+F11</f>
        <v>0</v>
      </c>
      <c r="G37" s="366">
        <f>F37+G11</f>
        <v>0</v>
      </c>
      <c r="H37" s="366">
        <f>G37+H11</f>
        <v>0</v>
      </c>
    </row>
    <row r="38" ht="12.75" customHeight="1">
      <c r="A38" t="s" s="120">
        <v>211</v>
      </c>
      <c r="B38" s="118"/>
      <c r="C38" s="367">
        <f>SUM(C35:C37)</f>
        <v>0</v>
      </c>
      <c r="D38" s="367">
        <f>SUM(D35:D37)</f>
        <v>0</v>
      </c>
      <c r="E38" s="367">
        <f>SUM(E35:E37)</f>
        <v>0</v>
      </c>
      <c r="F38" s="367">
        <f>SUM(F35:F37)</f>
        <v>0</v>
      </c>
      <c r="G38" s="367">
        <f>SUM(G35:G37)</f>
        <v>0</v>
      </c>
      <c r="H38" s="367">
        <f>SUM(H35:H37)</f>
        <v>0</v>
      </c>
    </row>
    <row r="39" ht="12.75" customHeight="1">
      <c r="A39" t="s" s="207">
        <v>212</v>
      </c>
      <c r="B39" s="209"/>
      <c r="C39" s="367"/>
      <c r="D39" s="367"/>
      <c r="E39" s="367"/>
      <c r="F39" s="367"/>
      <c r="G39" s="367"/>
      <c r="H39" s="367"/>
    </row>
    <row r="40" ht="12.75" customHeight="1">
      <c r="A40" t="s" s="249">
        <v>230</v>
      </c>
      <c r="B40" s="209"/>
      <c r="C40" s="367">
        <f>C14</f>
        <v>0</v>
      </c>
      <c r="D40" s="367">
        <f>C40+D14</f>
        <v>0</v>
      </c>
      <c r="E40" s="367">
        <f>D40+E14</f>
        <v>0</v>
      </c>
      <c r="F40" s="367">
        <f>E40+F14</f>
        <v>0</v>
      </c>
      <c r="G40" s="367">
        <f>F40+G14</f>
        <v>0</v>
      </c>
      <c r="H40" s="367">
        <f>G40+H14</f>
        <v>0</v>
      </c>
    </row>
    <row r="41" ht="12.75" customHeight="1">
      <c r="A41" t="s" s="249">
        <v>231</v>
      </c>
      <c r="B41" s="209"/>
      <c r="C41" s="366">
        <f>C15</f>
        <v>0</v>
      </c>
      <c r="D41" s="366">
        <f>C41+D15</f>
        <v>0</v>
      </c>
      <c r="E41" s="366">
        <f>D41+E15</f>
        <v>0</v>
      </c>
      <c r="F41" s="366">
        <f>E41+F15</f>
        <v>0</v>
      </c>
      <c r="G41" s="366">
        <f>F41+G15</f>
        <v>0</v>
      </c>
      <c r="H41" s="366">
        <f>G41+H15</f>
        <v>0</v>
      </c>
    </row>
    <row r="42" ht="12.75" customHeight="1">
      <c r="A42" t="s" s="249">
        <v>232</v>
      </c>
      <c r="B42" s="209"/>
      <c r="C42" s="366">
        <f>C16</f>
        <v>12817.89</v>
      </c>
      <c r="D42" s="366">
        <f>C42+D16</f>
        <v>14817.89</v>
      </c>
      <c r="E42" s="366">
        <f>D42+E16</f>
        <v>16817.89</v>
      </c>
      <c r="F42" s="366">
        <f>E42+F16</f>
        <v>18817.89</v>
      </c>
      <c r="G42" s="366">
        <f>F42+G16</f>
        <v>20817.89</v>
      </c>
      <c r="H42" s="366">
        <f>G42+H16</f>
        <v>22817.89</v>
      </c>
    </row>
    <row r="43" ht="12.75" customHeight="1">
      <c r="A43" t="s" s="249">
        <v>233</v>
      </c>
      <c r="B43" s="209"/>
      <c r="C43" s="366">
        <f>C17</f>
        <v>0</v>
      </c>
      <c r="D43" s="366">
        <f>C43+D17</f>
        <v>0</v>
      </c>
      <c r="E43" s="366">
        <f>D43+E17</f>
        <v>0</v>
      </c>
      <c r="F43" s="366">
        <f>E43+F17</f>
        <v>0</v>
      </c>
      <c r="G43" s="366">
        <f>F43+G17</f>
        <v>0</v>
      </c>
      <c r="H43" s="366">
        <f>G43+H17</f>
        <v>0</v>
      </c>
    </row>
    <row r="44" ht="12.75" customHeight="1">
      <c r="A44" t="s" s="249">
        <v>234</v>
      </c>
      <c r="B44" s="209"/>
      <c r="C44" s="366">
        <f>C18</f>
        <v>0</v>
      </c>
      <c r="D44" s="366">
        <f>C44+D18</f>
        <v>0</v>
      </c>
      <c r="E44" s="366">
        <f>D44+E18</f>
        <v>0</v>
      </c>
      <c r="F44" s="366">
        <f>E44+F18</f>
        <v>0</v>
      </c>
      <c r="G44" s="366">
        <f>F44+G18</f>
        <v>0</v>
      </c>
      <c r="H44" s="366">
        <f>G44+H18</f>
        <v>0</v>
      </c>
    </row>
    <row r="45" ht="12.75" customHeight="1">
      <c r="A45" t="s" s="249">
        <v>235</v>
      </c>
      <c r="B45" s="209"/>
      <c r="C45" s="366">
        <f>C19</f>
        <v>0</v>
      </c>
      <c r="D45" s="366">
        <f>C45+D19</f>
        <v>0</v>
      </c>
      <c r="E45" s="366">
        <f>D45+E19</f>
        <v>0</v>
      </c>
      <c r="F45" s="366">
        <f>E45+F19</f>
        <v>0</v>
      </c>
      <c r="G45" s="366">
        <f>F45+G19</f>
        <v>0</v>
      </c>
      <c r="H45" s="366">
        <f>G45+H19</f>
        <v>0</v>
      </c>
    </row>
    <row r="46" ht="12.75" customHeight="1">
      <c r="A46" t="s" s="249">
        <v>236</v>
      </c>
      <c r="B46" s="209"/>
      <c r="C46" s="366">
        <f>C20</f>
        <v>0</v>
      </c>
      <c r="D46" s="366">
        <f>C46+D20</f>
        <v>0</v>
      </c>
      <c r="E46" s="366">
        <f>D46+E20</f>
        <v>0</v>
      </c>
      <c r="F46" s="366">
        <f>E46+F20</f>
        <v>0</v>
      </c>
      <c r="G46" s="366">
        <f>F46+G20</f>
        <v>0</v>
      </c>
      <c r="H46" s="366">
        <f>G46+H20</f>
        <v>0</v>
      </c>
    </row>
    <row r="47" ht="12.75" customHeight="1">
      <c r="A47" t="s" s="285">
        <v>220</v>
      </c>
      <c r="B47" s="287"/>
      <c r="C47" s="368">
        <f>SUM(C40:C46)</f>
        <v>12817.89</v>
      </c>
      <c r="D47" s="368">
        <f>SUM(D40:D46)</f>
        <v>14817.89</v>
      </c>
      <c r="E47" s="368">
        <f>SUM(E40:E46)</f>
        <v>16817.89</v>
      </c>
      <c r="F47" s="368">
        <f>SUM(F40:F46)</f>
        <v>18817.89</v>
      </c>
      <c r="G47" s="368">
        <f>SUM(G40:G46)</f>
        <v>20817.89</v>
      </c>
      <c r="H47" s="368">
        <f>SUM(H40:H46)</f>
        <v>22817.89</v>
      </c>
    </row>
    <row r="48" ht="12.75" customHeight="1">
      <c r="A48" t="s" s="207">
        <v>221</v>
      </c>
      <c r="B48" s="209"/>
      <c r="C48" s="368"/>
      <c r="D48" s="368"/>
      <c r="E48" s="368"/>
      <c r="F48" s="368"/>
      <c r="G48" s="368"/>
      <c r="H48" s="368"/>
    </row>
    <row r="49" ht="12.75" customHeight="1">
      <c r="A49" t="s" s="129">
        <v>222</v>
      </c>
      <c r="B49" s="209"/>
      <c r="C49" s="355">
        <f>C23</f>
        <v>0</v>
      </c>
      <c r="D49" s="355">
        <f>C49+D23</f>
        <v>0</v>
      </c>
      <c r="E49" s="355">
        <f>D49+E23</f>
        <v>0</v>
      </c>
      <c r="F49" s="355">
        <f>E49+F23</f>
        <v>0</v>
      </c>
      <c r="G49" s="355">
        <f>F49+G23</f>
        <v>0</v>
      </c>
      <c r="H49" s="355">
        <f>G49+H23</f>
        <v>0</v>
      </c>
    </row>
    <row r="50" ht="12.75" customHeight="1">
      <c r="A50" t="s" s="129">
        <v>223</v>
      </c>
      <c r="B50" s="209"/>
      <c r="C50" s="355">
        <f>C24</f>
        <v>0</v>
      </c>
      <c r="D50" s="355">
        <f>C50+D24</f>
        <v>0</v>
      </c>
      <c r="E50" s="355">
        <f>D50+E24</f>
        <v>0</v>
      </c>
      <c r="F50" s="355">
        <f>E50+F24</f>
        <v>0</v>
      </c>
      <c r="G50" s="355">
        <f>F50+G24</f>
        <v>0</v>
      </c>
      <c r="H50" s="355">
        <f>G50+H24</f>
        <v>0</v>
      </c>
    </row>
    <row r="51" ht="12.75" customHeight="1">
      <c r="A51" t="s" s="129">
        <v>224</v>
      </c>
      <c r="B51" s="209"/>
      <c r="C51" s="355">
        <f>C25</f>
        <v>0</v>
      </c>
      <c r="D51" s="355">
        <f>C51+D25</f>
        <v>0</v>
      </c>
      <c r="E51" s="355">
        <f>D51+E25</f>
        <v>0</v>
      </c>
      <c r="F51" s="355">
        <f>E51+F25</f>
        <v>0</v>
      </c>
      <c r="G51" s="355">
        <f>F51+G25</f>
        <v>0</v>
      </c>
      <c r="H51" s="355">
        <f>G51+H25</f>
        <v>0</v>
      </c>
    </row>
    <row r="52" ht="12.75" customHeight="1">
      <c r="A52" t="s" s="129">
        <v>225</v>
      </c>
      <c r="B52" s="209"/>
      <c r="C52" s="355">
        <f>C26</f>
        <v>0</v>
      </c>
      <c r="D52" s="355">
        <f>C52+D26</f>
        <v>0</v>
      </c>
      <c r="E52" s="355">
        <f>D52+E26</f>
        <v>0</v>
      </c>
      <c r="F52" s="355">
        <f>E52+F26</f>
        <v>0</v>
      </c>
      <c r="G52" s="355">
        <f>F52+G26</f>
        <v>0</v>
      </c>
      <c r="H52" s="355">
        <f>G52+H26</f>
        <v>0</v>
      </c>
    </row>
    <row r="53" ht="12.75" customHeight="1">
      <c r="A53" t="s" s="129">
        <v>226</v>
      </c>
      <c r="B53" s="209"/>
      <c r="C53" s="355">
        <f>C27</f>
        <v>0</v>
      </c>
      <c r="D53" s="355">
        <f>C53+D27</f>
        <v>0</v>
      </c>
      <c r="E53" s="355">
        <f>D53+E27</f>
        <v>0</v>
      </c>
      <c r="F53" s="355">
        <f>E53+F27</f>
        <v>0</v>
      </c>
      <c r="G53" s="355">
        <f>F53+G27</f>
        <v>0</v>
      </c>
      <c r="H53" s="355">
        <f>G53+H27</f>
        <v>0</v>
      </c>
    </row>
    <row r="54" ht="12.75" customHeight="1">
      <c r="A54" t="s" s="285">
        <v>227</v>
      </c>
      <c r="B54" s="287"/>
      <c r="C54" s="368">
        <f>SUM(C49:C53)</f>
        <v>0</v>
      </c>
      <c r="D54" s="368">
        <f>SUM(D49:D53)</f>
        <v>0</v>
      </c>
      <c r="E54" s="368">
        <f>SUM(E49:E53)</f>
        <v>0</v>
      </c>
      <c r="F54" s="368">
        <f>SUM(F49:F53)</f>
        <v>0</v>
      </c>
      <c r="G54" s="368">
        <f>SUM(G49:G53)</f>
        <v>0</v>
      </c>
      <c r="H54" s="368">
        <f>SUM(H49:H53)</f>
        <v>0</v>
      </c>
    </row>
    <row r="55" ht="13.5" customHeight="1">
      <c r="A55" t="s" s="223">
        <v>237</v>
      </c>
      <c r="B55" s="230"/>
      <c r="C55" s="352">
        <f>C38+C47+C54</f>
        <v>12817.89</v>
      </c>
      <c r="D55" s="352">
        <f>D38+D47+D54</f>
        <v>14817.89</v>
      </c>
      <c r="E55" s="352">
        <f>E38+E47+E54</f>
        <v>16817.89</v>
      </c>
      <c r="F55" s="352">
        <f>F38+F47+F54</f>
        <v>18817.89</v>
      </c>
      <c r="G55" s="352">
        <f>G38+G47+G54</f>
        <v>20817.89</v>
      </c>
      <c r="H55" s="352">
        <f>H38+H47+H54</f>
        <v>22817.89</v>
      </c>
    </row>
    <row r="56" ht="13.5" customHeight="1">
      <c r="A56" s="124"/>
      <c r="B56" s="81"/>
      <c r="C56" s="296"/>
      <c r="D56" s="296"/>
      <c r="E56" s="296"/>
      <c r="F56" s="296"/>
      <c r="G56" s="296"/>
      <c r="H56" s="297"/>
    </row>
    <row r="57" ht="12.75" customHeight="1">
      <c r="A57" s="369"/>
      <c r="B57" s="370"/>
      <c r="C57" s="371"/>
      <c r="D57" s="372"/>
      <c r="E57" s="372"/>
      <c r="F57" s="372"/>
      <c r="G57" s="372"/>
      <c r="H57" s="373"/>
    </row>
    <row r="58" ht="12.75" customHeight="1">
      <c r="A58" t="s" s="374">
        <v>238</v>
      </c>
      <c r="B58" s="375"/>
      <c r="C58" s="376"/>
      <c r="D58" s="377"/>
      <c r="E58" s="372"/>
      <c r="F58" s="372"/>
      <c r="G58" s="372"/>
      <c r="H58" s="373"/>
    </row>
    <row r="59" ht="12.75" customHeight="1">
      <c r="A59" t="s" s="378">
        <v>207</v>
      </c>
      <c r="B59" s="379"/>
      <c r="C59" s="380"/>
      <c r="D59" s="381"/>
      <c r="E59" s="372"/>
      <c r="F59" s="372"/>
      <c r="G59" s="372"/>
      <c r="H59" s="373"/>
    </row>
    <row r="60" ht="12.75" customHeight="1">
      <c r="A60" t="s" s="129">
        <v>209</v>
      </c>
      <c r="B60" s="209"/>
      <c r="C60" s="382">
        <v>0.02</v>
      </c>
      <c r="D60" s="381"/>
      <c r="E60" s="372"/>
      <c r="F60" s="372"/>
      <c r="G60" s="372"/>
      <c r="H60" s="373"/>
    </row>
    <row r="61" ht="12.75" customHeight="1">
      <c r="A61" t="s" s="129">
        <v>210</v>
      </c>
      <c r="B61" s="209"/>
      <c r="C61" s="382">
        <v>0.1</v>
      </c>
      <c r="D61" s="381"/>
      <c r="E61" s="372"/>
      <c r="F61" s="372"/>
      <c r="G61" s="372"/>
      <c r="H61" s="373"/>
    </row>
    <row r="62" ht="12.75" customHeight="1">
      <c r="A62" t="s" s="207">
        <v>212</v>
      </c>
      <c r="B62" s="209"/>
      <c r="C62" s="383"/>
      <c r="D62" s="381"/>
      <c r="E62" s="372"/>
      <c r="F62" s="372"/>
      <c r="G62" s="372"/>
      <c r="H62" s="373"/>
    </row>
    <row r="63" ht="12.75" customHeight="1">
      <c r="A63" t="s" s="129">
        <v>214</v>
      </c>
      <c r="B63" s="209"/>
      <c r="C63" s="382">
        <v>0.02</v>
      </c>
      <c r="D63" s="381"/>
      <c r="E63" s="372"/>
      <c r="F63" s="372"/>
      <c r="G63" s="372"/>
      <c r="H63" s="373"/>
    </row>
    <row r="64" ht="12.75" customHeight="1">
      <c r="A64" t="s" s="129">
        <v>215</v>
      </c>
      <c r="B64" s="209"/>
      <c r="C64" s="382">
        <v>0.2</v>
      </c>
      <c r="D64" s="381"/>
      <c r="E64" s="372"/>
      <c r="F64" s="372"/>
      <c r="G64" s="372"/>
      <c r="H64" s="373"/>
    </row>
    <row r="65" ht="12.75" customHeight="1">
      <c r="A65" t="s" s="129">
        <v>216</v>
      </c>
      <c r="B65" s="209"/>
      <c r="C65" s="382">
        <v>0.25</v>
      </c>
      <c r="D65" s="381"/>
      <c r="E65" s="372"/>
      <c r="F65" s="372"/>
      <c r="G65" s="372"/>
      <c r="H65" s="373"/>
    </row>
    <row r="66" ht="12.75" customHeight="1">
      <c r="A66" t="s" s="129">
        <v>217</v>
      </c>
      <c r="B66" s="209"/>
      <c r="C66" s="382">
        <v>0.25</v>
      </c>
      <c r="D66" s="381"/>
      <c r="E66" s="372"/>
      <c r="F66" s="372"/>
      <c r="G66" s="372"/>
      <c r="H66" s="373"/>
    </row>
    <row r="67" ht="12.75" customHeight="1">
      <c r="A67" t="s" s="129">
        <v>218</v>
      </c>
      <c r="B67" s="209"/>
      <c r="C67" s="382">
        <v>0.25</v>
      </c>
      <c r="D67" s="381"/>
      <c r="E67" s="372"/>
      <c r="F67" s="372"/>
      <c r="G67" s="372"/>
      <c r="H67" s="373"/>
    </row>
    <row r="68" ht="12.75" customHeight="1">
      <c r="A68" t="s" s="129">
        <v>219</v>
      </c>
      <c r="B68" s="209"/>
      <c r="C68" s="382">
        <v>0.25</v>
      </c>
      <c r="D68" s="381"/>
      <c r="E68" s="372"/>
      <c r="F68" s="372"/>
      <c r="G68" s="372"/>
      <c r="H68" s="373"/>
    </row>
    <row r="69" ht="12.75" customHeight="1">
      <c r="A69" t="s" s="207">
        <v>221</v>
      </c>
      <c r="B69" s="209"/>
      <c r="C69" s="383"/>
      <c r="D69" s="381"/>
      <c r="E69" s="372"/>
      <c r="F69" s="372"/>
      <c r="G69" s="372"/>
      <c r="H69" s="373"/>
    </row>
    <row r="70" ht="12.75" customHeight="1">
      <c r="A70" t="s" s="129">
        <v>223</v>
      </c>
      <c r="B70" s="209"/>
      <c r="C70" s="384">
        <v>0.33333</v>
      </c>
      <c r="D70" t="s" s="385">
        <v>239</v>
      </c>
      <c r="E70" s="372"/>
      <c r="F70" s="372"/>
      <c r="G70" s="372"/>
      <c r="H70" s="373"/>
    </row>
    <row r="71" ht="12.75" customHeight="1">
      <c r="A71" t="s" s="129">
        <v>224</v>
      </c>
      <c r="B71" s="209"/>
      <c r="C71" s="384">
        <f t="shared" si="159" ref="C71:C73">100%/3</f>
        <v>0.3333333333333333</v>
      </c>
      <c r="D71" s="381"/>
      <c r="E71" s="372"/>
      <c r="F71" s="372"/>
      <c r="G71" s="372"/>
      <c r="H71" s="373"/>
    </row>
    <row r="72" ht="12.75" customHeight="1">
      <c r="A72" t="s" s="129">
        <v>225</v>
      </c>
      <c r="B72" s="209"/>
      <c r="C72" s="384">
        <f t="shared" si="159"/>
        <v>0.3333333333333333</v>
      </c>
      <c r="D72" s="381"/>
      <c r="E72" s="372"/>
      <c r="F72" s="372"/>
      <c r="G72" s="372"/>
      <c r="H72" s="373"/>
    </row>
    <row r="73" ht="12.75" customHeight="1">
      <c r="A73" t="s" s="129">
        <v>226</v>
      </c>
      <c r="B73" s="209"/>
      <c r="C73" s="384">
        <f t="shared" si="159"/>
        <v>0.3333333333333333</v>
      </c>
      <c r="D73" s="381"/>
      <c r="E73" s="372"/>
      <c r="F73" s="372"/>
      <c r="G73" s="372"/>
      <c r="H73" s="373"/>
    </row>
    <row r="74" ht="12.75" customHeight="1">
      <c r="A74" s="56"/>
      <c r="B74" s="31"/>
      <c r="C74" s="386"/>
      <c r="D74" s="269"/>
      <c r="E74" s="269"/>
      <c r="F74" s="269"/>
      <c r="G74" s="269"/>
      <c r="H74" s="270"/>
    </row>
    <row r="75" ht="12.75" customHeight="1">
      <c r="A75" t="s" s="125">
        <v>240</v>
      </c>
      <c r="B75" s="121"/>
      <c r="C75" s="119">
        <f>C7</f>
        <v>2015</v>
      </c>
      <c r="D75" s="119">
        <f>C75+1</f>
        <v>2016</v>
      </c>
      <c r="E75" s="119">
        <f>D75+1</f>
        <v>2017</v>
      </c>
      <c r="F75" s="119">
        <f>E75+1</f>
        <v>2018</v>
      </c>
      <c r="G75" s="119">
        <f>F75+1</f>
        <v>2019</v>
      </c>
      <c r="H75" s="119">
        <f>G75+1</f>
        <v>2020</v>
      </c>
    </row>
    <row r="76" ht="12.75" customHeight="1" hidden="1">
      <c r="A76" t="s" s="387">
        <v>207</v>
      </c>
      <c r="B76" s="209"/>
      <c r="C76" s="388"/>
      <c r="D76" s="388"/>
      <c r="E76" s="388"/>
      <c r="F76" s="388"/>
      <c r="G76" s="388"/>
      <c r="H76" s="388"/>
    </row>
    <row r="77" ht="12.75" customHeight="1" hidden="1">
      <c r="A77" t="s" s="389">
        <v>209</v>
      </c>
      <c r="B77" s="390">
        <f>C60</f>
        <v>0.02</v>
      </c>
      <c r="C77" s="391">
        <f>SUM(C78:C83)</f>
        <v>0</v>
      </c>
      <c r="D77" s="391">
        <f>SUM(D78:D83)</f>
        <v>0</v>
      </c>
      <c r="E77" s="391">
        <f>SUM(E78:E83)</f>
        <v>0</v>
      </c>
      <c r="F77" s="391">
        <f>SUM(F78:F83)</f>
        <v>0</v>
      </c>
      <c r="G77" s="391">
        <f>SUM(G78:G83)</f>
        <v>0</v>
      </c>
      <c r="H77" s="391">
        <f>SUM(H78:H83)</f>
        <v>0</v>
      </c>
    </row>
    <row r="78" ht="12.75" customHeight="1" hidden="1">
      <c r="A78" s="392">
        <f>C75</f>
        <v>2015</v>
      </c>
      <c r="B78" s="393"/>
      <c r="C78" s="391">
        <f>IF(C$10&lt;0,0,C$10*$B$77)</f>
        <v>0</v>
      </c>
      <c r="D78" s="391">
        <f>IF(C78=0,0,IF(ROUNDUP(SUM($C78:C78),0)&lt;$C$10,$C$10*$B$77,0))</f>
        <v>0</v>
      </c>
      <c r="E78" s="391">
        <f>IF(D78=0,0,IF(ROUNDUP(SUM($C78:D78),0)&lt;$C$10,$C$10*$B$77,0))</f>
        <v>0</v>
      </c>
      <c r="F78" s="391">
        <f>IF(E78=0,0,IF(ROUNDUP(SUM($C78:E78),0)&lt;$C$10,$C$10*$B$77,0))</f>
        <v>0</v>
      </c>
      <c r="G78" s="391">
        <f>IF(F78=0,0,IF(ROUNDUP(SUM($C78:F78),0)&lt;$C$10,$C$10*$B$77,0))</f>
        <v>0</v>
      </c>
      <c r="H78" s="391">
        <f>IF(G78=0,0,IF(ROUNDUP(SUM($C78:G78),0)&lt;$C$10,$C$10*$B$77,0))</f>
        <v>0</v>
      </c>
    </row>
    <row r="79" ht="12.75" customHeight="1" hidden="1">
      <c r="A79" s="392">
        <f>A78+1</f>
        <v>2016</v>
      </c>
      <c r="B79" s="393"/>
      <c r="C79" s="391"/>
      <c r="D79" s="391">
        <f>IF(D$10&lt;0,0,D$10*$B$77)</f>
        <v>0</v>
      </c>
      <c r="E79" s="391">
        <f>IF(D79=0,0,IF(ROUNDUP(SUM($D79:D79),0)&lt;$D$10,$D$10*$B$77,0))</f>
        <v>0</v>
      </c>
      <c r="F79" s="391">
        <f>IF(E79=0,0,IF(ROUNDUP(SUM($D79:E79),0)&lt;$D$10,$D$10*$B$77,0))</f>
        <v>0</v>
      </c>
      <c r="G79" s="391">
        <f>IF(F79=0,0,IF(ROUNDUP(SUM($D79:F79),0)&lt;$D$10,$D$10*$B$77,0))</f>
        <v>0</v>
      </c>
      <c r="H79" s="391">
        <f>IF(G79=0,0,IF(ROUNDUP(SUM($D79:G79),0)&lt;$D$10,$D$10*$B$77,0))</f>
        <v>0</v>
      </c>
    </row>
    <row r="80" ht="12.75" customHeight="1" hidden="1">
      <c r="A80" s="392">
        <f>A79+1</f>
        <v>2017</v>
      </c>
      <c r="B80" s="393"/>
      <c r="C80" s="391"/>
      <c r="D80" s="391"/>
      <c r="E80" s="391">
        <f>IF(E$10&lt;0,0,E$10*$B$77)</f>
        <v>0</v>
      </c>
      <c r="F80" s="391">
        <f>IF(E80=0,0,IF(ROUNDUP(SUM($E80:E80),0)&lt;$E$10,$E$10*$B$77,0))</f>
        <v>0</v>
      </c>
      <c r="G80" s="391">
        <f>IF(F80=0,0,IF(ROUNDUP(SUM($E80:F80),0)&lt;$E$10,$E$10*$B$77,0))</f>
        <v>0</v>
      </c>
      <c r="H80" s="391">
        <f>IF(G80=0,0,IF(ROUNDUP(SUM($E80:G80),0)&lt;$E$10,$E$10*$B$77,0))</f>
        <v>0</v>
      </c>
    </row>
    <row r="81" ht="12.75" customHeight="1" hidden="1">
      <c r="A81" s="392">
        <f>A80+1</f>
        <v>2018</v>
      </c>
      <c r="B81" s="393"/>
      <c r="C81" s="391"/>
      <c r="D81" s="391"/>
      <c r="E81" s="391"/>
      <c r="F81" s="391">
        <f>IF(F$10&lt;0,0,F$10*$B$77)</f>
        <v>0</v>
      </c>
      <c r="G81" s="391">
        <f>IF(F81=0,0,IF(ROUNDUP(SUM($F81:F81),0)&lt;$F$10,$F$10*$B$77,0))</f>
        <v>0</v>
      </c>
      <c r="H81" s="391">
        <f>IF(G81=0,0,IF(ROUNDUP(SUM($F81:G81),0)&lt;$F$10,$F$10*$B$77,0))</f>
        <v>0</v>
      </c>
    </row>
    <row r="82" ht="12.75" customHeight="1" hidden="1">
      <c r="A82" s="392">
        <f>A81+1</f>
        <v>2019</v>
      </c>
      <c r="B82" s="393"/>
      <c r="C82" s="391"/>
      <c r="D82" s="391"/>
      <c r="E82" s="391"/>
      <c r="F82" s="391"/>
      <c r="G82" s="391">
        <f>IF(G$10&lt;0,0,G$10*$B$77)</f>
        <v>0</v>
      </c>
      <c r="H82" s="391">
        <f>IF(G82=0,0,IF(ROUNDUP(SUM($G82:G82),0)&lt;$G$10,$G$10*$B$77,0))</f>
        <v>0</v>
      </c>
    </row>
    <row r="83" ht="12.75" customHeight="1" hidden="1">
      <c r="A83" s="392">
        <f>A82+1</f>
        <v>2020</v>
      </c>
      <c r="B83" s="393"/>
      <c r="C83" s="391"/>
      <c r="D83" s="391"/>
      <c r="E83" s="391"/>
      <c r="F83" s="391"/>
      <c r="G83" s="391"/>
      <c r="H83" s="391">
        <f>IF(H$10&lt;0,0,H$10*$B$77)</f>
        <v>0</v>
      </c>
    </row>
    <row r="84" ht="12.75" customHeight="1" hidden="1">
      <c r="A84" t="s" s="389">
        <v>210</v>
      </c>
      <c r="B84" s="393">
        <f>C61</f>
        <v>0.1</v>
      </c>
      <c r="C84" s="391">
        <f>SUM(C85:C90)</f>
        <v>0</v>
      </c>
      <c r="D84" s="391">
        <f>SUM(D85:D90)</f>
        <v>0</v>
      </c>
      <c r="E84" s="391">
        <f>SUM(E85:E90)</f>
        <v>0</v>
      </c>
      <c r="F84" s="391">
        <f>SUM(F85:F90)</f>
        <v>0</v>
      </c>
      <c r="G84" s="391">
        <f>SUM(G85:G90)</f>
        <v>0</v>
      </c>
      <c r="H84" s="391">
        <f>SUM(H85:H90)</f>
        <v>0</v>
      </c>
    </row>
    <row r="85" ht="12.75" customHeight="1" hidden="1">
      <c r="A85" s="392">
        <f>A78</f>
        <v>2015</v>
      </c>
      <c r="B85" s="393"/>
      <c r="C85" s="391">
        <f>IF(C$11&lt;0,0,C$11*$B$84)</f>
        <v>0</v>
      </c>
      <c r="D85" s="391">
        <f>IF(C85=0,0,IF(ROUNDUP(SUM($C85:C85),0)&lt;$C$11,$C$11*$B$84,0))</f>
        <v>0</v>
      </c>
      <c r="E85" s="391">
        <f>IF(D85=0,0,IF(ROUNDUP(SUM($C85:D85),0)&lt;$C$11,$C$11*$B$84,0))</f>
        <v>0</v>
      </c>
      <c r="F85" s="391">
        <f>IF(E85=0,0,IF(ROUNDUP(SUM($C85:E85),0)&lt;$C$11,$C$11*$B$84,0))</f>
        <v>0</v>
      </c>
      <c r="G85" s="391">
        <f>IF(F85=0,0,IF(ROUNDUP(SUM($C85:F85),0)&lt;$C$11,$C$11*$B$84,0))</f>
        <v>0</v>
      </c>
      <c r="H85" s="391">
        <f>IF(G85=0,0,IF(ROUNDUP(SUM($C85:G85),0)&lt;$C$11,$C$11*$B$84,0))</f>
        <v>0</v>
      </c>
    </row>
    <row r="86" ht="12.75" customHeight="1" hidden="1">
      <c r="A86" s="392">
        <f>A79</f>
        <v>2016</v>
      </c>
      <c r="B86" s="393"/>
      <c r="C86" s="391"/>
      <c r="D86" s="391">
        <f>IF(D$11&lt;0,0,D$11*$B$84)</f>
        <v>0</v>
      </c>
      <c r="E86" s="391">
        <f>IF(D86=0,0,IF(ROUNDUP(SUM($D86:D86),0)&lt;$D$11,$D$11*$B$84,0))</f>
        <v>0</v>
      </c>
      <c r="F86" s="391">
        <f>IF(E86=0,0,IF(ROUNDUP(SUM($D86:E86),0)&lt;$D$11,$D$11*$B$84,0))</f>
        <v>0</v>
      </c>
      <c r="G86" s="391">
        <f>IF(F86=0,0,IF(ROUNDUP(SUM($D86:F86),0)&lt;$D$11,$D$11*$B$84,0))</f>
        <v>0</v>
      </c>
      <c r="H86" s="391">
        <f>IF(G86=0,0,IF(ROUNDUP(SUM($D86:G86),0)&lt;$D$11,$D$11*$B$84,0))</f>
        <v>0</v>
      </c>
    </row>
    <row r="87" ht="12.75" customHeight="1" hidden="1">
      <c r="A87" s="392">
        <f>A80</f>
        <v>2017</v>
      </c>
      <c r="B87" s="393"/>
      <c r="C87" s="391"/>
      <c r="D87" s="391"/>
      <c r="E87" s="391">
        <f>IF(E$11&lt;0,0,E$11*$B$84)</f>
        <v>0</v>
      </c>
      <c r="F87" s="391">
        <f>IF(E87=0,0,IF(ROUNDUP(SUM($E87:E87),0)&lt;$E$11,$E$11*$B$84,0))</f>
        <v>0</v>
      </c>
      <c r="G87" s="391">
        <f>IF(F87=0,0,IF(ROUNDUP(SUM($E87:F87),0)&lt;$E$11,$E$11*$B$84,0))</f>
        <v>0</v>
      </c>
      <c r="H87" s="391">
        <f>IF(G87=0,0,IF(ROUNDUP(SUM($E87:G87),0)&lt;$E$11,$E$11*$B$84,0))</f>
        <v>0</v>
      </c>
    </row>
    <row r="88" ht="12.75" customHeight="1" hidden="1">
      <c r="A88" s="392">
        <f>A81</f>
        <v>2018</v>
      </c>
      <c r="B88" s="393"/>
      <c r="C88" s="391"/>
      <c r="D88" s="391"/>
      <c r="E88" s="391"/>
      <c r="F88" s="391">
        <f>IF(F$11&lt;0,0,F$11*$B$84)</f>
        <v>0</v>
      </c>
      <c r="G88" s="391">
        <f>IF(F88=0,0,IF(ROUNDUP(SUM($F88:F88),0)&lt;$F$11,$F$11*$B$84,0))</f>
        <v>0</v>
      </c>
      <c r="H88" s="391">
        <f>IF(G88=0,0,IF(ROUNDUP(SUM($F88:G88),0)&lt;$F$11,$F$11*$B$84,0))</f>
        <v>0</v>
      </c>
    </row>
    <row r="89" ht="12.75" customHeight="1" hidden="1">
      <c r="A89" s="392">
        <f>A82</f>
        <v>2019</v>
      </c>
      <c r="B89" s="393"/>
      <c r="C89" s="391"/>
      <c r="D89" s="391"/>
      <c r="E89" s="391"/>
      <c r="F89" s="391"/>
      <c r="G89" s="391">
        <f>IF(G$11&lt;0,0,G$11*$B$84)</f>
        <v>0</v>
      </c>
      <c r="H89" s="391">
        <f>IF(G89=0,0,IF(ROUNDUP(SUM($G89:G89),0)&lt;$G$11,$G$11*$B$84,0))</f>
        <v>0</v>
      </c>
    </row>
    <row r="90" ht="12.75" customHeight="1" hidden="1">
      <c r="A90" s="394">
        <f>A83</f>
        <v>2020</v>
      </c>
      <c r="B90" s="395"/>
      <c r="C90" s="396"/>
      <c r="D90" s="396"/>
      <c r="E90" s="396"/>
      <c r="F90" s="396"/>
      <c r="G90" s="396"/>
      <c r="H90" s="396">
        <f>IF(H$11&lt;0,0,H$11*$B$84)</f>
        <v>0</v>
      </c>
    </row>
    <row r="91" ht="12.75" customHeight="1" hidden="1">
      <c r="A91" t="s" s="223">
        <v>164</v>
      </c>
      <c r="B91" s="230"/>
      <c r="C91" s="319">
        <f>C77+C84</f>
        <v>0</v>
      </c>
      <c r="D91" s="319">
        <f>D77+D84</f>
        <v>0</v>
      </c>
      <c r="E91" s="319">
        <f>E77+E84</f>
        <v>0</v>
      </c>
      <c r="F91" s="319">
        <f>F77+F84</f>
        <v>0</v>
      </c>
      <c r="G91" s="319">
        <f>G77+G84</f>
        <v>0</v>
      </c>
      <c r="H91" s="319">
        <f>H77+H84</f>
        <v>0</v>
      </c>
    </row>
    <row r="92" ht="12.75" customHeight="1" hidden="1">
      <c r="A92" t="s" s="387">
        <v>212</v>
      </c>
      <c r="B92" s="209"/>
      <c r="C92" s="388"/>
      <c r="D92" s="388"/>
      <c r="E92" s="388"/>
      <c r="F92" s="388"/>
      <c r="G92" s="388"/>
      <c r="H92" s="388"/>
    </row>
    <row r="93" ht="12.75" customHeight="1" hidden="1">
      <c r="A93" t="s" s="389">
        <v>214</v>
      </c>
      <c r="B93" s="390">
        <f>C63</f>
        <v>0.02</v>
      </c>
      <c r="C93" s="391">
        <f>SUM(C94:C99)</f>
        <v>0</v>
      </c>
      <c r="D93" s="391">
        <f>SUM(D94:D99)</f>
        <v>0</v>
      </c>
      <c r="E93" s="391">
        <f>SUM(E94:E99)</f>
        <v>0</v>
      </c>
      <c r="F93" s="391">
        <f>SUM(F94:F99)</f>
        <v>0</v>
      </c>
      <c r="G93" s="391">
        <f>SUM(G94:G99)</f>
        <v>0</v>
      </c>
      <c r="H93" s="391">
        <f>SUM(H94:H99)</f>
        <v>0</v>
      </c>
    </row>
    <row r="94" ht="12.75" customHeight="1" hidden="1">
      <c r="A94" s="392">
        <f>A85</f>
        <v>2015</v>
      </c>
      <c r="B94" s="393"/>
      <c r="C94" s="391">
        <f>IF(C$15&lt;0,0,C$15*$B$93)</f>
        <v>0</v>
      </c>
      <c r="D94" s="391">
        <f>IF(C94=0,0,IF(ROUNDUP(SUM($C94:C94),0)&lt;$C$15,$C$15*$B$93,0))</f>
        <v>0</v>
      </c>
      <c r="E94" s="391">
        <f>IF(D94=0,0,IF(ROUNDUP(SUM($C94:D94),0)&lt;$C$15,$C$15*$B$93,0))</f>
        <v>0</v>
      </c>
      <c r="F94" s="391">
        <f>IF(E94=0,0,IF(ROUNDUP(SUM($C94:E94),0)&lt;$C$15,$C$15*$B$93,0))</f>
        <v>0</v>
      </c>
      <c r="G94" s="391">
        <f>IF(F94=0,0,IF(ROUNDUP(SUM($C94:F94),0)&lt;$C$15,$C$15*$B$93,0))</f>
        <v>0</v>
      </c>
      <c r="H94" s="391">
        <f>IF(G94=0,0,IF(ROUNDUP(SUM($C94:G94),0)&lt;$C$15,$C$15*$B$93,0))</f>
        <v>0</v>
      </c>
    </row>
    <row r="95" ht="12.75" customHeight="1" hidden="1">
      <c r="A95" s="392">
        <f>A86</f>
        <v>2016</v>
      </c>
      <c r="B95" s="393"/>
      <c r="C95" s="391"/>
      <c r="D95" s="391">
        <f>IF(D$15&lt;0,0,D$15*$B$93)</f>
        <v>0</v>
      </c>
      <c r="E95" s="391">
        <f>IF(D95=0,0,IF(ROUNDUP(SUM($D95:D95),0)&lt;$D$15,$D$15*$B$93,0))</f>
        <v>0</v>
      </c>
      <c r="F95" s="391">
        <f>IF(E95=0,0,IF(ROUNDUP(SUM($D95:E95),0)&lt;$D$15,$D$15*$B$93,0))</f>
        <v>0</v>
      </c>
      <c r="G95" s="391">
        <f>IF(F95=0,0,IF(ROUNDUP(SUM($D95:F95),0)&lt;$D$15,$D$15*$B$93,0))</f>
        <v>0</v>
      </c>
      <c r="H95" s="391">
        <f>IF(G95=0,0,IF(ROUNDUP(SUM($D95:G95),0)&lt;$D$15,$D$15*$B$93,0))</f>
        <v>0</v>
      </c>
    </row>
    <row r="96" ht="12.75" customHeight="1" hidden="1">
      <c r="A96" s="392">
        <f>A87</f>
        <v>2017</v>
      </c>
      <c r="B96" s="393"/>
      <c r="C96" s="391"/>
      <c r="D96" s="391"/>
      <c r="E96" s="391">
        <f>IF(E$15&lt;0,0,E$15*$B$93)</f>
        <v>0</v>
      </c>
      <c r="F96" s="391">
        <f>IF(E96=0,0,IF(ROUNDUP(SUM($E96:E96),0)&lt;$E$15,$E$15*$B$93,0))</f>
        <v>0</v>
      </c>
      <c r="G96" s="391">
        <f>IF(F96=0,0,IF(ROUNDUP(SUM($E96:F96),0)&lt;$E$15,$E$15*$B$93,0))</f>
        <v>0</v>
      </c>
      <c r="H96" s="391">
        <f>IF(G96=0,0,IF(ROUNDUP(SUM($E96:G96),0)&lt;$E$15,$E$15*$B$93,0))</f>
        <v>0</v>
      </c>
    </row>
    <row r="97" ht="12.75" customHeight="1" hidden="1">
      <c r="A97" s="392">
        <f>A88</f>
        <v>2018</v>
      </c>
      <c r="B97" s="393"/>
      <c r="C97" s="391"/>
      <c r="D97" s="391"/>
      <c r="E97" s="391"/>
      <c r="F97" s="391">
        <f>IF(F$15&lt;0,0,F$15*$B$93)</f>
        <v>0</v>
      </c>
      <c r="G97" s="391">
        <f>IF(F97=0,0,IF(ROUNDUP(SUM($F97:F97),0)&lt;$F$15,$F$15*$B$93,0))</f>
        <v>0</v>
      </c>
      <c r="H97" s="391">
        <f>IF(G97=0,0,IF(ROUNDUP(SUM($F97:G97),0)&lt;$F$15,$F$15*$B$93,0))</f>
        <v>0</v>
      </c>
    </row>
    <row r="98" ht="12.75" customHeight="1" hidden="1">
      <c r="A98" s="392">
        <f>A89</f>
        <v>2019</v>
      </c>
      <c r="B98" s="393"/>
      <c r="C98" s="391"/>
      <c r="D98" s="391"/>
      <c r="E98" s="391"/>
      <c r="F98" s="391"/>
      <c r="G98" s="391">
        <f>IF(G$15&lt;0,0,G$15*$B$93)</f>
        <v>0</v>
      </c>
      <c r="H98" s="391">
        <f>IF(G98=0,0,IF(ROUNDUP(SUM($G98:G98),0)&lt;$G$15,$G$15*$B$93,0))</f>
        <v>0</v>
      </c>
    </row>
    <row r="99" ht="12.75" customHeight="1" hidden="1">
      <c r="A99" s="392">
        <f>A90</f>
        <v>2020</v>
      </c>
      <c r="B99" s="393"/>
      <c r="C99" s="391"/>
      <c r="D99" s="391"/>
      <c r="E99" s="391"/>
      <c r="F99" s="391"/>
      <c r="G99" s="391"/>
      <c r="H99" s="391">
        <f>IF(H$15&lt;0,0,H$15*$B$93)</f>
        <v>0</v>
      </c>
    </row>
    <row r="100" ht="12.75" customHeight="1" hidden="1">
      <c r="A100" t="s" s="389">
        <v>241</v>
      </c>
      <c r="B100" s="393">
        <f>C64</f>
        <v>0.2</v>
      </c>
      <c r="C100" s="391">
        <f>SUM(C101:C106)</f>
        <v>2563.578</v>
      </c>
      <c r="D100" s="391">
        <f>SUM(D101:D106)</f>
        <v>2963.578</v>
      </c>
      <c r="E100" s="391">
        <f>SUM(E101:E106)</f>
        <v>3363.578</v>
      </c>
      <c r="F100" s="391">
        <f>SUM(F101:F106)</f>
        <v>3763.578</v>
      </c>
      <c r="G100" s="391">
        <f>SUM(G101:G106)</f>
        <v>4163.578</v>
      </c>
      <c r="H100" s="391">
        <f>SUM(H101:H106)</f>
        <v>2000</v>
      </c>
    </row>
    <row r="101" ht="12.75" customHeight="1" hidden="1">
      <c r="A101" s="392">
        <f>A94</f>
        <v>2015</v>
      </c>
      <c r="B101" s="393"/>
      <c r="C101" s="391">
        <f>IF(C$16&lt;0,0,C$16*$B$100)</f>
        <v>2563.578</v>
      </c>
      <c r="D101" s="391">
        <f>IF(C101=0,0,IF(ROUNDUP(SUM($C101:C101),0)&lt;$C$16,$C$16*$B$100,0))</f>
        <v>2563.578</v>
      </c>
      <c r="E101" s="391">
        <f>IF(D101=0,0,IF(ROUNDUP(SUM($C101:D101),0)&lt;$C$16,$C$16*$B$100,0))</f>
        <v>2563.578</v>
      </c>
      <c r="F101" s="391">
        <f>IF(E101=0,0,IF(ROUNDUP(SUM($C101:E101),0)&lt;$C$16,$C$16*$B$100,0))</f>
        <v>2563.578</v>
      </c>
      <c r="G101" s="391">
        <f>IF(F101=0,0,IF(ROUNDUP(SUM($C101:F101),0)&lt;$C$16,$C$16*$B$100,0))</f>
        <v>2563.578</v>
      </c>
      <c r="H101" s="391">
        <f>IF(G101=0,0,IF(ROUNDUP(SUM($C101:G101),0)&lt;$C$16,$C$16*$B$100,0))</f>
        <v>0</v>
      </c>
    </row>
    <row r="102" ht="12.75" customHeight="1" hidden="1">
      <c r="A102" s="392">
        <f>A95</f>
        <v>2016</v>
      </c>
      <c r="B102" s="393"/>
      <c r="C102" s="391"/>
      <c r="D102" s="391">
        <f>IF(D$16&lt;0,0,D$16*$B$100)</f>
        <v>400</v>
      </c>
      <c r="E102" s="391">
        <f>IF(D102=0,0,IF(ROUNDUP(SUM($D102:D102),0)&lt;$D$16,$D$16*$B$100,0))</f>
        <v>400</v>
      </c>
      <c r="F102" s="391">
        <f>IF(E102=0,0,IF(ROUNDUP(SUM($D102:E102),0)&lt;$D$16,$D$16*$B$100,0))</f>
        <v>400</v>
      </c>
      <c r="G102" s="391">
        <f>IF(F102=0,0,IF(ROUNDUP(SUM($D102:F102),0)&lt;$D$16,$D$16*$B$100,0))</f>
        <v>400</v>
      </c>
      <c r="H102" s="391">
        <f>IF(G102=0,0,IF(ROUNDUP(SUM($D102:G102),0)&lt;$D$16,$D$16*$B$100,0))</f>
        <v>400</v>
      </c>
    </row>
    <row r="103" ht="12.75" customHeight="1" hidden="1">
      <c r="A103" s="392">
        <f>A96</f>
        <v>2017</v>
      </c>
      <c r="B103" s="393"/>
      <c r="C103" s="391"/>
      <c r="D103" s="391"/>
      <c r="E103" s="391">
        <f>IF(E$16&lt;0,0,E$16*$B$100)</f>
        <v>400</v>
      </c>
      <c r="F103" s="391">
        <f>IF(E103=0,0,IF(ROUNDUP(SUM($E103:E103),0)&lt;$E$16,$E$16*$B$100,0))</f>
        <v>400</v>
      </c>
      <c r="G103" s="391">
        <f>IF(F103=0,0,IF(ROUNDUP(SUM($E103:F103),0)&lt;$E$16,$E$16*$B$100,0))</f>
        <v>400</v>
      </c>
      <c r="H103" s="391">
        <f>IF(G103=0,0,IF(ROUNDUP(SUM($E103:G103),0)&lt;$E$16,$E$16*$B$100,0))</f>
        <v>400</v>
      </c>
    </row>
    <row r="104" ht="12.75" customHeight="1" hidden="1">
      <c r="A104" s="392">
        <f>A97</f>
        <v>2018</v>
      </c>
      <c r="B104" s="393"/>
      <c r="C104" s="391"/>
      <c r="D104" s="391"/>
      <c r="E104" s="391"/>
      <c r="F104" s="391">
        <f>IF(F$16&lt;0,0,F$16*$B$100)</f>
        <v>400</v>
      </c>
      <c r="G104" s="391">
        <f>IF(F104=0,0,IF(ROUNDUP(SUM($F104:F104),0)&lt;$F$16,$F$16*$B$100,0))</f>
        <v>400</v>
      </c>
      <c r="H104" s="391">
        <f>IF(G104=0,0,IF(ROUNDUP(SUM($F104:G104),0)&lt;$F$16,$F$16*$B$100,0))</f>
        <v>400</v>
      </c>
    </row>
    <row r="105" ht="12.75" customHeight="1" hidden="1">
      <c r="A105" s="392">
        <f>A98</f>
        <v>2019</v>
      </c>
      <c r="B105" s="393"/>
      <c r="C105" s="391"/>
      <c r="D105" s="391"/>
      <c r="E105" s="391"/>
      <c r="F105" s="391"/>
      <c r="G105" s="391">
        <f>IF(G$16&lt;0,0,G$16*$B$100)</f>
        <v>400</v>
      </c>
      <c r="H105" s="391">
        <f>IF(G105=0,0,IF(ROUNDUP(SUM($G105:G105),0)&lt;$G$16,$G$16*$B$100,0))</f>
        <v>400</v>
      </c>
    </row>
    <row r="106" ht="12.75" customHeight="1" hidden="1">
      <c r="A106" s="392">
        <f>A99</f>
        <v>2020</v>
      </c>
      <c r="B106" s="393"/>
      <c r="C106" s="391"/>
      <c r="D106" s="391"/>
      <c r="E106" s="391"/>
      <c r="F106" s="391"/>
      <c r="G106" s="391"/>
      <c r="H106" s="391">
        <f>IF(H$16&lt;0,0,H$16*$B$100)</f>
        <v>400</v>
      </c>
    </row>
    <row r="107" ht="12.75" customHeight="1" hidden="1">
      <c r="A107" t="s" s="389">
        <v>242</v>
      </c>
      <c r="B107" s="393">
        <f>C65</f>
        <v>0.25</v>
      </c>
      <c r="C107" s="391">
        <f>SUM(C108:C113)</f>
        <v>0</v>
      </c>
      <c r="D107" s="391">
        <f>SUM(D108:D113)</f>
        <v>0</v>
      </c>
      <c r="E107" s="391">
        <f>SUM(E108:E113)</f>
        <v>0</v>
      </c>
      <c r="F107" s="391">
        <f>SUM(F108:F113)</f>
        <v>0</v>
      </c>
      <c r="G107" s="391">
        <f>SUM(G108:G113)</f>
        <v>0</v>
      </c>
      <c r="H107" s="391">
        <f>SUM(H108:H113)</f>
        <v>0</v>
      </c>
    </row>
    <row r="108" ht="12.75" customHeight="1" hidden="1">
      <c r="A108" s="392">
        <f>A101</f>
        <v>2015</v>
      </c>
      <c r="B108" s="393"/>
      <c r="C108" s="391">
        <f>IF(C$17&lt;0,0,C$17*$B$107)</f>
        <v>0</v>
      </c>
      <c r="D108" s="391">
        <f>IF(C108=0,0,IF(ROUNDUP(SUM($C108:C108),0)&lt;$C$17,$C$17*$B$107,0))</f>
        <v>0</v>
      </c>
      <c r="E108" s="391">
        <f>IF(D108=0,0,IF(ROUNDUP(SUM($C108:D108),0)&lt;$C$17,$C$17*$B$107,0))</f>
        <v>0</v>
      </c>
      <c r="F108" s="391">
        <f>IF(E108=0,0,IF(ROUNDUP(SUM($C108:E108),0)&lt;$C$17,$C$17*$B$107,0))</f>
        <v>0</v>
      </c>
      <c r="G108" s="391">
        <f>IF(F108=0,0,IF(ROUNDUP(SUM($C108:F108),0)&lt;$C$17,$C$17*$B$107,0))</f>
        <v>0</v>
      </c>
      <c r="H108" s="391">
        <f>IF(G108=0,0,IF(ROUNDUP(SUM($C108:G108),0)&lt;$C$17,$C$17*$B$107,0))</f>
        <v>0</v>
      </c>
    </row>
    <row r="109" ht="12.75" customHeight="1" hidden="1">
      <c r="A109" s="392">
        <f>A102</f>
        <v>2016</v>
      </c>
      <c r="B109" s="393"/>
      <c r="C109" s="391"/>
      <c r="D109" s="391">
        <f>IF(D$17&lt;0,0,D$17*$B$107)</f>
        <v>0</v>
      </c>
      <c r="E109" s="391">
        <f>IF(D109=0,0,IF(ROUNDUP(SUM($D109:D109),0)&lt;$D$17,$D$17*$B$107,0))</f>
        <v>0</v>
      </c>
      <c r="F109" s="391">
        <f>IF(E109=0,0,IF(ROUNDUP(SUM($D109:E109),0)&lt;$D$17,$D$17*$B$107,0))</f>
        <v>0</v>
      </c>
      <c r="G109" s="391">
        <f>IF(F109=0,0,IF(ROUNDUP(SUM($D109:F109),0)&lt;$D$17,$D$17*$B$107,0))</f>
        <v>0</v>
      </c>
      <c r="H109" s="391">
        <f>IF(G109=0,0,IF(ROUNDUP(SUM($D109:G109),0)&lt;$D$17,$D$17*$B$107,0))</f>
        <v>0</v>
      </c>
    </row>
    <row r="110" ht="12.75" customHeight="1" hidden="1">
      <c r="A110" s="392">
        <f>A103</f>
        <v>2017</v>
      </c>
      <c r="B110" s="393"/>
      <c r="C110" s="391"/>
      <c r="D110" s="391"/>
      <c r="E110" s="391">
        <f>IF(E$17&lt;0,0,E$17*$B$107)</f>
        <v>0</v>
      </c>
      <c r="F110" s="391">
        <f>IF(E110=0,0,IF(ROUNDUP(SUM($E110:E110),0)&lt;$E$17,$E$17*$B$107,0))</f>
        <v>0</v>
      </c>
      <c r="G110" s="391">
        <f>IF(F110=0,0,IF(ROUNDUP(SUM($E110:F110),0)&lt;$E$17,$E$17*$B$107,0))</f>
        <v>0</v>
      </c>
      <c r="H110" s="391">
        <f>IF(G110=0,0,IF(ROUNDUP(SUM($E110:G110),0)&lt;$E$17,$E$17*$B$107,0))</f>
        <v>0</v>
      </c>
    </row>
    <row r="111" ht="12.75" customHeight="1" hidden="1">
      <c r="A111" s="392">
        <f>A104</f>
        <v>2018</v>
      </c>
      <c r="B111" s="393"/>
      <c r="C111" s="391"/>
      <c r="D111" s="391"/>
      <c r="E111" s="391"/>
      <c r="F111" s="391">
        <f>IF(F$17&lt;0,0,F$17*$B$107)</f>
        <v>0</v>
      </c>
      <c r="G111" s="391">
        <f>IF(F111=0,0,IF(ROUNDUP(SUM($F111:F111),0)&lt;$F$17,$F$17*$B$107,0))</f>
        <v>0</v>
      </c>
      <c r="H111" s="391">
        <f>IF(G111=0,0,IF(ROUNDUP(SUM($F111:G111),0)&lt;$F$17,$F$17*$B$107,0))</f>
        <v>0</v>
      </c>
    </row>
    <row r="112" ht="12.75" customHeight="1" hidden="1">
      <c r="A112" s="392">
        <f>A105</f>
        <v>2019</v>
      </c>
      <c r="B112" s="393"/>
      <c r="C112" s="391"/>
      <c r="D112" s="391"/>
      <c r="E112" s="391"/>
      <c r="F112" s="391"/>
      <c r="G112" s="391">
        <f>IF(G$17&lt;0,0,G$17*$B$107)</f>
        <v>0</v>
      </c>
      <c r="H112" s="391">
        <f>IF(G112=0,0,IF(ROUNDUP(SUM($G112:G112),0)&lt;$G$17,$G$17*$B$107,0))</f>
        <v>0</v>
      </c>
    </row>
    <row r="113" ht="12.75" customHeight="1" hidden="1">
      <c r="A113" s="392">
        <f>A106</f>
        <v>2020</v>
      </c>
      <c r="B113" s="395"/>
      <c r="C113" s="391"/>
      <c r="D113" s="391"/>
      <c r="E113" s="391"/>
      <c r="F113" s="391"/>
      <c r="G113" s="391"/>
      <c r="H113" s="391">
        <f>IF(H$17&lt;0,0,H$17*$B$107)</f>
        <v>0</v>
      </c>
    </row>
    <row r="114" ht="12.75" customHeight="1" hidden="1">
      <c r="A114" t="s" s="389">
        <v>243</v>
      </c>
      <c r="B114" s="390">
        <f>C66</f>
        <v>0.25</v>
      </c>
      <c r="C114" s="391">
        <f>SUM(C115:C120)</f>
        <v>0</v>
      </c>
      <c r="D114" s="391">
        <f>SUM(D115:D120)</f>
        <v>0</v>
      </c>
      <c r="E114" s="391">
        <f>SUM(E115:E120)</f>
        <v>0</v>
      </c>
      <c r="F114" s="391">
        <f>SUM(F115:F120)</f>
        <v>0</v>
      </c>
      <c r="G114" s="391">
        <f>SUM(G115:G120)</f>
        <v>0</v>
      </c>
      <c r="H114" s="391">
        <f>SUM(H115:H120)</f>
        <v>0</v>
      </c>
    </row>
    <row r="115" ht="12.75" customHeight="1" hidden="1">
      <c r="A115" s="392">
        <f>A108</f>
        <v>2015</v>
      </c>
      <c r="B115" s="393"/>
      <c r="C115" s="391">
        <f>IF(C$18&lt;0,0,C$18*$B$114)</f>
        <v>0</v>
      </c>
      <c r="D115" s="391">
        <f>IF(C115=0,0,IF(ROUNDUP(SUM($C115:C115),0)&lt;$C$18,$C$18*$B$114,0))</f>
        <v>0</v>
      </c>
      <c r="E115" s="391">
        <f>IF(D115=0,0,IF(ROUNDUP(SUM($C115:D115),0)&lt;$C$18,$C$18*$B$114,0))</f>
        <v>0</v>
      </c>
      <c r="F115" s="391">
        <f>IF(E115=0,0,IF(ROUNDUP(SUM($C115:E115),0)&lt;$C$18,$C$18*$B$114,0))</f>
        <v>0</v>
      </c>
      <c r="G115" s="391">
        <f>IF(F115=0,0,IF(ROUNDUP(SUM($C115:F115),0)&lt;$C$18,$C$18*$B$114,0))</f>
        <v>0</v>
      </c>
      <c r="H115" s="391">
        <f>IF(G115=0,0,IF(ROUNDUP(SUM($C115:G115),0)&lt;$C$18,$C$18*$B$114,0))</f>
        <v>0</v>
      </c>
    </row>
    <row r="116" ht="12.75" customHeight="1" hidden="1">
      <c r="A116" s="392">
        <f>A109</f>
        <v>2016</v>
      </c>
      <c r="B116" s="393"/>
      <c r="C116" s="391"/>
      <c r="D116" s="391">
        <f>IF(D$18&lt;0,0,D$18*$B$114)</f>
        <v>0</v>
      </c>
      <c r="E116" s="391">
        <f>IF(D116=0,0,IF(ROUNDUP(SUM($D116:D116),0)&lt;$D$18,$D$18*$B$114,0))</f>
        <v>0</v>
      </c>
      <c r="F116" s="391">
        <f>IF(E116=0,0,IF(ROUNDUP(SUM($D116:E116),0)&lt;$D$18,$D$18*$B$114,0))</f>
        <v>0</v>
      </c>
      <c r="G116" s="391">
        <f>IF(F116=0,0,IF(ROUNDUP(SUM($D116:F116),0)&lt;$D$18,$D$18*$B$114,0))</f>
        <v>0</v>
      </c>
      <c r="H116" s="391">
        <f>IF(G116=0,0,IF(ROUNDUP(SUM($D116:G116),0)&lt;$D$18,$D$18*$B$114,0))</f>
        <v>0</v>
      </c>
    </row>
    <row r="117" ht="12.75" customHeight="1" hidden="1">
      <c r="A117" s="392">
        <f>A110</f>
        <v>2017</v>
      </c>
      <c r="B117" s="393"/>
      <c r="C117" s="391"/>
      <c r="D117" s="391"/>
      <c r="E117" s="391">
        <f>IF(E$18&lt;0,0,E$18*$B$114)</f>
        <v>0</v>
      </c>
      <c r="F117" s="391">
        <f>IF(E117=0,0,IF(ROUNDUP(SUM($E117:E117),0)&lt;$E$18,$E$18*$B$114,0))</f>
        <v>0</v>
      </c>
      <c r="G117" s="391">
        <f>IF(F117=0,0,IF(ROUNDUP(SUM($E117:F117),0)&lt;$E$18,$E$18*$B$114,0))</f>
        <v>0</v>
      </c>
      <c r="H117" s="391">
        <f>IF(G117=0,0,IF(ROUNDUP(SUM($E117:G117),0)&lt;$E$18,$E$18*$B$114,0))</f>
        <v>0</v>
      </c>
    </row>
    <row r="118" ht="12.75" customHeight="1" hidden="1">
      <c r="A118" s="392">
        <f>A111</f>
        <v>2018</v>
      </c>
      <c r="B118" s="393"/>
      <c r="C118" s="391"/>
      <c r="D118" s="391"/>
      <c r="E118" s="391"/>
      <c r="F118" s="391">
        <f>IF(F$18&lt;0,0,F$18*$B$114)</f>
        <v>0</v>
      </c>
      <c r="G118" s="391">
        <f>IF(F118=0,0,IF(ROUNDUP(SUM($F118:F118),0)&lt;$F$18,$F$18*$B$114,0))</f>
        <v>0</v>
      </c>
      <c r="H118" s="391">
        <f>IF(G118=0,0,IF(ROUNDUP(SUM($F118:G118),0)&lt;$F$18,$F$18*$B$114,0))</f>
        <v>0</v>
      </c>
    </row>
    <row r="119" ht="12.75" customHeight="1" hidden="1">
      <c r="A119" s="392">
        <f>A112</f>
        <v>2019</v>
      </c>
      <c r="B119" s="393"/>
      <c r="C119" s="391"/>
      <c r="D119" s="391"/>
      <c r="E119" s="391"/>
      <c r="F119" s="391"/>
      <c r="G119" s="391">
        <f>IF(G$18&lt;0,0,G$18*$B$114)</f>
        <v>0</v>
      </c>
      <c r="H119" s="391">
        <f>IF(G119=0,0,IF(ROUNDUP(SUM($G119:G119),0)&lt;$G$18,$G$18*$B$114,0))</f>
        <v>0</v>
      </c>
    </row>
    <row r="120" ht="12.75" customHeight="1" hidden="1">
      <c r="A120" s="392">
        <f>A113</f>
        <v>2020</v>
      </c>
      <c r="B120" s="395"/>
      <c r="C120" s="391"/>
      <c r="D120" s="391"/>
      <c r="E120" s="391"/>
      <c r="F120" s="391"/>
      <c r="G120" s="391"/>
      <c r="H120" s="391">
        <f>IF(H$18&lt;0,0,H$18*$B$114)</f>
        <v>0</v>
      </c>
    </row>
    <row r="121" ht="12.75" customHeight="1" hidden="1">
      <c r="A121" t="s" s="389">
        <v>244</v>
      </c>
      <c r="B121" s="390">
        <f>C67</f>
        <v>0.25</v>
      </c>
      <c r="C121" s="391">
        <f>SUM(C122:C127)</f>
        <v>0</v>
      </c>
      <c r="D121" s="391">
        <f>SUM(D122:D127)</f>
        <v>0</v>
      </c>
      <c r="E121" s="391">
        <f>SUM(E122:E127)</f>
        <v>0</v>
      </c>
      <c r="F121" s="391">
        <f>SUM(F122:F127)</f>
        <v>0</v>
      </c>
      <c r="G121" s="391">
        <f>SUM(G122:G127)</f>
        <v>0</v>
      </c>
      <c r="H121" s="391">
        <f>SUM(H122:H127)</f>
        <v>0</v>
      </c>
    </row>
    <row r="122" ht="12.75" customHeight="1" hidden="1">
      <c r="A122" s="392">
        <f>A115</f>
        <v>2015</v>
      </c>
      <c r="B122" s="393"/>
      <c r="C122" s="391">
        <f>IF(C$19&lt;0,0,C$19*$B$121)</f>
        <v>0</v>
      </c>
      <c r="D122" s="391">
        <f>IF(C122=0,0,IF(ROUNDUP(SUM($C122:C122),0)&lt;$C$19,$C$19*$B$121,0))</f>
        <v>0</v>
      </c>
      <c r="E122" s="391">
        <f>IF(D122=0,0,IF(ROUNDUP(SUM($C122:D122),0)&lt;$C$19,$C$19*$B$121,0))</f>
        <v>0</v>
      </c>
      <c r="F122" s="391">
        <f>IF(E122=0,0,IF(ROUNDUP(SUM($C122:E122),0)&lt;$C$19,$C$19*$B$121,0))</f>
        <v>0</v>
      </c>
      <c r="G122" s="391">
        <f>IF(F122=0,0,IF(ROUNDUP(SUM($C122:F122),0)&lt;$C$19,$C$19*$B$121,0))</f>
        <v>0</v>
      </c>
      <c r="H122" s="391">
        <f>IF(G122=0,0,IF(ROUNDUP(SUM($C122:G122),0)&lt;$C$19,$C$19*$B$121,0))</f>
        <v>0</v>
      </c>
    </row>
    <row r="123" ht="12.75" customHeight="1" hidden="1">
      <c r="A123" s="392">
        <f>A116</f>
        <v>2016</v>
      </c>
      <c r="B123" s="393"/>
      <c r="C123" s="391"/>
      <c r="D123" s="391">
        <f>IF(D$19&lt;0,0,D$19*$B$121)</f>
        <v>0</v>
      </c>
      <c r="E123" s="391">
        <f>IF(D123=0,0,IF(ROUNDUP(SUM($D123:D123),0)&lt;$D$19,$D$19*$B$121,0))</f>
        <v>0</v>
      </c>
      <c r="F123" s="391">
        <f>IF(E123=0,0,IF(ROUNDUP(SUM($D123:E123),0)&lt;$D$19,$D$19*$B$121,0))</f>
        <v>0</v>
      </c>
      <c r="G123" s="391">
        <f>IF(F123=0,0,IF(ROUNDUP(SUM($D123:F123),0)&lt;$D$19,$D$19*$B$121,0))</f>
        <v>0</v>
      </c>
      <c r="H123" s="391">
        <f>IF(G123=0,0,IF(ROUNDUP(SUM($D123:G123),0)&lt;$D$19,$D$19*$B$121,0))</f>
        <v>0</v>
      </c>
    </row>
    <row r="124" ht="12.75" customHeight="1" hidden="1">
      <c r="A124" s="392">
        <f>A117</f>
        <v>2017</v>
      </c>
      <c r="B124" s="393"/>
      <c r="C124" s="391"/>
      <c r="D124" s="391"/>
      <c r="E124" s="391">
        <f>IF(E$19&lt;0,0,E$19*$B$121)</f>
        <v>0</v>
      </c>
      <c r="F124" s="391">
        <f>IF(E124=0,0,IF(ROUNDUP(SUM($E124:E124),0)&lt;$E$19,$E$19*$B$121,0))</f>
        <v>0</v>
      </c>
      <c r="G124" s="391">
        <f>IF(F124=0,0,IF(ROUNDUP(SUM($E124:F124),0)&lt;$E$19,$E$19*$B$121,0))</f>
        <v>0</v>
      </c>
      <c r="H124" s="391">
        <f>IF(G124=0,0,IF(ROUNDUP(SUM($E124:G124),0)&lt;$E$19,$E$19*$B$121,0))</f>
        <v>0</v>
      </c>
    </row>
    <row r="125" ht="12.75" customHeight="1" hidden="1">
      <c r="A125" s="392">
        <f>A118</f>
        <v>2018</v>
      </c>
      <c r="B125" s="393"/>
      <c r="C125" s="391"/>
      <c r="D125" s="391"/>
      <c r="E125" s="391"/>
      <c r="F125" s="391">
        <f>IF(F$19&lt;0,0,F$19*$B$121)</f>
        <v>0</v>
      </c>
      <c r="G125" s="391">
        <f>IF(F125=0,0,IF(ROUNDUP(SUM($F125:F125),0)&lt;$F$19,$F$19*$B$121,0))</f>
        <v>0</v>
      </c>
      <c r="H125" s="391">
        <f>IF(G125=0,0,IF(ROUNDUP(SUM($F125:G125),0)&lt;$F$19,$F$19*$B$121,0))</f>
        <v>0</v>
      </c>
    </row>
    <row r="126" ht="12.75" customHeight="1" hidden="1">
      <c r="A126" s="392">
        <f>A119</f>
        <v>2019</v>
      </c>
      <c r="B126" s="393"/>
      <c r="C126" s="391"/>
      <c r="D126" s="391"/>
      <c r="E126" s="391"/>
      <c r="F126" s="391"/>
      <c r="G126" s="391">
        <f>IF(G$19&lt;0,0,G$19*$B$121)</f>
        <v>0</v>
      </c>
      <c r="H126" s="391">
        <f>IF(G126=0,0,IF(ROUNDUP(SUM($G126:G126),0)&lt;$G$19,$G$19*$B$121,0))</f>
        <v>0</v>
      </c>
    </row>
    <row r="127" ht="12.75" customHeight="1" hidden="1">
      <c r="A127" s="392">
        <f>A120</f>
        <v>2020</v>
      </c>
      <c r="B127" s="395"/>
      <c r="C127" s="391"/>
      <c r="D127" s="391"/>
      <c r="E127" s="391"/>
      <c r="F127" s="391"/>
      <c r="G127" s="391"/>
      <c r="H127" s="391">
        <f>IF(H$19&lt;0,0,H$19*$B$121)</f>
        <v>0</v>
      </c>
    </row>
    <row r="128" ht="12.75" customHeight="1" hidden="1">
      <c r="A128" t="s" s="389">
        <v>219</v>
      </c>
      <c r="B128" s="390">
        <f>C68</f>
        <v>0.25</v>
      </c>
      <c r="C128" s="391">
        <f>SUM(C129:C134)</f>
        <v>0</v>
      </c>
      <c r="D128" s="391">
        <f>SUM(D129:D134)</f>
        <v>0</v>
      </c>
      <c r="E128" s="391">
        <f>SUM(E129:E134)</f>
        <v>0</v>
      </c>
      <c r="F128" s="391">
        <f>SUM(F129:F134)</f>
        <v>0</v>
      </c>
      <c r="G128" s="391">
        <f>SUM(G129:G134)</f>
        <v>0</v>
      </c>
      <c r="H128" s="391">
        <f>SUM(H129:H134)</f>
        <v>0</v>
      </c>
    </row>
    <row r="129" ht="12.75" customHeight="1" hidden="1">
      <c r="A129" s="392">
        <f>A122</f>
        <v>2015</v>
      </c>
      <c r="B129" s="393"/>
      <c r="C129" s="391">
        <f>IF(C$20&lt;0,0,C$20*$B$128)</f>
        <v>0</v>
      </c>
      <c r="D129" s="391">
        <f>IF(C129=0,0,IF(ROUNDUP(SUM($C129:C129),0)&lt;$C$20,$C$20*$B$128,0))</f>
        <v>0</v>
      </c>
      <c r="E129" s="391">
        <f>IF(D129=0,0,IF(ROUNDUP(SUM($C129:D129),0)&lt;$C$20,$C$20*$B$128,0))</f>
        <v>0</v>
      </c>
      <c r="F129" s="391">
        <f>IF(E129=0,0,IF(ROUNDUP(SUM($C129:E129),0)&lt;$C$20,$C$20*$B$128,0))</f>
        <v>0</v>
      </c>
      <c r="G129" s="391">
        <f>IF(F129=0,0,IF(ROUNDUP(SUM($C129:F129),0)&lt;$C$20,$C$20*$B$128,0))</f>
        <v>0</v>
      </c>
      <c r="H129" s="391">
        <f>IF(G129=0,0,IF(ROUNDUP(SUM($C129:G129),0)&lt;$C$20,$C$20*$B$128,0))</f>
        <v>0</v>
      </c>
    </row>
    <row r="130" ht="12.75" customHeight="1" hidden="1">
      <c r="A130" s="392">
        <f>A123</f>
        <v>2016</v>
      </c>
      <c r="B130" s="393"/>
      <c r="C130" s="391"/>
      <c r="D130" s="391">
        <f>IF(D$20&lt;0,0,D$20*$B$128)</f>
        <v>0</v>
      </c>
      <c r="E130" s="391">
        <f>IF(D130=0,0,IF(ROUNDUP(SUM($D130:D130),0)&lt;$D$20,$D$20*$B$128,0))</f>
        <v>0</v>
      </c>
      <c r="F130" s="391">
        <f>IF(E130=0,0,IF(ROUNDUP(SUM($D130:E130),0)&lt;$D$20,$D$20*$B$128,0))</f>
        <v>0</v>
      </c>
      <c r="G130" s="391">
        <f>IF(F130=0,0,IF(ROUNDUP(SUM($D130:F130),0)&lt;$D$20,$D$20*$B$128,0))</f>
        <v>0</v>
      </c>
      <c r="H130" s="391">
        <f>IF(G130=0,0,IF(ROUNDUP(SUM($D130:G130),0)&lt;$D$20,$D$20*$B$128,0))</f>
        <v>0</v>
      </c>
    </row>
    <row r="131" ht="12.75" customHeight="1" hidden="1">
      <c r="A131" s="392">
        <f>A124</f>
        <v>2017</v>
      </c>
      <c r="B131" s="393"/>
      <c r="C131" s="391"/>
      <c r="D131" s="391"/>
      <c r="E131" s="391">
        <f>IF(E$20&lt;0,0,E$20*$B$128)</f>
        <v>0</v>
      </c>
      <c r="F131" s="391">
        <f>IF(E131=0,0,IF(ROUNDUP(SUM($E131:E131),0)&lt;$E$20,$E$20*$B$128,0))</f>
        <v>0</v>
      </c>
      <c r="G131" s="391">
        <f>IF(F131=0,0,IF(ROUNDUP(SUM($E131:F131),0)&lt;$E$20,$E$20*$B$128,0))</f>
        <v>0</v>
      </c>
      <c r="H131" s="391">
        <f>IF(G131=0,0,IF(ROUNDUP(SUM($E131:G131),0)&lt;$E$20,$E$20*$B$128,0))</f>
        <v>0</v>
      </c>
    </row>
    <row r="132" ht="12.75" customHeight="1" hidden="1">
      <c r="A132" s="392">
        <f>A125</f>
        <v>2018</v>
      </c>
      <c r="B132" s="393"/>
      <c r="C132" s="391"/>
      <c r="D132" s="391"/>
      <c r="E132" s="391"/>
      <c r="F132" s="391">
        <f>IF(F$20&lt;0,0,F$20*$B$128)</f>
        <v>0</v>
      </c>
      <c r="G132" s="391">
        <f>IF(F132=0,0,IF(ROUNDUP(SUM($F132:F132),0)&lt;$F$20,$F$20*$B$128,0))</f>
        <v>0</v>
      </c>
      <c r="H132" s="391">
        <f>IF(G132=0,0,IF(ROUNDUP(SUM($F132:G132),0)&lt;$F$20,$F$20*$B$128,0))</f>
        <v>0</v>
      </c>
    </row>
    <row r="133" ht="12.75" customHeight="1" hidden="1">
      <c r="A133" s="392">
        <f>A126</f>
        <v>2019</v>
      </c>
      <c r="B133" s="393"/>
      <c r="C133" s="391"/>
      <c r="D133" s="391"/>
      <c r="E133" s="391"/>
      <c r="F133" s="391"/>
      <c r="G133" s="391">
        <f>IF(G$20&lt;0,0,G$20*$B$128)</f>
        <v>0</v>
      </c>
      <c r="H133" s="391">
        <f>IF(G133=0,0,IF(ROUNDUP(SUM($G133:G133),0)&lt;$G$20,$G$20*$B$128,0))</f>
        <v>0</v>
      </c>
    </row>
    <row r="134" ht="12.75" customHeight="1" hidden="1">
      <c r="A134" s="394">
        <f>A127</f>
        <v>2020</v>
      </c>
      <c r="B134" s="395"/>
      <c r="C134" s="396"/>
      <c r="D134" s="396"/>
      <c r="E134" s="396"/>
      <c r="F134" s="396"/>
      <c r="G134" s="396"/>
      <c r="H134" s="396">
        <f>IF(H$20&lt;0,0,H$20*$B$128)</f>
        <v>0</v>
      </c>
    </row>
    <row r="135" ht="12.75" customHeight="1" hidden="1">
      <c r="A135" t="s" s="223">
        <v>164</v>
      </c>
      <c r="B135" s="230"/>
      <c r="C135" s="319">
        <f>C93+C100+C107+C114+C121+C128</f>
        <v>2563.578</v>
      </c>
      <c r="D135" s="319">
        <f>D93+D100+D107+D114+D121+D128</f>
        <v>2963.578</v>
      </c>
      <c r="E135" s="319">
        <f>E93+E100+E107+E114+E121+E128</f>
        <v>3363.578</v>
      </c>
      <c r="F135" s="319">
        <f>F93+F100+F107+F114+F121+F128</f>
        <v>3763.578</v>
      </c>
      <c r="G135" s="319">
        <f>G93+G100+G107+G114+G121+G128</f>
        <v>4163.578</v>
      </c>
      <c r="H135" s="319">
        <f>H93+H100+H107+H114+H121+H128</f>
        <v>2000</v>
      </c>
    </row>
    <row r="136" ht="12.75" customHeight="1" hidden="1">
      <c r="A136" t="s" s="387">
        <v>221</v>
      </c>
      <c r="B136" s="209"/>
      <c r="C136" s="388"/>
      <c r="D136" s="388"/>
      <c r="E136" s="388"/>
      <c r="F136" s="388"/>
      <c r="G136" s="388"/>
      <c r="H136" s="388"/>
    </row>
    <row r="137" ht="12.75" customHeight="1" hidden="1">
      <c r="A137" t="s" s="389">
        <v>223</v>
      </c>
      <c r="B137" s="390">
        <f>C70</f>
        <v>0.33333</v>
      </c>
      <c r="C137" s="391">
        <f>SUM(C138:C143)</f>
        <v>0</v>
      </c>
      <c r="D137" s="391">
        <f>SUM(D138:D143)</f>
        <v>0</v>
      </c>
      <c r="E137" s="391">
        <f>SUM(E138:E143)</f>
        <v>0</v>
      </c>
      <c r="F137" s="391">
        <f>SUM(F138:F143)</f>
        <v>0</v>
      </c>
      <c r="G137" s="391">
        <f>SUM(G138:G143)</f>
        <v>0</v>
      </c>
      <c r="H137" s="391">
        <f>SUM(H138:H143)</f>
        <v>0</v>
      </c>
    </row>
    <row r="138" ht="12.75" customHeight="1" hidden="1">
      <c r="A138" s="392">
        <f>A101</f>
        <v>2015</v>
      </c>
      <c r="B138" s="393"/>
      <c r="C138" s="391">
        <f>IF(C$24&lt;0,0,C$24*$B$137)</f>
        <v>0</v>
      </c>
      <c r="D138" s="391">
        <f>IF(C138=0,0,IF(ROUNDUP(SUM($C138:C138),0)&lt;$C$24,$C$24*$B$137,0))</f>
        <v>0</v>
      </c>
      <c r="E138" s="391">
        <f>IF(D138=0,0,IF(ROUNDUP(SUM($C138:D138),0)&lt;$C$24,$C$24*$B$137,0))</f>
        <v>0</v>
      </c>
      <c r="F138" s="391">
        <f>IF(E138=0,0,IF(ROUNDUP(SUM($C138:E138),0)&lt;$C$24,$C$24*$B$137,0))</f>
        <v>0</v>
      </c>
      <c r="G138" s="391">
        <f>IF(F138=0,0,IF(ROUNDUP(SUM($C138:F138),0)&lt;$C$24,$C$24*$B$137,0))</f>
        <v>0</v>
      </c>
      <c r="H138" s="391">
        <f>IF(G138=0,0,IF(ROUNDUP(SUM($C138:G138),0)&lt;$C$24,$C$24*$B$137,0))</f>
        <v>0</v>
      </c>
    </row>
    <row r="139" ht="12.75" customHeight="1" hidden="1">
      <c r="A139" s="392">
        <f>A102</f>
        <v>2016</v>
      </c>
      <c r="B139" s="393"/>
      <c r="C139" s="391"/>
      <c r="D139" s="391">
        <f>IF(D$24&lt;0,0,D$24*$B$137)</f>
        <v>0</v>
      </c>
      <c r="E139" s="391">
        <f>IF(D139=0,0,IF(ROUNDUP(SUM($D139:D139),0)&lt;$D$24,$D$24*$B$137,0))</f>
        <v>0</v>
      </c>
      <c r="F139" s="391">
        <f>IF(E139=0,0,IF(ROUNDUP(SUM($D139:E139),0)&lt;$D$24,$D$24*$B$137,0))</f>
        <v>0</v>
      </c>
      <c r="G139" s="391">
        <f>IF(F139=0,0,IF(ROUNDUP(SUM($D139:F139),0)&lt;$D$24,$D$24*$B$137,0))</f>
        <v>0</v>
      </c>
      <c r="H139" s="391">
        <f>IF(G139=0,0,IF(ROUNDUP(SUM($D139:G139),0)&lt;$D$24,$D$24*$B$137,0))</f>
        <v>0</v>
      </c>
    </row>
    <row r="140" ht="12.75" customHeight="1" hidden="1">
      <c r="A140" s="392">
        <f>A103</f>
        <v>2017</v>
      </c>
      <c r="B140" s="393"/>
      <c r="C140" s="391"/>
      <c r="D140" s="391"/>
      <c r="E140" s="391">
        <f>IF(E$24&lt;0,0,E$24*$B$137)</f>
        <v>0</v>
      </c>
      <c r="F140" s="391">
        <f>IF(E140=0,0,IF(ROUNDUP(SUM($E140:E140),0)&lt;$E$24,$E$24*$B$137,0))</f>
        <v>0</v>
      </c>
      <c r="G140" s="391">
        <f>IF(F140=0,0,IF(ROUNDUP(SUM($E140:F140),0)&lt;$E$24,$E$24*$B$137,0))</f>
        <v>0</v>
      </c>
      <c r="H140" s="391">
        <f>IF(G140=0,0,IF(ROUNDUP(SUM($E140:G140),0)&lt;$E$24,$E$24*$B$137,0))</f>
        <v>0</v>
      </c>
    </row>
    <row r="141" ht="12.75" customHeight="1" hidden="1">
      <c r="A141" s="392">
        <f>A104</f>
        <v>2018</v>
      </c>
      <c r="B141" s="393"/>
      <c r="C141" s="391"/>
      <c r="D141" s="391"/>
      <c r="E141" s="391"/>
      <c r="F141" s="391">
        <f>IF(F$24&lt;0,0,F$24*$B$137)</f>
        <v>0</v>
      </c>
      <c r="G141" s="391">
        <f>IF(F141=0,0,IF(ROUNDUP(SUM($F141:F141),0)&lt;$F$24,$F$24*$B$137,0))</f>
        <v>0</v>
      </c>
      <c r="H141" s="391">
        <f>IF(G141=0,0,IF(ROUNDUP(SUM($F141:G141),0)&lt;$F$24,$F$24*$B$137,0))</f>
        <v>0</v>
      </c>
    </row>
    <row r="142" ht="12.75" customHeight="1" hidden="1">
      <c r="A142" s="392">
        <f>A105</f>
        <v>2019</v>
      </c>
      <c r="B142" s="393"/>
      <c r="C142" s="391"/>
      <c r="D142" s="391"/>
      <c r="E142" s="391"/>
      <c r="F142" s="391"/>
      <c r="G142" s="391">
        <f>IF(G$24&lt;0,0,G$24*$B$137)</f>
        <v>0</v>
      </c>
      <c r="H142" s="391">
        <f>IF(G142=0,0,IF(ROUNDUP(SUM($G142:G142),0)&lt;$G$24,$G$24*$B$137,0))</f>
        <v>0</v>
      </c>
    </row>
    <row r="143" ht="12.75" customHeight="1" hidden="1">
      <c r="A143" s="392">
        <f>A106</f>
        <v>2020</v>
      </c>
      <c r="B143" s="393"/>
      <c r="C143" s="391"/>
      <c r="D143" s="391"/>
      <c r="E143" s="391"/>
      <c r="F143" s="391"/>
      <c r="G143" s="391"/>
      <c r="H143" s="391">
        <f>IF(H$24&lt;0,0,H$24*$B$137)</f>
        <v>0</v>
      </c>
    </row>
    <row r="144" ht="12.75" customHeight="1" hidden="1">
      <c r="A144" t="s" s="389">
        <v>224</v>
      </c>
      <c r="B144" s="393">
        <f>C71</f>
        <v>0.3333333333333333</v>
      </c>
      <c r="C144" s="391">
        <f>SUM(C145:C150)</f>
        <v>0</v>
      </c>
      <c r="D144" s="391">
        <f>SUM(D145:D150)</f>
        <v>0</v>
      </c>
      <c r="E144" s="391">
        <f>SUM(E145:E150)</f>
        <v>0</v>
      </c>
      <c r="F144" s="391">
        <f>SUM(F145:F150)</f>
        <v>0</v>
      </c>
      <c r="G144" s="391">
        <f>SUM(G145:G150)</f>
        <v>0</v>
      </c>
      <c r="H144" s="391">
        <f>SUM(H145:H150)</f>
        <v>0</v>
      </c>
    </row>
    <row r="145" ht="12.75" customHeight="1" hidden="1">
      <c r="A145" s="392">
        <f>A138</f>
        <v>2015</v>
      </c>
      <c r="B145" s="393"/>
      <c r="C145" s="391">
        <f>IF(C$25&lt;0,0,C$25*$B$144)</f>
        <v>0</v>
      </c>
      <c r="D145" s="391">
        <f>IF(C145=0,0,IF(ROUNDUP(SUM($C145:C145),0)&lt;$C$25,$C$25*$B$144,0))</f>
        <v>0</v>
      </c>
      <c r="E145" s="391">
        <f>IF(D145=0,0,IF(ROUNDUP(SUM($C145:D145),0)&lt;$C$25,$C$25*$B$144,0))</f>
        <v>0</v>
      </c>
      <c r="F145" s="391">
        <f>IF(E145=0,0,IF(ROUNDUP(SUM($C145:E145),0)&lt;$C$25,$C$25*$B$144,0))</f>
        <v>0</v>
      </c>
      <c r="G145" s="391">
        <f>IF(F145=0,0,IF(ROUNDUP(SUM($C145:F145),0)&lt;$C$25,$C$25*$B$144,0))</f>
        <v>0</v>
      </c>
      <c r="H145" s="391">
        <f>IF(G145=0,0,IF(ROUNDUP(SUM($C145:G145),0)&lt;$C$25,$C$25*$B$144,0))</f>
        <v>0</v>
      </c>
    </row>
    <row r="146" ht="12.75" customHeight="1" hidden="1">
      <c r="A146" s="392">
        <f>A139</f>
        <v>2016</v>
      </c>
      <c r="B146" s="393"/>
      <c r="C146" s="391"/>
      <c r="D146" s="391">
        <f>IF(D$25&lt;0,0,D$25*$B$144)</f>
        <v>0</v>
      </c>
      <c r="E146" s="391">
        <f>IF(D146=0,0,IF(ROUNDUP(SUM($D146:D146),0)&lt;$D$25,$D$25*$B$144,0))</f>
        <v>0</v>
      </c>
      <c r="F146" s="391">
        <f>IF(E146=0,0,IF(ROUNDUP(SUM($D146:E146),0)&lt;$D$25,$D$25*$B$144,0))</f>
        <v>0</v>
      </c>
      <c r="G146" s="391">
        <f>IF(F146=0,0,IF(ROUNDUP(SUM($D146:F146),0)&lt;$D$25,$D$25*$B$144,0))</f>
        <v>0</v>
      </c>
      <c r="H146" s="391">
        <f>IF(G146=0,0,IF(ROUNDUP(SUM($D146:G146),0)&lt;$D$25,$D$25*$B$144,0))</f>
        <v>0</v>
      </c>
    </row>
    <row r="147" ht="12.75" customHeight="1" hidden="1">
      <c r="A147" s="392">
        <f>A140</f>
        <v>2017</v>
      </c>
      <c r="B147" s="393"/>
      <c r="C147" s="391"/>
      <c r="D147" s="391"/>
      <c r="E147" s="391">
        <f>IF(E$25&lt;0,0,E$25*$B$144)</f>
        <v>0</v>
      </c>
      <c r="F147" s="391">
        <f>IF(E147=0,0,IF(ROUNDUP(SUM($E147:E147),0)&lt;$E$25,$E$25*$B$144,0))</f>
        <v>0</v>
      </c>
      <c r="G147" s="391">
        <f>IF(F147=0,0,IF(ROUNDUP(SUM($E147:F147),0)&lt;$E$25,$E$25*$B$144,0))</f>
        <v>0</v>
      </c>
      <c r="H147" s="391">
        <f>IF(G147=0,0,IF(ROUNDUP(SUM($E147:G147),0)&lt;$E$25,$E$25*$B$144,0))</f>
        <v>0</v>
      </c>
    </row>
    <row r="148" ht="12.75" customHeight="1" hidden="1">
      <c r="A148" s="392">
        <f>A141</f>
        <v>2018</v>
      </c>
      <c r="B148" s="393"/>
      <c r="C148" s="391"/>
      <c r="D148" s="391"/>
      <c r="E148" s="391"/>
      <c r="F148" s="391">
        <f>IF(F$25&lt;0,0,F$25*$B$144)</f>
        <v>0</v>
      </c>
      <c r="G148" s="391">
        <f>IF(F148=0,0,IF(ROUNDUP(SUM($F148:F148),0)&lt;$F$25,$F$25*$B$144,0))</f>
        <v>0</v>
      </c>
      <c r="H148" s="391">
        <f>IF(G148=0,0,IF(ROUNDUP(SUM($F148:G148),0)&lt;$F$25,$F$25*$B$144,0))</f>
        <v>0</v>
      </c>
    </row>
    <row r="149" ht="12.75" customHeight="1" hidden="1">
      <c r="A149" s="392">
        <f>A142</f>
        <v>2019</v>
      </c>
      <c r="B149" s="393"/>
      <c r="C149" s="391"/>
      <c r="D149" s="391"/>
      <c r="E149" s="391"/>
      <c r="F149" s="391"/>
      <c r="G149" s="391">
        <f>IF(G$25&lt;0,0,G$25*$B$144)</f>
        <v>0</v>
      </c>
      <c r="H149" s="391">
        <f>IF(G149=0,0,IF(ROUNDUP(SUM($G149:G149),0)&lt;$G$25,$G$25*$B$144,0))</f>
        <v>0</v>
      </c>
    </row>
    <row r="150" ht="12.75" customHeight="1" hidden="1">
      <c r="A150" s="392">
        <f>A143</f>
        <v>2020</v>
      </c>
      <c r="B150" s="393"/>
      <c r="C150" s="391"/>
      <c r="D150" s="391"/>
      <c r="E150" s="391"/>
      <c r="F150" s="391"/>
      <c r="G150" s="391"/>
      <c r="H150" s="391">
        <f>IF(H$25&lt;0,0,H$25*$B$144)</f>
        <v>0</v>
      </c>
    </row>
    <row r="151" ht="12.75" customHeight="1" hidden="1">
      <c r="A151" t="s" s="389">
        <v>225</v>
      </c>
      <c r="B151" s="393">
        <f>C72</f>
        <v>0.3333333333333333</v>
      </c>
      <c r="C151" s="391">
        <f>SUM(C152:C157)</f>
        <v>0</v>
      </c>
      <c r="D151" s="391">
        <f>SUM(D152:D157)</f>
        <v>0</v>
      </c>
      <c r="E151" s="391">
        <f>SUM(E152:E157)</f>
        <v>0</v>
      </c>
      <c r="F151" s="391">
        <f>SUM(F152:F157)</f>
        <v>0</v>
      </c>
      <c r="G151" s="391">
        <f>SUM(G152:G157)</f>
        <v>0</v>
      </c>
      <c r="H151" s="391">
        <f>SUM(H152:H157)</f>
        <v>0</v>
      </c>
    </row>
    <row r="152" ht="12.75" customHeight="1" hidden="1">
      <c r="A152" s="392">
        <f>A145</f>
        <v>2015</v>
      </c>
      <c r="B152" s="393"/>
      <c r="C152" s="391">
        <f>IF(C$26&lt;0,0,C$26*$B$151)</f>
        <v>0</v>
      </c>
      <c r="D152" s="391">
        <f>IF(C152=0,0,IF(ROUNDUP(SUM($C152:C152),0)&lt;$C$26,$C$26*$B$151,0))</f>
        <v>0</v>
      </c>
      <c r="E152" s="391">
        <f>IF(D152=0,0,IF(ROUNDUP(SUM($C152:D152),0)&lt;$C$26,$C$26*$B$151,0))</f>
        <v>0</v>
      </c>
      <c r="F152" s="391">
        <f>IF(E152=0,0,IF(ROUNDUP(SUM($C152:E152),0)&lt;$C$26,$C$26*$B$151,0))</f>
        <v>0</v>
      </c>
      <c r="G152" s="391">
        <f>IF(F152=0,0,IF(ROUNDUP(SUM($C152:F152),0)&lt;$C$26,$C$26*$B$151,0))</f>
        <v>0</v>
      </c>
      <c r="H152" s="391">
        <f>IF(G152=0,0,IF(ROUNDUP(SUM($C152:G152),0)&lt;$C$26,$C$26*$B$151,0))</f>
        <v>0</v>
      </c>
    </row>
    <row r="153" ht="12.75" customHeight="1" hidden="1">
      <c r="A153" s="392">
        <f>A146</f>
        <v>2016</v>
      </c>
      <c r="B153" s="393"/>
      <c r="C153" s="391"/>
      <c r="D153" s="391">
        <f>IF(D$26&lt;0,0,D$26*$B$151)</f>
        <v>0</v>
      </c>
      <c r="E153" s="391">
        <f>IF(D153=0,0,IF(ROUNDUP(SUM($D153:D153),0)&lt;$D$26,$D$26*$B$151,0))</f>
        <v>0</v>
      </c>
      <c r="F153" s="391">
        <f>IF(E153=0,0,IF(ROUNDUP(SUM($D153:E153),0)&lt;$D$26,$D$26*$B$151,0))</f>
        <v>0</v>
      </c>
      <c r="G153" s="391">
        <f>IF(F153=0,0,IF(ROUNDUP(SUM($D153:F153),0)&lt;$D$26,$D$26*$B$151,0))</f>
        <v>0</v>
      </c>
      <c r="H153" s="391">
        <f>IF(G153=0,0,IF(ROUNDUP(SUM($D153:G153),0)&lt;$D$26,$D$26*$B$151,0))</f>
        <v>0</v>
      </c>
    </row>
    <row r="154" ht="12.75" customHeight="1" hidden="1">
      <c r="A154" s="392">
        <f>A147</f>
        <v>2017</v>
      </c>
      <c r="B154" s="393"/>
      <c r="C154" s="391"/>
      <c r="D154" s="391"/>
      <c r="E154" s="391">
        <f>IF(E$26&lt;0,0,E$26*$B$151)</f>
        <v>0</v>
      </c>
      <c r="F154" s="391">
        <f>IF(E154=0,0,IF(ROUNDUP(SUM($E154:E154),0)&lt;$E$26,$E$26*$B$151,0))</f>
        <v>0</v>
      </c>
      <c r="G154" s="391">
        <f>IF(F154=0,0,IF(ROUNDUP(SUM($E154:F154),0)&lt;$E$26,$E$26*$B$151,0))</f>
        <v>0</v>
      </c>
      <c r="H154" s="391">
        <f>IF(G154=0,0,IF(ROUNDUP(SUM($E154:G154),0)&lt;$E$26,$E$26*$B$151,0))</f>
        <v>0</v>
      </c>
    </row>
    <row r="155" ht="12.75" customHeight="1" hidden="1">
      <c r="A155" s="392">
        <f>A148</f>
        <v>2018</v>
      </c>
      <c r="B155" s="393"/>
      <c r="C155" s="391"/>
      <c r="D155" s="391"/>
      <c r="E155" s="391"/>
      <c r="F155" s="391">
        <f>IF(F$26&lt;0,0,F$26*$B$151)</f>
        <v>0</v>
      </c>
      <c r="G155" s="391">
        <f>IF(F155=0,0,IF(ROUNDUP(SUM($F155:F155),0)&lt;$F$26,$F$26*$B$151,0))</f>
        <v>0</v>
      </c>
      <c r="H155" s="391">
        <f>IF(G155=0,0,IF(ROUNDUP(SUM($F155:G155),0)&lt;$F$26,$F$26*$B$151,0))</f>
        <v>0</v>
      </c>
    </row>
    <row r="156" ht="12.75" customHeight="1" hidden="1">
      <c r="A156" s="392">
        <f>A149</f>
        <v>2019</v>
      </c>
      <c r="B156" s="393"/>
      <c r="C156" s="391"/>
      <c r="D156" s="391"/>
      <c r="E156" s="391"/>
      <c r="F156" s="391"/>
      <c r="G156" s="391">
        <f>IF(G$26&lt;0,0,G$26*$B$151)</f>
        <v>0</v>
      </c>
      <c r="H156" s="391">
        <f>IF(G156=0,0,IF(ROUNDUP(SUM($G156:G156),0)&lt;$G$26,$G$26*$B$151,0))</f>
        <v>0</v>
      </c>
    </row>
    <row r="157" ht="12.75" customHeight="1" hidden="1">
      <c r="A157" s="392">
        <f>A150</f>
        <v>2020</v>
      </c>
      <c r="B157" s="393"/>
      <c r="C157" s="391"/>
      <c r="D157" s="391"/>
      <c r="E157" s="391"/>
      <c r="F157" s="391"/>
      <c r="G157" s="391"/>
      <c r="H157" s="391">
        <f>IF(H$26&lt;0,0,H$26*$B$151)</f>
        <v>0</v>
      </c>
    </row>
    <row r="158" ht="12.75" customHeight="1" hidden="1">
      <c r="A158" t="s" s="389">
        <v>226</v>
      </c>
      <c r="B158" s="393">
        <f>C73</f>
        <v>0.3333333333333333</v>
      </c>
      <c r="C158" s="391">
        <f>SUM(C159:C164)</f>
        <v>0</v>
      </c>
      <c r="D158" s="391">
        <f>SUM(D159:D164)</f>
        <v>0</v>
      </c>
      <c r="E158" s="391">
        <f>SUM(E159:E164)</f>
        <v>0</v>
      </c>
      <c r="F158" s="391">
        <f>SUM(F159:F164)</f>
        <v>0</v>
      </c>
      <c r="G158" s="391">
        <f>SUM(G159:G164)</f>
        <v>0</v>
      </c>
      <c r="H158" s="391">
        <f>SUM(H159:H164)</f>
        <v>0</v>
      </c>
    </row>
    <row r="159" ht="12.75" customHeight="1" hidden="1">
      <c r="A159" s="392">
        <f>A152</f>
        <v>2015</v>
      </c>
      <c r="B159" s="393"/>
      <c r="C159" s="391">
        <f>IF(C$27&lt;0,0,C$27*$B$158)</f>
        <v>0</v>
      </c>
      <c r="D159" s="391">
        <f>IF(C159=0,0,IF(ROUNDUP(SUM($C159:C159),0)&lt;$C$27,$C$27*$B$158,0))</f>
        <v>0</v>
      </c>
      <c r="E159" s="391">
        <f>IF(D159=0,0,IF(ROUNDUP(SUM($C159:D159),0)&lt;$C$27,$C$27*$B$158,0))</f>
        <v>0</v>
      </c>
      <c r="F159" s="391">
        <f>IF(E159=0,0,IF(ROUNDUP(SUM($C159:E159),0)&lt;$C$27,$C$27*$B$158,0))</f>
        <v>0</v>
      </c>
      <c r="G159" s="391">
        <f>IF(F159=0,0,IF(ROUNDUP(SUM($C159:F159),0)&lt;$C$27,$C$27*$B$158,0))</f>
        <v>0</v>
      </c>
      <c r="H159" s="391">
        <f>IF(G159=0,0,IF(ROUNDUP(SUM($C159:G159),0)&lt;$C$27,$C$27*$B$158,0))</f>
        <v>0</v>
      </c>
    </row>
    <row r="160" ht="12.75" customHeight="1" hidden="1">
      <c r="A160" s="392">
        <f>A153</f>
        <v>2016</v>
      </c>
      <c r="B160" s="393"/>
      <c r="C160" s="391"/>
      <c r="D160" s="391">
        <f>IF(D$27&lt;0,0,D$27*$B$158)</f>
        <v>0</v>
      </c>
      <c r="E160" s="391">
        <f>IF(D160=0,0,IF(ROUNDUP(SUM($D160:D160),0)&lt;$D$27,$D$27*$B$158,0))</f>
        <v>0</v>
      </c>
      <c r="F160" s="391">
        <f>IF(E160=0,0,IF(ROUNDUP(SUM($D160:E160),0)&lt;$D$27,$D$27*$B$158,0))</f>
        <v>0</v>
      </c>
      <c r="G160" s="391">
        <f>IF(F160=0,0,IF(ROUNDUP(SUM($D160:F160),0)&lt;$D$27,$D$27*$B$158,0))</f>
        <v>0</v>
      </c>
      <c r="H160" s="391">
        <f>IF(G160=0,0,IF(ROUNDUP(SUM($D160:G160),0)&lt;$D$27,$D$27*$B$158,0))</f>
        <v>0</v>
      </c>
    </row>
    <row r="161" ht="12.75" customHeight="1" hidden="1">
      <c r="A161" s="392">
        <f>A154</f>
        <v>2017</v>
      </c>
      <c r="B161" s="393"/>
      <c r="C161" s="391"/>
      <c r="D161" s="391"/>
      <c r="E161" s="391">
        <f>IF(E$27&lt;0,0,E$27*$B$158)</f>
        <v>0</v>
      </c>
      <c r="F161" s="391">
        <f>IF(E161=0,0,IF(ROUNDUP(SUM($E161:E161),0)&lt;$E$27,$E$27*$B$158,0))</f>
        <v>0</v>
      </c>
      <c r="G161" s="391">
        <f>IF(F161=0,0,IF(ROUNDUP(SUM($E161:F161),0)&lt;$E$27,$E$27*$B$158,0))</f>
        <v>0</v>
      </c>
      <c r="H161" s="391">
        <f>IF(G161=0,0,IF(ROUNDUP(SUM($E161:G161),0)&lt;$E$27,$E$27*$B$158,0))</f>
        <v>0</v>
      </c>
    </row>
    <row r="162" ht="12.75" customHeight="1" hidden="1">
      <c r="A162" s="392">
        <f>A155</f>
        <v>2018</v>
      </c>
      <c r="B162" s="393"/>
      <c r="C162" s="391"/>
      <c r="D162" s="391"/>
      <c r="E162" s="391"/>
      <c r="F162" s="391">
        <f>IF(F$27&lt;0,0,F$27*$B$158)</f>
        <v>0</v>
      </c>
      <c r="G162" s="391">
        <f>IF(F162=0,0,IF(ROUNDUP(SUM($F162:F162),0)&lt;$F$27,$F$27*$B$158,0))</f>
        <v>0</v>
      </c>
      <c r="H162" s="391">
        <f>IF(G162=0,0,IF(ROUNDUP(SUM($F162:G162),0)&lt;$F$27,$F$27*$B$158,0))</f>
        <v>0</v>
      </c>
    </row>
    <row r="163" ht="12.75" customHeight="1" hidden="1">
      <c r="A163" s="392">
        <f>A156</f>
        <v>2019</v>
      </c>
      <c r="B163" s="393"/>
      <c r="C163" s="391"/>
      <c r="D163" s="391"/>
      <c r="E163" s="391"/>
      <c r="F163" s="391"/>
      <c r="G163" s="391">
        <f>IF(G$27&lt;0,0,G$27*$B$158)</f>
        <v>0</v>
      </c>
      <c r="H163" s="391">
        <f>IF(G163=0,0,IF(ROUNDUP(SUM($G163:G163),0)&lt;$G$27,$G$27*$B$158,0))</f>
        <v>0</v>
      </c>
    </row>
    <row r="164" ht="12.75" customHeight="1" hidden="1">
      <c r="A164" s="394">
        <f>A157</f>
        <v>2020</v>
      </c>
      <c r="B164" s="395"/>
      <c r="C164" s="396"/>
      <c r="D164" s="396"/>
      <c r="E164" s="396"/>
      <c r="F164" s="396"/>
      <c r="G164" s="396"/>
      <c r="H164" s="396">
        <f>IF(H$27&lt;0,0,H$27*$B$158)</f>
        <v>0</v>
      </c>
    </row>
    <row r="165" ht="12.75" customHeight="1" hidden="1">
      <c r="A165" t="s" s="223">
        <v>164</v>
      </c>
      <c r="B165" s="230"/>
      <c r="C165" s="319">
        <f>C137+C144+C151+C158</f>
        <v>0</v>
      </c>
      <c r="D165" s="319">
        <f>D137+D144+D151+D158</f>
        <v>0</v>
      </c>
      <c r="E165" s="319">
        <f>E137+E144+E151+E158</f>
        <v>0</v>
      </c>
      <c r="F165" s="319">
        <f>F137+F144+F151+F158</f>
        <v>0</v>
      </c>
      <c r="G165" s="319">
        <f>G137+G144+G151+G158</f>
        <v>0</v>
      </c>
      <c r="H165" s="319">
        <f>H137+H144+H151+H158</f>
        <v>0</v>
      </c>
    </row>
    <row r="166" ht="12.75" customHeight="1">
      <c r="A166" t="s" s="223">
        <v>245</v>
      </c>
      <c r="B166" s="230"/>
      <c r="C166" s="137">
        <f>C91+C135+C165</f>
        <v>2563.578</v>
      </c>
      <c r="D166" s="137">
        <f>D91+D135+D165</f>
        <v>2963.578</v>
      </c>
      <c r="E166" s="137">
        <f>E91+E135+E165</f>
        <v>3363.578</v>
      </c>
      <c r="F166" s="137">
        <f>F91+F135+F165</f>
        <v>3763.578</v>
      </c>
      <c r="G166" s="137">
        <f>G91+G135+G165</f>
        <v>4163.578</v>
      </c>
      <c r="H166" s="137">
        <f>H91+H135+H165</f>
        <v>2000</v>
      </c>
    </row>
    <row r="167" ht="12.75" customHeight="1">
      <c r="A167" s="397"/>
      <c r="B167" s="398"/>
      <c r="C167" s="140"/>
      <c r="D167" s="140"/>
      <c r="E167" s="140"/>
      <c r="F167" s="140"/>
      <c r="G167" s="140"/>
      <c r="H167" s="399"/>
    </row>
    <row r="168" ht="12.75" customHeight="1">
      <c r="A168" s="400"/>
      <c r="B168" s="401"/>
      <c r="C168" s="143"/>
      <c r="D168" s="143"/>
      <c r="E168" s="143"/>
      <c r="F168" s="143"/>
      <c r="G168" s="143"/>
      <c r="H168" s="402"/>
    </row>
    <row r="169" ht="12.75" customHeight="1">
      <c r="A169" t="s" s="125">
        <v>246</v>
      </c>
      <c r="B169" s="121"/>
      <c r="C169" s="119">
        <f>C7</f>
        <v>2015</v>
      </c>
      <c r="D169" s="119">
        <f>C169+1</f>
        <v>2016</v>
      </c>
      <c r="E169" s="119">
        <f>D169+1</f>
        <v>2017</v>
      </c>
      <c r="F169" s="119">
        <f>E169+1</f>
        <v>2018</v>
      </c>
      <c r="G169" s="119">
        <f>F169+1</f>
        <v>2019</v>
      </c>
      <c r="H169" s="119">
        <f>G169+1</f>
        <v>2020</v>
      </c>
    </row>
    <row r="170" ht="12.75" customHeight="1">
      <c r="A170" t="s" s="207">
        <v>207</v>
      </c>
      <c r="B170" s="209"/>
      <c r="C170" s="277">
        <f>C91</f>
        <v>0</v>
      </c>
      <c r="D170" s="277">
        <f>SUM(C91:D91)</f>
        <v>0</v>
      </c>
      <c r="E170" s="277">
        <f>SUM(C91:E91)</f>
        <v>0</v>
      </c>
      <c r="F170" s="277">
        <f>SUM(C91:F91)</f>
        <v>0</v>
      </c>
      <c r="G170" s="277">
        <f>SUM(C91:G91)</f>
        <v>0</v>
      </c>
      <c r="H170" s="277">
        <f>SUM(C91:H91)</f>
        <v>0</v>
      </c>
    </row>
    <row r="171" ht="12.75" customHeight="1">
      <c r="A171" t="s" s="387">
        <v>212</v>
      </c>
      <c r="B171" s="209"/>
      <c r="C171" s="403">
        <f>C135</f>
        <v>2563.578</v>
      </c>
      <c r="D171" s="403">
        <f>SUM(C135:D135)</f>
        <v>5527.156</v>
      </c>
      <c r="E171" s="403">
        <f>SUM(C135:E135)</f>
        <v>8890.734</v>
      </c>
      <c r="F171" s="403">
        <f>SUM(C135:F135)</f>
        <v>12654.312</v>
      </c>
      <c r="G171" s="403">
        <f>SUM(C135:G135)</f>
        <v>16817.89</v>
      </c>
      <c r="H171" s="403">
        <f>SUM(C135:H135)</f>
        <v>18817.89</v>
      </c>
    </row>
    <row r="172" ht="12.75" customHeight="1">
      <c r="A172" t="s" s="404">
        <v>221</v>
      </c>
      <c r="B172" s="209"/>
      <c r="C172" s="396">
        <f>C165</f>
        <v>0</v>
      </c>
      <c r="D172" s="396">
        <f>SUM(C165:D165)</f>
        <v>0</v>
      </c>
      <c r="E172" s="396">
        <f>SUM(C165:E165)</f>
        <v>0</v>
      </c>
      <c r="F172" s="396">
        <f>SUM(C165:F165)</f>
        <v>0</v>
      </c>
      <c r="G172" s="396">
        <f>SUM(C165:G165)</f>
        <v>0</v>
      </c>
      <c r="H172" s="396">
        <f>SUM(C165:H165)</f>
        <v>0</v>
      </c>
    </row>
    <row r="173" ht="12.75" customHeight="1">
      <c r="A173" t="s" s="223">
        <v>164</v>
      </c>
      <c r="B173" s="230"/>
      <c r="C173" s="354">
        <f>C170+C171+C172</f>
        <v>2563.578</v>
      </c>
      <c r="D173" s="354">
        <f>D170+D171+D172</f>
        <v>5527.156</v>
      </c>
      <c r="E173" s="354">
        <f>E170+E171+E172</f>
        <v>8890.734</v>
      </c>
      <c r="F173" s="354">
        <f>F170+F171+F172</f>
        <v>12654.312</v>
      </c>
      <c r="G173" s="354">
        <f>G170+G171+G172</f>
        <v>16817.89</v>
      </c>
      <c r="H173" s="354">
        <f>H170+H171+H172</f>
        <v>18817.89</v>
      </c>
    </row>
    <row r="174" ht="12.75" customHeight="1">
      <c r="A174" s="397"/>
      <c r="B174" s="398"/>
      <c r="C174" s="140"/>
      <c r="D174" s="140"/>
      <c r="E174" s="140"/>
      <c r="F174" s="140"/>
      <c r="G174" s="140"/>
      <c r="H174" s="399"/>
    </row>
    <row r="175" ht="12.75" customHeight="1">
      <c r="A175" s="400"/>
      <c r="B175" s="401"/>
      <c r="C175" s="143"/>
      <c r="D175" s="143"/>
      <c r="E175" s="143"/>
      <c r="F175" s="143"/>
      <c r="G175" s="143"/>
      <c r="H175" s="402"/>
    </row>
    <row r="176" ht="12.75" customHeight="1">
      <c r="A176" t="s" s="125">
        <v>247</v>
      </c>
      <c r="B176" s="121"/>
      <c r="C176" s="119">
        <f>C7</f>
        <v>2015</v>
      </c>
      <c r="D176" s="119">
        <f>C176+1</f>
        <v>2016</v>
      </c>
      <c r="E176" s="119">
        <f>D176+1</f>
        <v>2017</v>
      </c>
      <c r="F176" s="119">
        <f>E176+1</f>
        <v>2018</v>
      </c>
      <c r="G176" s="119">
        <f>F176+1</f>
        <v>2019</v>
      </c>
      <c r="H176" s="119">
        <f>G176+1</f>
        <v>2020</v>
      </c>
    </row>
    <row r="177" ht="12.75" customHeight="1">
      <c r="A177" t="s" s="207">
        <v>207</v>
      </c>
      <c r="B177" s="209"/>
      <c r="C177" s="277">
        <f>C38-C170</f>
        <v>0</v>
      </c>
      <c r="D177" s="277">
        <f>D38-D170</f>
        <v>0</v>
      </c>
      <c r="E177" s="277">
        <f>E38-E170</f>
        <v>0</v>
      </c>
      <c r="F177" s="277">
        <f>F38-F170</f>
        <v>0</v>
      </c>
      <c r="G177" s="277">
        <f>G38-G170</f>
        <v>0</v>
      </c>
      <c r="H177" s="277">
        <f>H38-H170</f>
        <v>0</v>
      </c>
    </row>
    <row r="178" ht="12.75" customHeight="1">
      <c r="A178" t="s" s="387">
        <v>212</v>
      </c>
      <c r="B178" s="209"/>
      <c r="C178" s="403">
        <f>C47-C171</f>
        <v>10254.312</v>
      </c>
      <c r="D178" s="403">
        <f>D47-D171</f>
        <v>9290.734</v>
      </c>
      <c r="E178" s="403">
        <f>E47-E171</f>
        <v>7927.155999999999</v>
      </c>
      <c r="F178" s="403">
        <f>F47-F171</f>
        <v>6163.578</v>
      </c>
      <c r="G178" s="403">
        <f>G47-G171</f>
        <v>4000</v>
      </c>
      <c r="H178" s="403">
        <f>H47-H171</f>
        <v>4000</v>
      </c>
    </row>
    <row r="179" ht="12.75" customHeight="1">
      <c r="A179" t="s" s="404">
        <v>221</v>
      </c>
      <c r="B179" s="209"/>
      <c r="C179" s="396">
        <f>C54-C172</f>
        <v>0</v>
      </c>
      <c r="D179" s="396">
        <f>D54-D172</f>
        <v>0</v>
      </c>
      <c r="E179" s="396">
        <f>E54-E172</f>
        <v>0</v>
      </c>
      <c r="F179" s="396">
        <f>F54-F172</f>
        <v>0</v>
      </c>
      <c r="G179" s="396">
        <f>G54-G172</f>
        <v>0</v>
      </c>
      <c r="H179" s="396">
        <f>H54-H172</f>
        <v>0</v>
      </c>
    </row>
    <row r="180" ht="12.75" customHeight="1">
      <c r="A180" t="s" s="223">
        <v>164</v>
      </c>
      <c r="B180" s="230"/>
      <c r="C180" s="354">
        <f>C177+C178+C179</f>
        <v>10254.312</v>
      </c>
      <c r="D180" s="354">
        <f>D177+D178+D179</f>
        <v>9290.734</v>
      </c>
      <c r="E180" s="354">
        <f>E177+E178+E179</f>
        <v>7927.155999999999</v>
      </c>
      <c r="F180" s="354">
        <f>F177+F178+F179</f>
        <v>6163.578</v>
      </c>
      <c r="G180" s="354">
        <f>G177+G178+G179</f>
        <v>4000</v>
      </c>
      <c r="H180" s="354">
        <f>H177+H178+H179</f>
        <v>4000</v>
      </c>
    </row>
  </sheetData>
  <mergeCells count="18"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  <mergeCell ref="A4:H4"/>
    <mergeCell ref="A28:B28"/>
    <mergeCell ref="A21:B21"/>
    <mergeCell ref="A12:B12"/>
    <mergeCell ref="A91:B91"/>
    <mergeCell ref="A7:B7"/>
    <mergeCell ref="A33:B33"/>
    <mergeCell ref="A58:C58"/>
  </mergeCells>
  <pageMargins left="0.75" right="0.75" top="1" bottom="1" header="0.5" footer="0.5"/>
  <pageSetup firstPageNumber="1" fitToHeight="1" fitToWidth="1" scale="58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9.xml><?xml version="1.0" encoding="utf-8"?>
<worksheet xmlns:r="http://schemas.openxmlformats.org/officeDocument/2006/relationships" xmlns="http://schemas.openxmlformats.org/spreadsheetml/2006/main">
  <dimension ref="A1:H100"/>
  <sheetViews>
    <sheetView workbookViewId="0" showGridLines="0" defaultGridColor="1"/>
  </sheetViews>
  <sheetFormatPr defaultColWidth="6.5" defaultRowHeight="12.75" customHeight="1" outlineLevelRow="0" outlineLevelCol="0"/>
  <cols>
    <col min="1" max="1" width="22.875" style="405" customWidth="1"/>
    <col min="2" max="2" width="6.5" style="405" customWidth="1"/>
    <col min="3" max="3" width="10.125" style="405" customWidth="1"/>
    <col min="4" max="4" width="9.125" style="405" customWidth="1"/>
    <col min="5" max="5" width="8.75" style="405" customWidth="1"/>
    <col min="6" max="6" width="8.75" style="405" customWidth="1"/>
    <col min="7" max="7" width="8.75" style="405" customWidth="1"/>
    <col min="8" max="8" width="8.75" style="405" customWidth="1"/>
    <col min="9" max="256" width="6.5" style="405" customWidth="1"/>
  </cols>
  <sheetData>
    <row r="1" ht="13.5" customHeight="1">
      <c r="A1" s="197"/>
      <c r="B1" s="3"/>
      <c r="C1" s="104"/>
      <c r="D1" s="104"/>
      <c r="E1" s="104"/>
      <c r="F1" s="104"/>
      <c r="G1" t="s" s="105">
        <v>20</v>
      </c>
      <c r="H1" t="s" s="232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201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202"/>
    </row>
    <row r="4" ht="15.75" customHeight="1">
      <c r="A4" t="s" s="42">
        <v>248</v>
      </c>
      <c r="B4" s="11"/>
      <c r="C4" s="11"/>
      <c r="D4" s="11"/>
      <c r="E4" s="11"/>
      <c r="F4" s="11"/>
      <c r="G4" s="11"/>
      <c r="H4" s="203"/>
    </row>
    <row r="5" ht="12.75" customHeight="1">
      <c r="A5" s="43"/>
      <c r="B5" s="12"/>
      <c r="C5" s="12"/>
      <c r="D5" s="12"/>
      <c r="E5" s="12"/>
      <c r="F5" s="12"/>
      <c r="G5" s="12"/>
      <c r="H5" s="204"/>
    </row>
    <row r="6" ht="12.75" customHeight="1">
      <c r="A6" s="48"/>
      <c r="B6" s="49"/>
      <c r="C6" s="150"/>
      <c r="D6" s="150"/>
      <c r="E6" s="150"/>
      <c r="F6" s="150"/>
      <c r="G6" s="150"/>
      <c r="H6" s="213"/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7">
        <v>249</v>
      </c>
      <c r="B8" s="209"/>
      <c r="C8" s="313">
        <f>'Investimento'!C29+'FundoManeio'!C24</f>
        <v>13432.668675</v>
      </c>
      <c r="D8" s="313">
        <f>'Investimento'!D29+'FundoManeio'!D24</f>
        <v>2062.703516666667</v>
      </c>
      <c r="E8" s="313">
        <f>'Investimento'!E29+'FundoManeio'!E24</f>
        <v>2290.727551455</v>
      </c>
      <c r="F8" s="313">
        <f>'Investimento'!F29+'FundoManeio'!F24</f>
        <v>2136.422329995728</v>
      </c>
      <c r="G8" s="313">
        <f>'Investimento'!G29+'FundoManeio'!G24</f>
        <v>1985.0170737395</v>
      </c>
      <c r="H8" s="313">
        <f>'Investimento'!H29+'FundoManeio'!H24</f>
        <v>1984.567585951685</v>
      </c>
    </row>
    <row r="9" ht="12.75" customHeight="1">
      <c r="A9" t="s" s="249">
        <v>250</v>
      </c>
      <c r="B9" s="209"/>
      <c r="C9" s="406">
        <v>0.02</v>
      </c>
      <c r="D9" s="406">
        <v>0.02</v>
      </c>
      <c r="E9" s="406">
        <v>0.02</v>
      </c>
      <c r="F9" s="406">
        <v>0.02</v>
      </c>
      <c r="G9" s="406">
        <v>0.02</v>
      </c>
      <c r="H9" s="406">
        <v>0.02</v>
      </c>
    </row>
    <row r="10" ht="13.5" customHeight="1">
      <c r="A10" t="s" s="207">
        <v>251</v>
      </c>
      <c r="B10" s="209"/>
      <c r="C10" s="316">
        <f>ROUND(C8*(1+C9),-2)</f>
        <v>13700</v>
      </c>
      <c r="D10" s="316">
        <f>ROUND(D8*(1+D9),-2)</f>
        <v>2100</v>
      </c>
      <c r="E10" s="316">
        <f>ROUND(E8*(1+E9),-2)</f>
        <v>2300</v>
      </c>
      <c r="F10" s="316">
        <f>ROUND(F8*(1+F9),-2)</f>
        <v>2200</v>
      </c>
      <c r="G10" s="316">
        <f>ROUND(G8*(1+G9),-2)</f>
        <v>2000</v>
      </c>
      <c r="H10" s="316">
        <f>ROUND(H8*(1+H9),-2)</f>
        <v>2000</v>
      </c>
    </row>
    <row r="11" ht="13.5" customHeight="1">
      <c r="A11" s="124"/>
      <c r="B11" s="81"/>
      <c r="C11" s="81"/>
      <c r="D11" s="81"/>
      <c r="E11" s="81"/>
      <c r="F11" s="81"/>
      <c r="G11" s="81"/>
      <c r="H11" s="212"/>
    </row>
    <row r="12" ht="12.75" customHeight="1">
      <c r="A12" s="48"/>
      <c r="B12" s="49"/>
      <c r="C12" s="150"/>
      <c r="D12" s="150"/>
      <c r="E12" s="150"/>
      <c r="F12" s="150"/>
      <c r="G12" s="150"/>
      <c r="H12" s="213"/>
    </row>
    <row r="13" ht="12.75" customHeight="1">
      <c r="A13" t="s" s="207">
        <v>252</v>
      </c>
      <c r="B13" s="209"/>
      <c r="C13" s="119">
        <f>C7</f>
        <v>2015</v>
      </c>
      <c r="D13" s="119">
        <f>D7</f>
        <v>2016</v>
      </c>
      <c r="E13" s="119">
        <f>E7</f>
        <v>2017</v>
      </c>
      <c r="F13" s="119">
        <f>F7</f>
        <v>2018</v>
      </c>
      <c r="G13" s="119">
        <f>G7</f>
        <v>2019</v>
      </c>
      <c r="H13" s="119">
        <f>H7</f>
        <v>2020</v>
      </c>
    </row>
    <row r="14" ht="12.75" customHeight="1">
      <c r="A14" t="s" s="129">
        <v>253</v>
      </c>
      <c r="B14" s="209"/>
      <c r="C14" s="319">
        <f>IF('Cash Flow'!C12&gt;0,'Cash Flow'!C12,0)</f>
        <v>2114.43346</v>
      </c>
      <c r="D14" s="319">
        <f>IF('Cash Flow'!D12&gt;0,'Cash Flow'!D12,0)</f>
        <v>8974.460409999996</v>
      </c>
      <c r="E14" s="319">
        <f>IF('Cash Flow'!E12&gt;0,'Cash Flow'!E12,0)</f>
        <v>12372.10512537</v>
      </c>
      <c r="F14" s="319">
        <f>IF('Cash Flow'!F12&gt;0,'Cash Flow'!F12,0)</f>
        <v>15049.501084557864</v>
      </c>
      <c r="G14" s="319">
        <f>IF('Cash Flow'!G12&gt;0,'Cash Flow'!G12,0)</f>
        <v>14937.106062308865</v>
      </c>
      <c r="H14" s="319">
        <f>IF('Cash Flow'!H12&gt;0,'Cash Flow'!H12,0)</f>
        <v>14383.4909293924</v>
      </c>
    </row>
    <row r="15" ht="12.75" customHeight="1">
      <c r="A15" t="s" s="129">
        <v>254</v>
      </c>
      <c r="B15" s="209"/>
      <c r="C15" s="407">
        <v>500</v>
      </c>
      <c r="D15" s="407"/>
      <c r="E15" s="407"/>
      <c r="F15" s="407"/>
      <c r="G15" s="407"/>
      <c r="H15" s="407"/>
    </row>
    <row r="16" ht="12.75" customHeight="1">
      <c r="A16" t="s" s="129">
        <v>255</v>
      </c>
      <c r="B16" s="209"/>
      <c r="C16" s="407"/>
      <c r="D16" s="407"/>
      <c r="E16" s="407"/>
      <c r="F16" s="407"/>
      <c r="G16" s="407"/>
      <c r="H16" s="407"/>
    </row>
    <row r="17" ht="12.75" customHeight="1">
      <c r="A17" t="s" s="129">
        <v>256</v>
      </c>
      <c r="B17" s="209"/>
      <c r="C17" s="408">
        <v>5000</v>
      </c>
      <c r="D17" s="407"/>
      <c r="E17" s="407"/>
      <c r="F17" s="407"/>
      <c r="G17" s="407"/>
      <c r="H17" s="407"/>
    </row>
    <row r="18" ht="12.75" customHeight="1">
      <c r="A18" t="s" s="129">
        <v>257</v>
      </c>
      <c r="B18" s="118"/>
      <c r="C18" s="407">
        <v>0</v>
      </c>
      <c r="D18" s="256"/>
      <c r="E18" s="256"/>
      <c r="F18" s="256"/>
      <c r="G18" s="256"/>
      <c r="H18" s="256"/>
    </row>
    <row r="19" ht="12.75" customHeight="1">
      <c r="A19" t="s" s="129">
        <v>258</v>
      </c>
      <c r="B19" s="118"/>
      <c r="C19" s="256">
        <v>10236.42</v>
      </c>
      <c r="D19" s="256"/>
      <c r="E19" s="256"/>
      <c r="F19" s="256"/>
      <c r="G19" s="256"/>
      <c r="H19" s="256"/>
    </row>
    <row r="20" ht="14.25" customHeight="1">
      <c r="A20" t="s" s="120">
        <v>70</v>
      </c>
      <c r="B20" s="118"/>
      <c r="C20" s="316">
        <f>SUM(C14:C19)</f>
        <v>17850.85346</v>
      </c>
      <c r="D20" s="316">
        <f>SUM(D14:D19)</f>
        <v>8974.460409999996</v>
      </c>
      <c r="E20" s="316">
        <f>SUM(E14:E19)</f>
        <v>12372.10512537</v>
      </c>
      <c r="F20" s="316">
        <f>SUM(F14:F19)</f>
        <v>15049.501084557864</v>
      </c>
      <c r="G20" s="316">
        <f>SUM(G14:G19)</f>
        <v>14937.106062308865</v>
      </c>
      <c r="H20" s="316">
        <f>SUM(H14:H19)</f>
        <v>14383.4909293924</v>
      </c>
    </row>
    <row r="21" ht="13.5" customHeight="1">
      <c r="A21" s="124"/>
      <c r="B21" s="409"/>
      <c r="C21" s="410"/>
      <c r="D21" s="410"/>
      <c r="E21" s="410"/>
      <c r="F21" s="410"/>
      <c r="G21" s="410"/>
      <c r="H21" s="411"/>
    </row>
    <row r="22" ht="12.75" customHeight="1">
      <c r="A22" t="s" s="412">
        <v>259</v>
      </c>
      <c r="B22" s="413">
        <v>2</v>
      </c>
      <c r="C22" s="414"/>
      <c r="D22" s="415"/>
      <c r="E22" s="415"/>
      <c r="F22" s="415"/>
      <c r="G22" s="415"/>
      <c r="H22" s="416"/>
    </row>
    <row r="23" ht="12.75" customHeight="1">
      <c r="A23" t="s" s="412">
        <v>260</v>
      </c>
      <c r="B23" s="417">
        <f t="shared" si="38" ref="B23:B83">'Pressupostos'!$B$32</f>
        <v>0</v>
      </c>
      <c r="C23" s="414"/>
      <c r="D23" s="415"/>
      <c r="E23" s="415"/>
      <c r="F23" s="415"/>
      <c r="G23" s="415"/>
      <c r="H23" s="416"/>
    </row>
    <row r="24" ht="12.75" customHeight="1">
      <c r="A24" s="41"/>
      <c r="B24" s="418"/>
      <c r="C24" s="7"/>
      <c r="D24" s="7"/>
      <c r="E24" s="7"/>
      <c r="F24" s="7"/>
      <c r="G24" s="7"/>
      <c r="H24" s="329"/>
    </row>
    <row r="25" ht="12.75" customHeight="1">
      <c r="A25" s="419">
        <f>C13</f>
        <v>2015</v>
      </c>
      <c r="B25" s="49"/>
      <c r="C25" s="49"/>
      <c r="D25" s="49"/>
      <c r="E25" s="49"/>
      <c r="F25" s="49"/>
      <c r="G25" s="49"/>
      <c r="H25" s="205"/>
    </row>
    <row r="26" ht="12.75" customHeight="1">
      <c r="A26" t="s" s="129">
        <v>261</v>
      </c>
      <c r="B26" s="118"/>
      <c r="C26" s="319">
        <f>SUM(C18)</f>
        <v>0</v>
      </c>
      <c r="D26" s="319">
        <f>C32</f>
        <v>0</v>
      </c>
      <c r="E26" s="319">
        <f>D32</f>
        <v>0</v>
      </c>
      <c r="F26" s="319">
        <f>E32</f>
        <v>0</v>
      </c>
      <c r="G26" s="319">
        <f>F32</f>
        <v>0</v>
      </c>
      <c r="H26" s="319">
        <f>G32</f>
        <v>0</v>
      </c>
    </row>
    <row r="27" ht="12.75" customHeight="1">
      <c r="A27" t="s" s="129">
        <v>262</v>
      </c>
      <c r="B27" s="118"/>
      <c r="C27" s="420">
        <f t="shared" si="46" ref="C27:H27">$B$23</f>
        <v>0</v>
      </c>
      <c r="D27" s="420">
        <f t="shared" si="46"/>
        <v>0</v>
      </c>
      <c r="E27" s="420">
        <f t="shared" si="46"/>
        <v>0</v>
      </c>
      <c r="F27" s="420">
        <f t="shared" si="46"/>
        <v>0</v>
      </c>
      <c r="G27" s="420">
        <f t="shared" si="46"/>
        <v>0</v>
      </c>
      <c r="H27" s="420">
        <f t="shared" si="46"/>
        <v>0</v>
      </c>
    </row>
    <row r="28" ht="12.75" customHeight="1">
      <c r="A28" t="s" s="129">
        <v>263</v>
      </c>
      <c r="B28" s="118"/>
      <c r="C28" s="319">
        <f>C26*C27*'FSE'!F8/12</f>
        <v>0</v>
      </c>
      <c r="D28" s="319">
        <f>D26*D27</f>
        <v>0</v>
      </c>
      <c r="E28" s="319">
        <f>E26*E27</f>
        <v>0</v>
      </c>
      <c r="F28" s="319">
        <f>F26*F27</f>
        <v>0</v>
      </c>
      <c r="G28" s="319">
        <f>G26*G27</f>
        <v>0</v>
      </c>
      <c r="H28" s="319">
        <f>H26*H27</f>
        <v>0</v>
      </c>
    </row>
    <row r="29" ht="12.75" customHeight="1">
      <c r="A29" t="s" s="129">
        <v>264</v>
      </c>
      <c r="B29" s="118"/>
      <c r="C29" s="421"/>
      <c r="D29" s="319">
        <f>IF(C26=0,0,$C$26/$B$22)</f>
        <v>0</v>
      </c>
      <c r="E29" s="319">
        <f>IF(D32&lt;=0,0,$C$26/$B$22)</f>
        <v>0</v>
      </c>
      <c r="F29" s="319">
        <f>IF(E32&lt;=0,0,$C$26/$B$22)</f>
        <v>0</v>
      </c>
      <c r="G29" s="319">
        <f>IF(F32&lt;=0,0,$C$26/$B$22)</f>
        <v>0</v>
      </c>
      <c r="H29" s="319">
        <f>IF(G32&lt;=0,0,$C$26/$B$22)</f>
        <v>0</v>
      </c>
    </row>
    <row r="30" ht="12.75" customHeight="1">
      <c r="A30" t="s" s="129">
        <v>265</v>
      </c>
      <c r="B30" s="118"/>
      <c r="C30" s="319">
        <f>C28*0.004</f>
        <v>0</v>
      </c>
      <c r="D30" s="319">
        <f>D28*0.004</f>
        <v>0</v>
      </c>
      <c r="E30" s="319">
        <f>E28*0.004</f>
        <v>0</v>
      </c>
      <c r="F30" s="319">
        <f>F28*0.004</f>
        <v>0</v>
      </c>
      <c r="G30" s="319">
        <f>G28*0.004</f>
        <v>0</v>
      </c>
      <c r="H30" s="319">
        <f>H28*0.004</f>
        <v>0</v>
      </c>
    </row>
    <row r="31" ht="12.75" customHeight="1">
      <c r="A31" t="s" s="129">
        <v>266</v>
      </c>
      <c r="B31" s="118"/>
      <c r="C31" s="319">
        <f>C28+C29+C30</f>
        <v>0</v>
      </c>
      <c r="D31" s="319">
        <f>D28+D29+D30</f>
        <v>0</v>
      </c>
      <c r="E31" s="319">
        <f>E28+E29+E30</f>
        <v>0</v>
      </c>
      <c r="F31" s="319">
        <f>F28+F29+F30</f>
        <v>0</v>
      </c>
      <c r="G31" s="319">
        <f>G28+G29+G30</f>
        <v>0</v>
      </c>
      <c r="H31" s="319">
        <f>H28+H29+H30</f>
        <v>0</v>
      </c>
    </row>
    <row r="32" ht="12.75" customHeight="1">
      <c r="A32" t="s" s="129">
        <v>267</v>
      </c>
      <c r="B32" s="118"/>
      <c r="C32" s="319">
        <f>C26-C29</f>
        <v>0</v>
      </c>
      <c r="D32" s="319">
        <f>D26-D29</f>
        <v>0</v>
      </c>
      <c r="E32" s="319">
        <f>E26-E29</f>
        <v>0</v>
      </c>
      <c r="F32" s="319">
        <f>F26-F29</f>
        <v>0</v>
      </c>
      <c r="G32" s="319">
        <f>G26-G29</f>
        <v>0</v>
      </c>
      <c r="H32" s="319">
        <f>H26-H29</f>
        <v>0</v>
      </c>
    </row>
    <row r="33" ht="12.75" customHeight="1">
      <c r="A33" s="124"/>
      <c r="B33" s="409"/>
      <c r="C33" s="81"/>
      <c r="D33" s="81"/>
      <c r="E33" s="81"/>
      <c r="F33" s="81"/>
      <c r="G33" s="81"/>
      <c r="H33" s="212"/>
    </row>
    <row r="34" ht="12.75" customHeight="1">
      <c r="A34" t="s" s="412">
        <v>259</v>
      </c>
      <c r="B34" s="422"/>
      <c r="C34" s="423"/>
      <c r="D34" s="7"/>
      <c r="E34" s="7"/>
      <c r="F34" s="7"/>
      <c r="G34" s="7"/>
      <c r="H34" s="329"/>
    </row>
    <row r="35" ht="12.75" customHeight="1">
      <c r="A35" t="s" s="412">
        <v>260</v>
      </c>
      <c r="B35" s="417">
        <f t="shared" si="38"/>
        <v>0</v>
      </c>
      <c r="C35" s="423"/>
      <c r="D35" s="7"/>
      <c r="E35" s="7"/>
      <c r="F35" s="7"/>
      <c r="G35" s="7"/>
      <c r="H35" s="329"/>
    </row>
    <row r="36" ht="12.75" customHeight="1">
      <c r="A36" s="41"/>
      <c r="B36" s="418"/>
      <c r="C36" s="7"/>
      <c r="D36" s="7"/>
      <c r="E36" s="7"/>
      <c r="F36" s="7"/>
      <c r="G36" s="7"/>
      <c r="H36" s="329"/>
    </row>
    <row r="37" ht="12.75" customHeight="1">
      <c r="A37" s="419">
        <f>D13</f>
        <v>2016</v>
      </c>
      <c r="B37" s="49"/>
      <c r="C37" s="49"/>
      <c r="D37" s="49"/>
      <c r="E37" s="49"/>
      <c r="F37" s="49"/>
      <c r="G37" s="49"/>
      <c r="H37" s="205"/>
    </row>
    <row r="38" ht="12.75" customHeight="1">
      <c r="A38" t="s" s="129">
        <v>261</v>
      </c>
      <c r="B38" s="118"/>
      <c r="C38" s="424">
        <f>C28</f>
        <v>0</v>
      </c>
      <c r="D38" s="319">
        <f>D18</f>
        <v>0</v>
      </c>
      <c r="E38" s="319">
        <f>D44</f>
        <v>0</v>
      </c>
      <c r="F38" s="319">
        <f>E44</f>
        <v>0</v>
      </c>
      <c r="G38" s="319">
        <f>F44</f>
        <v>0</v>
      </c>
      <c r="H38" s="319">
        <f>G44</f>
        <v>0</v>
      </c>
    </row>
    <row r="39" ht="12.75" customHeight="1">
      <c r="A39" t="s" s="129">
        <v>262</v>
      </c>
      <c r="B39" s="118"/>
      <c r="C39" s="425"/>
      <c r="D39" s="420">
        <f t="shared" si="89" ref="D39:H39">$B$35</f>
        <v>0</v>
      </c>
      <c r="E39" s="420">
        <f t="shared" si="89"/>
        <v>0</v>
      </c>
      <c r="F39" s="420">
        <f t="shared" si="89"/>
        <v>0</v>
      </c>
      <c r="G39" s="420">
        <f t="shared" si="89"/>
        <v>0</v>
      </c>
      <c r="H39" s="420">
        <f t="shared" si="89"/>
        <v>0</v>
      </c>
    </row>
    <row r="40" ht="12.75" customHeight="1">
      <c r="A40" t="s" s="129">
        <v>263</v>
      </c>
      <c r="B40" s="118"/>
      <c r="C40" s="426"/>
      <c r="D40" s="319">
        <f>D38*D39</f>
        <v>0</v>
      </c>
      <c r="E40" s="319">
        <f>E38*E39</f>
        <v>0</v>
      </c>
      <c r="F40" s="319">
        <f>F38*F39</f>
        <v>0</v>
      </c>
      <c r="G40" s="319">
        <f>G38*G39</f>
        <v>0</v>
      </c>
      <c r="H40" s="319">
        <f>H38*H39</f>
        <v>0</v>
      </c>
    </row>
    <row r="41" ht="12.75" customHeight="1">
      <c r="A41" t="s" s="129">
        <v>264</v>
      </c>
      <c r="B41" s="118"/>
      <c r="C41" s="426"/>
      <c r="D41" s="319">
        <f>IF(D38=0,0,$D$38/B34)</f>
        <v>0</v>
      </c>
      <c r="E41" s="319">
        <f>IF(D44&lt;=0,0,$D$38/$B$34)</f>
        <v>0</v>
      </c>
      <c r="F41" s="319">
        <f>IF(E44&lt;=0,0,$D$38/$B$34)</f>
        <v>0</v>
      </c>
      <c r="G41" s="319">
        <f>IF(F44&lt;=0,0,$D$38/$B$34)</f>
        <v>0</v>
      </c>
      <c r="H41" s="319">
        <f>IF(G44&lt;=0,0,$D$38/$B$34)</f>
        <v>0</v>
      </c>
    </row>
    <row r="42" ht="12.75" customHeight="1">
      <c r="A42" t="s" s="129">
        <v>265</v>
      </c>
      <c r="B42" s="118"/>
      <c r="C42" s="426"/>
      <c r="D42" s="319">
        <f>0.004*D40</f>
        <v>0</v>
      </c>
      <c r="E42" s="319">
        <f>0.004*E40</f>
        <v>0</v>
      </c>
      <c r="F42" s="319">
        <f>0.004*F40</f>
        <v>0</v>
      </c>
      <c r="G42" s="319">
        <f>0.004*G40</f>
        <v>0</v>
      </c>
      <c r="H42" s="319">
        <f>0.004*H40</f>
        <v>0</v>
      </c>
    </row>
    <row r="43" ht="12.75" customHeight="1">
      <c r="A43" t="s" s="129">
        <v>266</v>
      </c>
      <c r="B43" s="118"/>
      <c r="C43" s="426"/>
      <c r="D43" s="319">
        <f>D40+D41+D42</f>
        <v>0</v>
      </c>
      <c r="E43" s="319">
        <f>E40+E41+E42</f>
        <v>0</v>
      </c>
      <c r="F43" s="319">
        <f>F40+F41+F42</f>
        <v>0</v>
      </c>
      <c r="G43" s="319">
        <f>G40+G41+G42</f>
        <v>0</v>
      </c>
      <c r="H43" s="319">
        <f>H40+H41+H42</f>
        <v>0</v>
      </c>
    </row>
    <row r="44" ht="12.75" customHeight="1">
      <c r="A44" t="s" s="129">
        <v>267</v>
      </c>
      <c r="B44" s="118"/>
      <c r="C44" s="426"/>
      <c r="D44" s="319">
        <f>D38-D41</f>
        <v>0</v>
      </c>
      <c r="E44" s="319">
        <f>E38-E41</f>
        <v>0</v>
      </c>
      <c r="F44" s="319">
        <f>F38-F41</f>
        <v>0</v>
      </c>
      <c r="G44" s="319">
        <f>G38-G41</f>
        <v>0</v>
      </c>
      <c r="H44" s="319">
        <f>H38-H41</f>
        <v>0</v>
      </c>
    </row>
    <row r="45" ht="12.75" customHeight="1">
      <c r="A45" s="124"/>
      <c r="B45" s="409"/>
      <c r="C45" s="7"/>
      <c r="D45" s="81"/>
      <c r="E45" s="81"/>
      <c r="F45" s="81"/>
      <c r="G45" s="81"/>
      <c r="H45" s="212"/>
    </row>
    <row r="46" ht="12.75" customHeight="1">
      <c r="A46" t="s" s="412">
        <v>259</v>
      </c>
      <c r="B46" s="422"/>
      <c r="C46" s="423"/>
      <c r="D46" s="7"/>
      <c r="E46" s="7"/>
      <c r="F46" s="7"/>
      <c r="G46" s="7"/>
      <c r="H46" s="329"/>
    </row>
    <row r="47" ht="12.75" customHeight="1">
      <c r="A47" t="s" s="412">
        <v>260</v>
      </c>
      <c r="B47" s="417">
        <f t="shared" si="38"/>
        <v>0</v>
      </c>
      <c r="C47" s="423"/>
      <c r="D47" s="7"/>
      <c r="E47" s="7"/>
      <c r="F47" s="7"/>
      <c r="G47" s="7"/>
      <c r="H47" s="329"/>
    </row>
    <row r="48" ht="12.75" customHeight="1">
      <c r="A48" s="41"/>
      <c r="B48" s="418"/>
      <c r="C48" s="7"/>
      <c r="D48" s="7"/>
      <c r="E48" s="7"/>
      <c r="F48" s="7"/>
      <c r="G48" s="7"/>
      <c r="H48" s="329"/>
    </row>
    <row r="49" ht="12.75" customHeight="1">
      <c r="A49" s="419">
        <f>E13</f>
        <v>2017</v>
      </c>
      <c r="B49" s="49"/>
      <c r="C49" s="49"/>
      <c r="D49" s="49"/>
      <c r="E49" s="49"/>
      <c r="F49" s="49"/>
      <c r="G49" s="49"/>
      <c r="H49" s="205"/>
    </row>
    <row r="50" ht="12.75" customHeight="1">
      <c r="A50" t="s" s="129">
        <v>261</v>
      </c>
      <c r="B50" s="118"/>
      <c r="C50" s="427">
        <f>C40</f>
        <v>0</v>
      </c>
      <c r="D50" s="428"/>
      <c r="E50" s="319">
        <f>E18</f>
        <v>0</v>
      </c>
      <c r="F50" s="319">
        <f>E56</f>
        <v>0</v>
      </c>
      <c r="G50" s="319">
        <f>F56</f>
        <v>0</v>
      </c>
      <c r="H50" s="319">
        <f>G56</f>
        <v>0</v>
      </c>
    </row>
    <row r="51" ht="12.75" customHeight="1">
      <c r="A51" t="s" s="129">
        <v>262</v>
      </c>
      <c r="B51" s="118"/>
      <c r="C51" s="429"/>
      <c r="D51" s="430"/>
      <c r="E51" s="420">
        <f t="shared" si="126" ref="E51:H51">$B$47</f>
        <v>0</v>
      </c>
      <c r="F51" s="420">
        <f t="shared" si="126"/>
        <v>0</v>
      </c>
      <c r="G51" s="420">
        <f t="shared" si="126"/>
        <v>0</v>
      </c>
      <c r="H51" s="420">
        <f t="shared" si="126"/>
        <v>0</v>
      </c>
    </row>
    <row r="52" ht="12.75" customHeight="1">
      <c r="A52" t="s" s="129">
        <v>263</v>
      </c>
      <c r="B52" s="118"/>
      <c r="C52" s="431"/>
      <c r="D52" s="432"/>
      <c r="E52" s="319">
        <f>E50*E51</f>
        <v>0</v>
      </c>
      <c r="F52" s="319">
        <f>F50*F51</f>
        <v>0</v>
      </c>
      <c r="G52" s="319">
        <f>G50*G51</f>
        <v>0</v>
      </c>
      <c r="H52" s="319">
        <f>H50*H51</f>
        <v>0</v>
      </c>
    </row>
    <row r="53" ht="12.75" customHeight="1">
      <c r="A53" t="s" s="129">
        <v>264</v>
      </c>
      <c r="B53" s="118"/>
      <c r="C53" s="431"/>
      <c r="D53" s="432"/>
      <c r="E53" s="319">
        <f>IF(E50=0,0,$E$50/$B$46)</f>
        <v>0</v>
      </c>
      <c r="F53" s="319">
        <f>IF(E56&lt;=9,0,$E$50/$B$46)</f>
        <v>0</v>
      </c>
      <c r="G53" s="319">
        <f>IF(F56&lt;=9,0,$E$50/$B$46)</f>
        <v>0</v>
      </c>
      <c r="H53" s="319">
        <f>IF(G56&lt;=9,0,$E$50/$B$46)</f>
        <v>0</v>
      </c>
    </row>
    <row r="54" ht="12.75" customHeight="1">
      <c r="A54" t="s" s="129">
        <v>265</v>
      </c>
      <c r="B54" s="118"/>
      <c r="C54" s="431"/>
      <c r="D54" s="432"/>
      <c r="E54" s="319">
        <f>0.004*E52</f>
        <v>0</v>
      </c>
      <c r="F54" s="319">
        <f>0.004*F52</f>
        <v>0</v>
      </c>
      <c r="G54" s="319">
        <f>0.004*G52</f>
        <v>0</v>
      </c>
      <c r="H54" s="319">
        <f>0.004*H52</f>
        <v>0</v>
      </c>
    </row>
    <row r="55" ht="12.75" customHeight="1">
      <c r="A55" t="s" s="129">
        <v>266</v>
      </c>
      <c r="B55" s="118"/>
      <c r="C55" s="431"/>
      <c r="D55" s="432"/>
      <c r="E55" s="319">
        <f>E52+E53+E54</f>
        <v>0</v>
      </c>
      <c r="F55" s="319">
        <f>F52+F53+F54</f>
        <v>0</v>
      </c>
      <c r="G55" s="319">
        <f>G52+G53+G54</f>
        <v>0</v>
      </c>
      <c r="H55" s="319">
        <f>H52+H53+H54</f>
        <v>0</v>
      </c>
    </row>
    <row r="56" ht="12.75" customHeight="1">
      <c r="A56" t="s" s="129">
        <v>268</v>
      </c>
      <c r="B56" s="118"/>
      <c r="C56" s="431"/>
      <c r="D56" s="432"/>
      <c r="E56" s="319">
        <f>E50-E53</f>
        <v>0</v>
      </c>
      <c r="F56" s="319">
        <f>F50-F53</f>
        <v>0</v>
      </c>
      <c r="G56" s="319">
        <f>G50-G53</f>
        <v>0</v>
      </c>
      <c r="H56" s="319">
        <f>H50-H53</f>
        <v>0</v>
      </c>
    </row>
    <row r="57" ht="12.75" customHeight="1">
      <c r="A57" s="124"/>
      <c r="B57" s="409"/>
      <c r="C57" s="7"/>
      <c r="D57" s="7"/>
      <c r="E57" s="81"/>
      <c r="F57" s="81"/>
      <c r="G57" s="81"/>
      <c r="H57" s="212"/>
    </row>
    <row r="58" ht="12.75" customHeight="1">
      <c r="A58" t="s" s="412">
        <v>259</v>
      </c>
      <c r="B58" s="422"/>
      <c r="C58" s="423"/>
      <c r="D58" s="7"/>
      <c r="E58" s="7"/>
      <c r="F58" s="7"/>
      <c r="G58" s="7"/>
      <c r="H58" s="329"/>
    </row>
    <row r="59" ht="12.75" customHeight="1">
      <c r="A59" t="s" s="412">
        <v>260</v>
      </c>
      <c r="B59" s="417">
        <f t="shared" si="38"/>
        <v>0</v>
      </c>
      <c r="C59" s="423"/>
      <c r="D59" s="7"/>
      <c r="E59" s="7"/>
      <c r="F59" s="7"/>
      <c r="G59" s="7"/>
      <c r="H59" s="329"/>
    </row>
    <row r="60" ht="12.75" customHeight="1">
      <c r="A60" s="41"/>
      <c r="B60" s="418"/>
      <c r="C60" s="7"/>
      <c r="D60" s="7"/>
      <c r="E60" s="7"/>
      <c r="F60" s="7"/>
      <c r="G60" s="7"/>
      <c r="H60" s="329"/>
    </row>
    <row r="61" ht="12.75" customHeight="1">
      <c r="A61" s="419">
        <f>F13</f>
        <v>2018</v>
      </c>
      <c r="B61" s="49"/>
      <c r="C61" s="49"/>
      <c r="D61" s="49"/>
      <c r="E61" s="49"/>
      <c r="F61" s="49"/>
      <c r="G61" s="49"/>
      <c r="H61" s="205"/>
    </row>
    <row r="62" ht="12.75" customHeight="1">
      <c r="A62" t="s" s="129">
        <v>261</v>
      </c>
      <c r="B62" s="118"/>
      <c r="C62" s="427">
        <f>C52</f>
        <v>0</v>
      </c>
      <c r="D62" s="433"/>
      <c r="E62" s="428"/>
      <c r="F62" s="319">
        <f>F18</f>
        <v>0</v>
      </c>
      <c r="G62" s="319">
        <f>F68</f>
        <v>0</v>
      </c>
      <c r="H62" s="319">
        <f>G68</f>
        <v>0</v>
      </c>
    </row>
    <row r="63" ht="12.75" customHeight="1">
      <c r="A63" t="s" s="129">
        <v>262</v>
      </c>
      <c r="B63" s="118"/>
      <c r="C63" s="429"/>
      <c r="D63" s="434"/>
      <c r="E63" s="430"/>
      <c r="F63" s="420">
        <f t="shared" si="156" ref="F63:H63">$B$59</f>
        <v>0</v>
      </c>
      <c r="G63" s="420">
        <f t="shared" si="156"/>
        <v>0</v>
      </c>
      <c r="H63" s="420">
        <f t="shared" si="156"/>
        <v>0</v>
      </c>
    </row>
    <row r="64" ht="12.75" customHeight="1">
      <c r="A64" t="s" s="129">
        <v>263</v>
      </c>
      <c r="B64" s="118"/>
      <c r="C64" s="431"/>
      <c r="D64" s="435"/>
      <c r="E64" s="432"/>
      <c r="F64" s="319">
        <f>F62*F63</f>
        <v>0</v>
      </c>
      <c r="G64" s="319">
        <f>G62*G63</f>
        <v>0</v>
      </c>
      <c r="H64" s="319">
        <f>H62*H63</f>
        <v>0</v>
      </c>
    </row>
    <row r="65" ht="12.75" customHeight="1">
      <c r="A65" t="s" s="129">
        <v>264</v>
      </c>
      <c r="B65" s="118"/>
      <c r="C65" s="431"/>
      <c r="D65" s="435"/>
      <c r="E65" s="432"/>
      <c r="F65" s="319">
        <f>IF(F62=0,0,$F$62/B58)</f>
        <v>0</v>
      </c>
      <c r="G65" s="319">
        <f>IF(F68&lt;=0,0,$F$62/$B$58)</f>
        <v>0</v>
      </c>
      <c r="H65" s="319">
        <f>IF(G68&lt;=0,0,$F$62/$B$58)</f>
        <v>0</v>
      </c>
    </row>
    <row r="66" ht="12.75" customHeight="1">
      <c r="A66" t="s" s="129">
        <v>265</v>
      </c>
      <c r="B66" s="118"/>
      <c r="C66" s="431"/>
      <c r="D66" s="435"/>
      <c r="E66" s="432"/>
      <c r="F66" s="319">
        <f>F64*0.004</f>
        <v>0</v>
      </c>
      <c r="G66" s="319">
        <f>G64*0.004</f>
        <v>0</v>
      </c>
      <c r="H66" s="319">
        <f>H64*0.004</f>
        <v>0</v>
      </c>
    </row>
    <row r="67" ht="12.75" customHeight="1">
      <c r="A67" t="s" s="129">
        <v>266</v>
      </c>
      <c r="B67" s="118"/>
      <c r="C67" s="431"/>
      <c r="D67" s="435"/>
      <c r="E67" s="432"/>
      <c r="F67" s="319">
        <f>F64+F65+F66</f>
        <v>0</v>
      </c>
      <c r="G67" s="319">
        <f>G64+G65+G66</f>
        <v>0</v>
      </c>
      <c r="H67" s="319">
        <f>H64+H65+H66</f>
        <v>0</v>
      </c>
    </row>
    <row r="68" ht="12.75" customHeight="1">
      <c r="A68" t="s" s="129">
        <v>267</v>
      </c>
      <c r="B68" s="118"/>
      <c r="C68" s="431"/>
      <c r="D68" s="435"/>
      <c r="E68" s="432"/>
      <c r="F68" s="319">
        <f>F62-F65</f>
        <v>0</v>
      </c>
      <c r="G68" s="319">
        <f>G62-G65</f>
        <v>0</v>
      </c>
      <c r="H68" s="319">
        <f>H62-H65</f>
        <v>0</v>
      </c>
    </row>
    <row r="69" ht="12.75" customHeight="1">
      <c r="A69" s="124"/>
      <c r="B69" s="409"/>
      <c r="C69" s="7"/>
      <c r="D69" s="7"/>
      <c r="E69" s="7"/>
      <c r="F69" s="81"/>
      <c r="G69" s="81"/>
      <c r="H69" s="212"/>
    </row>
    <row r="70" ht="12.75" customHeight="1">
      <c r="A70" t="s" s="412">
        <v>259</v>
      </c>
      <c r="B70" s="422"/>
      <c r="C70" s="423"/>
      <c r="D70" s="7"/>
      <c r="E70" s="7"/>
      <c r="F70" s="7"/>
      <c r="G70" s="7"/>
      <c r="H70" s="329"/>
    </row>
    <row r="71" ht="12.75" customHeight="1">
      <c r="A71" t="s" s="412">
        <v>260</v>
      </c>
      <c r="B71" s="417">
        <f t="shared" si="38"/>
        <v>0</v>
      </c>
      <c r="C71" s="423"/>
      <c r="D71" s="7"/>
      <c r="E71" s="7"/>
      <c r="F71" s="7"/>
      <c r="G71" s="7"/>
      <c r="H71" s="329"/>
    </row>
    <row r="72" ht="12.75" customHeight="1">
      <c r="A72" s="41"/>
      <c r="B72" s="418"/>
      <c r="C72" s="7"/>
      <c r="D72" s="7"/>
      <c r="E72" s="7"/>
      <c r="F72" s="7"/>
      <c r="G72" s="7"/>
      <c r="H72" s="329"/>
    </row>
    <row r="73" ht="12.75" customHeight="1">
      <c r="A73" s="419">
        <f>G13</f>
        <v>2019</v>
      </c>
      <c r="B73" s="49"/>
      <c r="C73" s="49"/>
      <c r="D73" s="49"/>
      <c r="E73" s="7"/>
      <c r="F73" s="49"/>
      <c r="G73" s="49"/>
      <c r="H73" s="205"/>
    </row>
    <row r="74" ht="12.75" customHeight="1">
      <c r="A74" t="s" s="129">
        <v>261</v>
      </c>
      <c r="B74" s="118"/>
      <c r="C74" s="427">
        <f>C64</f>
        <v>0</v>
      </c>
      <c r="D74" s="433"/>
      <c r="E74" s="435"/>
      <c r="F74" s="428"/>
      <c r="G74" s="319">
        <f>G18</f>
        <v>0</v>
      </c>
      <c r="H74" s="319">
        <f>G80</f>
        <v>0</v>
      </c>
    </row>
    <row r="75" ht="12.75" customHeight="1">
      <c r="A75" t="s" s="129">
        <v>262</v>
      </c>
      <c r="B75" s="118"/>
      <c r="C75" s="429"/>
      <c r="D75" s="434"/>
      <c r="E75" s="434"/>
      <c r="F75" s="430"/>
      <c r="G75" s="420">
        <f>B71</f>
        <v>0</v>
      </c>
      <c r="H75" s="420">
        <f>B71</f>
        <v>0</v>
      </c>
    </row>
    <row r="76" ht="12.75" customHeight="1">
      <c r="A76" t="s" s="129">
        <v>263</v>
      </c>
      <c r="B76" s="118"/>
      <c r="C76" s="431"/>
      <c r="D76" s="435"/>
      <c r="E76" s="435"/>
      <c r="F76" s="432"/>
      <c r="G76" s="319">
        <f>G74*G75</f>
        <v>0</v>
      </c>
      <c r="H76" s="319">
        <f>H74*H75</f>
        <v>0</v>
      </c>
    </row>
    <row r="77" ht="12.75" customHeight="1">
      <c r="A77" t="s" s="129">
        <v>264</v>
      </c>
      <c r="B77" s="118"/>
      <c r="C77" s="431"/>
      <c r="D77" s="435"/>
      <c r="E77" s="435"/>
      <c r="F77" s="432"/>
      <c r="G77" s="319">
        <f>IF(G74=0,0,$G$74/B70)</f>
        <v>0</v>
      </c>
      <c r="H77" s="319">
        <f>IF(G80&lt;=0,0,$G$74/B70)</f>
        <v>0</v>
      </c>
    </row>
    <row r="78" ht="12.75" customHeight="1">
      <c r="A78" t="s" s="129">
        <v>265</v>
      </c>
      <c r="B78" s="118"/>
      <c r="C78" s="431"/>
      <c r="D78" s="435"/>
      <c r="E78" s="435"/>
      <c r="F78" s="432"/>
      <c r="G78" s="319">
        <f>G76*0.004</f>
        <v>0</v>
      </c>
      <c r="H78" s="319">
        <f>H76*0.004</f>
        <v>0</v>
      </c>
    </row>
    <row r="79" ht="12.75" customHeight="1">
      <c r="A79" t="s" s="129">
        <v>266</v>
      </c>
      <c r="B79" s="118"/>
      <c r="C79" s="431"/>
      <c r="D79" s="435"/>
      <c r="E79" s="435"/>
      <c r="F79" s="432"/>
      <c r="G79" s="319">
        <f>G76+G77+G78</f>
        <v>0</v>
      </c>
      <c r="H79" s="319">
        <f>H76+H77+H78</f>
        <v>0</v>
      </c>
    </row>
    <row r="80" ht="12.75" customHeight="1">
      <c r="A80" t="s" s="129">
        <v>267</v>
      </c>
      <c r="B80" s="118"/>
      <c r="C80" s="431"/>
      <c r="D80" s="435"/>
      <c r="E80" s="435"/>
      <c r="F80" s="432"/>
      <c r="G80" s="319">
        <f>G74-G77</f>
        <v>0</v>
      </c>
      <c r="H80" s="319">
        <f>H74-H77</f>
        <v>0</v>
      </c>
    </row>
    <row r="81" ht="12.75" customHeight="1">
      <c r="A81" s="124"/>
      <c r="B81" s="409"/>
      <c r="C81" s="7"/>
      <c r="D81" s="7"/>
      <c r="E81" s="7"/>
      <c r="F81" s="7"/>
      <c r="G81" s="81"/>
      <c r="H81" s="212"/>
    </row>
    <row r="82" ht="12.75" customHeight="1">
      <c r="A82" t="s" s="412">
        <v>259</v>
      </c>
      <c r="B82" s="422"/>
      <c r="C82" s="423"/>
      <c r="D82" s="7"/>
      <c r="E82" s="7"/>
      <c r="F82" s="7"/>
      <c r="G82" s="7"/>
      <c r="H82" s="329"/>
    </row>
    <row r="83" ht="12.75" customHeight="1">
      <c r="A83" t="s" s="412">
        <v>260</v>
      </c>
      <c r="B83" s="417">
        <f t="shared" si="38"/>
        <v>0</v>
      </c>
      <c r="C83" s="423"/>
      <c r="D83" s="7"/>
      <c r="E83" s="7"/>
      <c r="F83" s="7"/>
      <c r="G83" s="7"/>
      <c r="H83" s="329"/>
    </row>
    <row r="84" ht="12.75" customHeight="1">
      <c r="A84" s="41"/>
      <c r="B84" s="418"/>
      <c r="C84" s="7"/>
      <c r="D84" s="7"/>
      <c r="E84" s="7"/>
      <c r="F84" s="7"/>
      <c r="G84" s="7"/>
      <c r="H84" s="329"/>
    </row>
    <row r="85" ht="12.75" customHeight="1">
      <c r="A85" s="419">
        <f>H13</f>
        <v>2020</v>
      </c>
      <c r="B85" s="49"/>
      <c r="C85" s="49"/>
      <c r="D85" s="49"/>
      <c r="E85" s="49"/>
      <c r="F85" s="49"/>
      <c r="G85" s="49"/>
      <c r="H85" s="205"/>
    </row>
    <row r="86" ht="12.75" customHeight="1">
      <c r="A86" t="s" s="129">
        <v>261</v>
      </c>
      <c r="B86" s="118"/>
      <c r="C86" s="427">
        <f>C76</f>
        <v>0</v>
      </c>
      <c r="D86" s="433"/>
      <c r="E86" s="433"/>
      <c r="F86" s="433"/>
      <c r="G86" s="428"/>
      <c r="H86" s="319">
        <f>H18</f>
        <v>0</v>
      </c>
    </row>
    <row r="87" ht="12.75" customHeight="1">
      <c r="A87" t="s" s="129">
        <v>262</v>
      </c>
      <c r="B87" s="118"/>
      <c r="C87" s="429"/>
      <c r="D87" s="434"/>
      <c r="E87" s="434"/>
      <c r="F87" s="434"/>
      <c r="G87" s="430"/>
      <c r="H87" s="420">
        <f>B83</f>
        <v>0</v>
      </c>
    </row>
    <row r="88" ht="12.75" customHeight="1">
      <c r="A88" t="s" s="129">
        <v>263</v>
      </c>
      <c r="B88" s="118"/>
      <c r="C88" s="431"/>
      <c r="D88" s="435"/>
      <c r="E88" s="435"/>
      <c r="F88" s="435"/>
      <c r="G88" s="432"/>
      <c r="H88" s="319">
        <f>H86*H87</f>
        <v>0</v>
      </c>
    </row>
    <row r="89" ht="12.75" customHeight="1">
      <c r="A89" t="s" s="129">
        <v>264</v>
      </c>
      <c r="B89" s="118"/>
      <c r="C89" s="431"/>
      <c r="D89" s="435"/>
      <c r="E89" s="435"/>
      <c r="F89" s="435"/>
      <c r="G89" s="432"/>
      <c r="H89" s="319">
        <f>IF(H86=0,0,$H$86/B82)</f>
        <v>0</v>
      </c>
    </row>
    <row r="90" ht="12.75" customHeight="1">
      <c r="A90" t="s" s="129">
        <v>265</v>
      </c>
      <c r="B90" s="118"/>
      <c r="C90" s="431"/>
      <c r="D90" s="435"/>
      <c r="E90" s="435"/>
      <c r="F90" s="435"/>
      <c r="G90" s="432"/>
      <c r="H90" s="319">
        <f>0.004*H88</f>
        <v>0</v>
      </c>
    </row>
    <row r="91" ht="12.75" customHeight="1">
      <c r="A91" t="s" s="129">
        <v>266</v>
      </c>
      <c r="B91" s="118"/>
      <c r="C91" s="431"/>
      <c r="D91" s="435"/>
      <c r="E91" s="435"/>
      <c r="F91" s="435"/>
      <c r="G91" s="432"/>
      <c r="H91" s="319">
        <f>H88+H89+H90</f>
        <v>0</v>
      </c>
    </row>
    <row r="92" ht="12.75" customHeight="1">
      <c r="A92" t="s" s="129">
        <v>267</v>
      </c>
      <c r="B92" s="118"/>
      <c r="C92" s="431"/>
      <c r="D92" s="435"/>
      <c r="E92" s="435"/>
      <c r="F92" s="435"/>
      <c r="G92" s="432"/>
      <c r="H92" s="319">
        <f>H86-H89</f>
        <v>0</v>
      </c>
    </row>
    <row r="93" ht="12.75" customHeight="1">
      <c r="A93" s="124"/>
      <c r="B93" s="81"/>
      <c r="C93" s="7"/>
      <c r="D93" s="7"/>
      <c r="E93" s="7"/>
      <c r="F93" s="7"/>
      <c r="G93" s="7"/>
      <c r="H93" s="212"/>
    </row>
    <row r="94" ht="12.75" customHeight="1">
      <c r="A94" s="48"/>
      <c r="B94" s="49"/>
      <c r="C94" s="49"/>
      <c r="D94" s="436"/>
      <c r="E94" s="49"/>
      <c r="F94" s="49"/>
      <c r="G94" s="49"/>
      <c r="H94" s="205"/>
    </row>
    <row r="95" ht="12.75" customHeight="1">
      <c r="A95" t="s" s="207">
        <v>269</v>
      </c>
      <c r="B95" s="209"/>
      <c r="C95" s="313">
        <f>C32+C44+C56+C68+C80+C92</f>
        <v>0</v>
      </c>
      <c r="D95" s="313">
        <f>D32+D44+D56+D68+D80+D92</f>
        <v>0</v>
      </c>
      <c r="E95" s="313">
        <f>E32+E44+E56+E68+E80+E92</f>
        <v>0</v>
      </c>
      <c r="F95" s="313">
        <f>F32+F44+F56+F68+F80+F92</f>
        <v>0</v>
      </c>
      <c r="G95" s="313">
        <f>G32+G44+G56+G68+G80+G92</f>
        <v>0</v>
      </c>
      <c r="H95" s="313">
        <f>H32+H44+H56+H68+H80+H92</f>
        <v>0</v>
      </c>
    </row>
    <row r="96" ht="12.75" customHeight="1">
      <c r="A96" s="56"/>
      <c r="B96" s="31"/>
      <c r="C96" s="31"/>
      <c r="D96" s="31"/>
      <c r="E96" s="31"/>
      <c r="F96" s="31"/>
      <c r="G96" s="31"/>
      <c r="H96" s="290"/>
    </row>
    <row r="97" ht="12.75" customHeight="1">
      <c r="A97" t="s" s="207">
        <v>270</v>
      </c>
      <c r="B97" s="209"/>
      <c r="C97" s="313">
        <f>C28+C40+C52+C64+C76+C88+C30+C42+C54+C66+C78+C90</f>
        <v>0</v>
      </c>
      <c r="D97" s="313">
        <f>D28+D40+D52+D64+D76+D88+D30+D42+D54+D66+D78+D90</f>
        <v>0</v>
      </c>
      <c r="E97" s="313">
        <f>E28+E40+E52+E64+E76+E88+E30+E42+E54+E66+E78+E90</f>
        <v>0</v>
      </c>
      <c r="F97" s="313">
        <f>F28+F40+F52+F64+F76+F88+F30+F42+F54+F66+F78+F90</f>
        <v>0</v>
      </c>
      <c r="G97" s="313">
        <f>G28+G40+G52+G64+G76+G88+G30+G42+G54+G66+G78+G90</f>
        <v>0</v>
      </c>
      <c r="H97" s="313">
        <f>H28+H40+H52+H64+H76+H88+H30+H42+H54+H66+H78+H90</f>
        <v>0</v>
      </c>
    </row>
    <row r="98" ht="12.75" customHeight="1">
      <c r="A98" t="s" s="207">
        <v>271</v>
      </c>
      <c r="B98" s="209"/>
      <c r="C98" s="313">
        <f>C29+C41+C53+C65+C77+C89</f>
        <v>0</v>
      </c>
      <c r="D98" s="313">
        <f>D29+D41+D53+D65+D77+D89</f>
        <v>0</v>
      </c>
      <c r="E98" s="313">
        <f>E29+E41+E53+E65+E77+E89</f>
        <v>0</v>
      </c>
      <c r="F98" s="313">
        <f>F29+F41+F53+F65+F77+F89</f>
        <v>0</v>
      </c>
      <c r="G98" s="313">
        <f>G29+G41+G53+G65+G77+G89</f>
        <v>0</v>
      </c>
      <c r="H98" s="313">
        <f>H29+H41+H53+H65+H77+H89</f>
        <v>0</v>
      </c>
    </row>
    <row r="99" ht="17" customHeight="1">
      <c r="A99" s="437"/>
      <c r="B99" s="438"/>
      <c r="C99" s="438"/>
      <c r="D99" s="438"/>
      <c r="E99" s="438"/>
      <c r="F99" s="438"/>
      <c r="G99" s="438"/>
      <c r="H99" s="439"/>
    </row>
    <row r="100" ht="12.75" customHeight="1">
      <c r="A100" s="345"/>
      <c r="B100" s="34"/>
      <c r="C100" s="34"/>
      <c r="D100" s="34"/>
      <c r="E100" s="346"/>
      <c r="F100" s="346"/>
      <c r="G100" s="346"/>
      <c r="H100" s="440"/>
    </row>
  </sheetData>
  <mergeCells count="2">
    <mergeCell ref="A4:H4"/>
    <mergeCell ref="A20:B20"/>
  </mergeCells>
  <pageMargins left="0.75" right="0.75" top="1" bottom="1" header="0.5" footer="0.5"/>
  <pageSetup firstPageNumber="1" fitToHeight="1" fitToWidth="1" scale="53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0.xml><?xml version="1.0" encoding="utf-8"?>
<worksheet xmlns:r="http://schemas.openxmlformats.org/officeDocument/2006/relationships" xmlns="http://schemas.openxmlformats.org/spreadsheetml/2006/main">
  <dimension ref="A1:G13"/>
  <sheetViews>
    <sheetView workbookViewId="0" showGridLines="0" defaultGridColor="1"/>
  </sheetViews>
  <sheetFormatPr defaultColWidth="6.5" defaultRowHeight="12.75" customHeight="1" outlineLevelRow="0" outlineLevelCol="0"/>
  <cols>
    <col min="1" max="1" width="40.25" style="441" customWidth="1"/>
    <col min="2" max="2" width="8.625" style="441" customWidth="1"/>
    <col min="3" max="3" width="8.625" style="441" customWidth="1"/>
    <col min="4" max="4" width="8.625" style="441" customWidth="1"/>
    <col min="5" max="5" width="8.625" style="441" customWidth="1"/>
    <col min="6" max="6" width="8.625" style="441" customWidth="1"/>
    <col min="7" max="7" width="8.875" style="441" customWidth="1"/>
    <col min="8" max="256" width="6.5" style="441" customWidth="1"/>
  </cols>
  <sheetData>
    <row r="1" ht="16" customHeight="1">
      <c r="A1" s="197"/>
      <c r="B1" s="3"/>
      <c r="C1" s="442"/>
      <c r="D1" s="104"/>
      <c r="E1" s="104"/>
      <c r="F1" t="s" s="443">
        <v>20</v>
      </c>
      <c r="G1" t="s" s="199">
        <f>'Pressupostos'!E1</f>
        <v>58</v>
      </c>
    </row>
    <row r="2" ht="14" customHeight="1">
      <c r="A2" s="41"/>
      <c r="B2" s="7"/>
      <c r="C2" s="7"/>
      <c r="D2" s="7"/>
      <c r="E2" s="7"/>
      <c r="F2" s="7"/>
      <c r="G2" t="s" s="201">
        <f>'Pressupostos'!B9</f>
        <v>25</v>
      </c>
    </row>
    <row r="3" ht="14" customHeight="1">
      <c r="A3" s="41"/>
      <c r="B3" s="7"/>
      <c r="C3" s="7"/>
      <c r="D3" s="7"/>
      <c r="E3" s="7"/>
      <c r="F3" s="7"/>
      <c r="G3" s="202"/>
    </row>
    <row r="4" ht="19" customHeight="1">
      <c r="A4" t="s" s="42">
        <v>272</v>
      </c>
      <c r="B4" s="11"/>
      <c r="C4" s="11"/>
      <c r="D4" s="11"/>
      <c r="E4" s="11"/>
      <c r="F4" s="11"/>
      <c r="G4" s="203"/>
    </row>
    <row r="5" ht="14" customHeight="1">
      <c r="A5" s="43"/>
      <c r="B5" s="12"/>
      <c r="C5" s="12"/>
      <c r="D5" s="12"/>
      <c r="E5" s="12"/>
      <c r="F5" s="12"/>
      <c r="G5" s="204"/>
    </row>
    <row r="6" ht="14" customHeight="1">
      <c r="A6" s="48"/>
      <c r="B6" s="150"/>
      <c r="C6" s="150"/>
      <c r="D6" s="150"/>
      <c r="E6" s="150"/>
      <c r="F6" s="150"/>
      <c r="G6" s="213"/>
    </row>
    <row r="7" ht="14" customHeight="1">
      <c r="A7" s="293"/>
      <c r="B7" s="119">
        <f>'VN'!C8</f>
        <v>2015</v>
      </c>
      <c r="C7" s="119">
        <f>'VN'!D8</f>
        <v>2016</v>
      </c>
      <c r="D7" s="119">
        <f>'VN'!E8</f>
        <v>2017</v>
      </c>
      <c r="E7" s="119">
        <f>'VN'!F8</f>
        <v>2018</v>
      </c>
      <c r="F7" s="119">
        <f>'VN'!G8</f>
        <v>2019</v>
      </c>
      <c r="G7" s="119">
        <f>'VN'!H8</f>
        <v>2020</v>
      </c>
    </row>
    <row r="8" ht="14" customHeight="1">
      <c r="A8" t="s" s="444">
        <f>'DR'!A8</f>
        <v>273</v>
      </c>
      <c r="B8" s="445">
        <f>'DR'!B8</f>
        <v>8330</v>
      </c>
      <c r="C8" s="445">
        <f>'DR'!C8</f>
        <v>34635.045</v>
      </c>
      <c r="D8" s="445">
        <f>'DR'!D8</f>
        <v>45055.092699</v>
      </c>
      <c r="E8" s="445">
        <f>'DR'!E8</f>
        <v>48409.9562622384</v>
      </c>
      <c r="F8" s="445">
        <f>'DR'!F8</f>
        <v>48409.9562622384</v>
      </c>
      <c r="G8" s="445">
        <f>'DR'!G8</f>
        <v>48409.9562622384</v>
      </c>
    </row>
    <row r="9" ht="14" customHeight="1">
      <c r="A9" t="s" s="53">
        <f>'DR'!A11</f>
        <v>274</v>
      </c>
      <c r="B9" s="445">
        <f>'DR'!B11</f>
        <v>0</v>
      </c>
      <c r="C9" s="445">
        <f>'DR'!C11</f>
        <v>0</v>
      </c>
      <c r="D9" s="445">
        <f>'DR'!D11</f>
        <v>0</v>
      </c>
      <c r="E9" s="445">
        <f>'DR'!E11</f>
        <v>0</v>
      </c>
      <c r="F9" s="445">
        <f>'DR'!F11</f>
        <v>0</v>
      </c>
      <c r="G9" s="445">
        <f>'DR'!G11</f>
        <v>0</v>
      </c>
    </row>
    <row r="10" ht="14" customHeight="1">
      <c r="A10" t="s" s="53">
        <v>99</v>
      </c>
      <c r="B10" s="445">
        <f>'DR'!B13</f>
        <v>0</v>
      </c>
      <c r="C10" s="445">
        <f>'DR'!C13</f>
        <v>0</v>
      </c>
      <c r="D10" s="445">
        <f>'DR'!D13</f>
        <v>0</v>
      </c>
      <c r="E10" s="445">
        <f>'DR'!E13</f>
        <v>0</v>
      </c>
      <c r="F10" s="445">
        <f>'DR'!F13</f>
        <v>0</v>
      </c>
      <c r="G10" s="445">
        <f>'DR'!G13</f>
        <v>0</v>
      </c>
    </row>
    <row r="11" ht="14" customHeight="1">
      <c r="A11" t="s" s="53">
        <v>275</v>
      </c>
      <c r="B11" s="445">
        <f>'FSE'!F47</f>
        <v>0</v>
      </c>
      <c r="C11" s="445">
        <f>'FSE'!G47</f>
        <v>0</v>
      </c>
      <c r="D11" s="445">
        <f>'FSE'!H47</f>
        <v>0</v>
      </c>
      <c r="E11" s="445">
        <f>'FSE'!I47</f>
        <v>0</v>
      </c>
      <c r="F11" s="445">
        <f>'FSE'!J47</f>
        <v>0</v>
      </c>
      <c r="G11" s="445">
        <f>'FSE'!K47</f>
        <v>0</v>
      </c>
    </row>
    <row r="12" ht="14" customHeight="1">
      <c r="A12" t="s" s="446">
        <v>276</v>
      </c>
      <c r="B12" s="447">
        <f>B8+B9-B10-B11</f>
        <v>8330</v>
      </c>
      <c r="C12" s="447">
        <f>C8+C9-C10-C11</f>
        <v>34635.045</v>
      </c>
      <c r="D12" s="447">
        <f>D8+D9-D10-D11</f>
        <v>45055.092699</v>
      </c>
      <c r="E12" s="447">
        <f>E8+E9-E10-E11</f>
        <v>48409.9562622384</v>
      </c>
      <c r="F12" s="447">
        <f>F8+F9-F10-F11</f>
        <v>48409.9562622384</v>
      </c>
      <c r="G12" s="447">
        <f>G8+G9-G10-G11</f>
        <v>48409.9562622384</v>
      </c>
    </row>
    <row r="13" ht="14" customHeight="1">
      <c r="A13" t="s" s="448">
        <v>277</v>
      </c>
      <c r="B13" s="447">
        <f>('FSE'!F45+'DR'!B15+'DR'!B24+'DR'!B25+'DR'!B18)/(B12/B8)</f>
        <v>8871.138000000001</v>
      </c>
      <c r="C13" s="447">
        <f>('FSE'!G45+'DR'!C15+'DR'!C24+'DR'!C25+'DR'!C18)/(C12/C8)</f>
        <v>27393.018</v>
      </c>
      <c r="D13" s="447">
        <f>('FSE'!H45+'DR'!D15+'DR'!D24+'DR'!D25+'DR'!D18)/(D12/D8)</f>
        <v>34201.44556</v>
      </c>
      <c r="E13" s="447">
        <f>('FSE'!I45+'DR'!E15+'DR'!E24+'DR'!E25+'DR'!E18)/(E12/E8)</f>
        <v>34812.45857</v>
      </c>
      <c r="F13" s="447">
        <f>('FSE'!J45+'DR'!F15+'DR'!F24+'DR'!F25+'DR'!F18)/(F12/F8)</f>
        <v>35429.8019703</v>
      </c>
      <c r="G13" s="447">
        <f>('FSE'!K45+'DR'!G15+'DR'!G24+'DR'!G25+'DR'!G18)/(G12/G8)</f>
        <v>33490.087672609006</v>
      </c>
    </row>
  </sheetData>
  <mergeCells count="1">
    <mergeCell ref="A4:G4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1.xml><?xml version="1.0" encoding="utf-8"?>
<worksheet xmlns:r="http://schemas.openxmlformats.org/officeDocument/2006/relationships" xmlns="http://schemas.openxmlformats.org/spreadsheetml/2006/main">
  <dimension ref="A1:G33"/>
  <sheetViews>
    <sheetView workbookViewId="0" showGridLines="0" defaultGridColor="1"/>
  </sheetViews>
  <sheetFormatPr defaultColWidth="6.5" defaultRowHeight="12.75" customHeight="1" outlineLevelRow="0" outlineLevelCol="0"/>
  <cols>
    <col min="1" max="1" width="40.25" style="449" customWidth="1"/>
    <col min="2" max="2" width="8.625" style="449" customWidth="1"/>
    <col min="3" max="3" width="8.625" style="449" customWidth="1"/>
    <col min="4" max="4" width="8.625" style="449" customWidth="1"/>
    <col min="5" max="5" width="8.625" style="449" customWidth="1"/>
    <col min="6" max="6" width="8.625" style="449" customWidth="1"/>
    <col min="7" max="7" width="8.875" style="449" customWidth="1"/>
    <col min="8" max="256" width="6.5" style="449" customWidth="1"/>
  </cols>
  <sheetData>
    <row r="1" ht="13.5" customHeight="1">
      <c r="A1" s="197"/>
      <c r="B1" s="3"/>
      <c r="C1" s="442"/>
      <c r="D1" s="104"/>
      <c r="E1" s="104"/>
      <c r="F1" t="s" s="443">
        <v>20</v>
      </c>
      <c r="G1" t="s" s="199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t="s" s="201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202"/>
    </row>
    <row r="4" ht="15.75" customHeight="1">
      <c r="A4" t="s" s="42">
        <v>278</v>
      </c>
      <c r="B4" s="11"/>
      <c r="C4" s="11"/>
      <c r="D4" s="11"/>
      <c r="E4" s="11"/>
      <c r="F4" s="11"/>
      <c r="G4" s="203"/>
    </row>
    <row r="5" ht="12.75" customHeight="1">
      <c r="A5" s="43"/>
      <c r="B5" s="12"/>
      <c r="C5" s="12"/>
      <c r="D5" s="12"/>
      <c r="E5" s="12"/>
      <c r="F5" s="12"/>
      <c r="G5" s="204"/>
    </row>
    <row r="6" ht="12.75" customHeight="1">
      <c r="A6" s="48"/>
      <c r="B6" s="150"/>
      <c r="C6" s="150"/>
      <c r="D6" s="150"/>
      <c r="E6" s="150"/>
      <c r="F6" s="150"/>
      <c r="G6" s="213"/>
    </row>
    <row r="7" ht="12.75" customHeight="1">
      <c r="A7" s="293"/>
      <c r="B7" s="119">
        <f>'VN'!C8</f>
        <v>2015</v>
      </c>
      <c r="C7" s="119">
        <f>'VN'!D8</f>
        <v>2016</v>
      </c>
      <c r="D7" s="119">
        <f>'VN'!E8</f>
        <v>2017</v>
      </c>
      <c r="E7" s="119">
        <f>'VN'!F8</f>
        <v>2018</v>
      </c>
      <c r="F7" s="119">
        <f>'VN'!G8</f>
        <v>2019</v>
      </c>
      <c r="G7" s="119">
        <f>'VN'!H8</f>
        <v>2020</v>
      </c>
    </row>
    <row r="8" ht="12.75" customHeight="1">
      <c r="A8" t="s" s="53">
        <v>273</v>
      </c>
      <c r="B8" s="277">
        <f>'VN'!C80</f>
        <v>8330</v>
      </c>
      <c r="C8" s="277">
        <f>'VN'!D80</f>
        <v>34635.045</v>
      </c>
      <c r="D8" s="277">
        <f>'VN'!E80</f>
        <v>45055.092699</v>
      </c>
      <c r="E8" s="277">
        <f>'VN'!F80</f>
        <v>48409.9562622384</v>
      </c>
      <c r="F8" s="277">
        <f>'VN'!G80</f>
        <v>48409.9562622384</v>
      </c>
      <c r="G8" s="277">
        <f>'VN'!H80</f>
        <v>48409.9562622384</v>
      </c>
    </row>
    <row r="9" ht="12.75" customHeight="1">
      <c r="A9" t="s" s="53">
        <v>279</v>
      </c>
      <c r="B9" s="450"/>
      <c r="C9" s="450"/>
      <c r="D9" s="450"/>
      <c r="E9" s="450"/>
      <c r="F9" s="450"/>
      <c r="G9" s="450"/>
    </row>
    <row r="10" ht="12.75" customHeight="1">
      <c r="A10" t="s" s="451">
        <v>280</v>
      </c>
      <c r="B10" s="450"/>
      <c r="C10" s="450"/>
      <c r="D10" s="450"/>
      <c r="E10" s="450"/>
      <c r="F10" s="450"/>
      <c r="G10" s="450"/>
    </row>
    <row r="11" ht="12.75" customHeight="1">
      <c r="A11" t="s" s="53">
        <v>274</v>
      </c>
      <c r="B11" s="450"/>
      <c r="C11" s="450"/>
      <c r="D11" s="450"/>
      <c r="E11" s="450"/>
      <c r="F11" s="450"/>
      <c r="G11" s="450"/>
    </row>
    <row r="12" ht="12.75" customHeight="1">
      <c r="A12" t="s" s="53">
        <v>281</v>
      </c>
      <c r="B12" s="450"/>
      <c r="C12" s="450"/>
      <c r="D12" s="450"/>
      <c r="E12" s="450"/>
      <c r="F12" s="450"/>
      <c r="G12" s="450"/>
    </row>
    <row r="13" ht="12.75" customHeight="1">
      <c r="A13" t="s" s="53">
        <v>99</v>
      </c>
      <c r="B13" s="277">
        <f>'CMVMC'!C16</f>
        <v>0</v>
      </c>
      <c r="C13" s="277">
        <f>'CMVMC'!D16</f>
        <v>0</v>
      </c>
      <c r="D13" s="277">
        <f>'CMVMC'!E16</f>
        <v>0</v>
      </c>
      <c r="E13" s="277">
        <f>'CMVMC'!F16</f>
        <v>0</v>
      </c>
      <c r="F13" s="277">
        <f>'CMVMC'!G16</f>
        <v>0</v>
      </c>
      <c r="G13" s="277">
        <f>'CMVMC'!H16</f>
        <v>0</v>
      </c>
    </row>
    <row r="14" ht="12.75" customHeight="1">
      <c r="A14" t="s" s="53">
        <v>282</v>
      </c>
      <c r="B14" s="277">
        <f>'FSE'!F43</f>
        <v>2210</v>
      </c>
      <c r="C14" s="277">
        <f>'FSE'!G43</f>
        <v>6828.9</v>
      </c>
      <c r="D14" s="277">
        <f>'FSE'!H43</f>
        <v>7033.767000000001</v>
      </c>
      <c r="E14" s="277">
        <f>'FSE'!I43</f>
        <v>7244.780009999999</v>
      </c>
      <c r="F14" s="277">
        <f>'FSE'!J43</f>
        <v>7462.123410300001</v>
      </c>
      <c r="G14" s="277">
        <f>'FSE'!K43</f>
        <v>7685.987112609</v>
      </c>
    </row>
    <row r="15" ht="12.75" customHeight="1">
      <c r="A15" t="s" s="53">
        <v>283</v>
      </c>
      <c r="B15" s="277">
        <f>'Gastos com Pessoal'!D79</f>
        <v>4097.56</v>
      </c>
      <c r="C15" s="277">
        <f>'Gastos com Pessoal'!E79</f>
        <v>17600.54</v>
      </c>
      <c r="D15" s="277">
        <f>'Gastos com Pessoal'!F79</f>
        <v>23804.10056</v>
      </c>
      <c r="E15" s="277">
        <f>'Gastos com Pessoal'!G79</f>
        <v>23804.10056</v>
      </c>
      <c r="F15" s="277">
        <f>'Gastos com Pessoal'!H79</f>
        <v>23804.10056</v>
      </c>
      <c r="G15" s="277">
        <f>'Gastos com Pessoal'!I79</f>
        <v>23804.10056</v>
      </c>
    </row>
    <row r="16" ht="12.75" customHeight="1">
      <c r="A16" t="s" s="53">
        <v>284</v>
      </c>
      <c r="B16" s="450"/>
      <c r="C16" s="450"/>
      <c r="D16" s="450"/>
      <c r="E16" s="450"/>
      <c r="F16" s="450"/>
      <c r="G16" s="450"/>
    </row>
    <row r="17" ht="12.75" customHeight="1">
      <c r="A17" t="s" s="53">
        <v>285</v>
      </c>
      <c r="B17" s="277">
        <f>'VN'!C87</f>
        <v>0</v>
      </c>
      <c r="C17" s="277">
        <f>'VN'!D87</f>
        <v>0</v>
      </c>
      <c r="D17" s="277">
        <f>'VN'!E87</f>
        <v>0</v>
      </c>
      <c r="E17" s="277">
        <f>'VN'!F87</f>
        <v>0</v>
      </c>
      <c r="F17" s="277">
        <f>'VN'!G87</f>
        <v>0</v>
      </c>
      <c r="G17" s="277">
        <f>'VN'!H87</f>
        <v>0</v>
      </c>
    </row>
    <row r="18" ht="12.75" customHeight="1">
      <c r="A18" t="s" s="53">
        <v>286</v>
      </c>
      <c r="B18" s="450"/>
      <c r="C18" s="450"/>
      <c r="D18" s="450"/>
      <c r="E18" s="450"/>
      <c r="F18" s="450"/>
      <c r="G18" s="450"/>
    </row>
    <row r="19" ht="12.75" customHeight="1">
      <c r="A19" t="s" s="53">
        <v>287</v>
      </c>
      <c r="B19" s="450"/>
      <c r="C19" s="450"/>
      <c r="D19" s="450"/>
      <c r="E19" s="450"/>
      <c r="F19" s="450"/>
      <c r="G19" s="450"/>
    </row>
    <row r="20" ht="12.75" customHeight="1">
      <c r="A20" t="s" s="53">
        <v>288</v>
      </c>
      <c r="B20" s="450"/>
      <c r="C20" s="450"/>
      <c r="D20" s="450"/>
      <c r="E20" s="450"/>
      <c r="F20" s="450"/>
      <c r="G20" s="450"/>
    </row>
    <row r="21" ht="12.75" customHeight="1">
      <c r="A21" t="s" s="53">
        <v>289</v>
      </c>
      <c r="B21" s="450"/>
      <c r="C21" s="450"/>
      <c r="D21" s="450"/>
      <c r="E21" s="450"/>
      <c r="F21" s="450"/>
      <c r="G21" s="450"/>
    </row>
    <row r="22" ht="12.75" customHeight="1">
      <c r="A22" t="s" s="53">
        <v>290</v>
      </c>
      <c r="B22" s="450"/>
      <c r="C22" s="450"/>
      <c r="D22" s="450"/>
      <c r="E22" s="450"/>
      <c r="F22" s="450"/>
      <c r="G22" s="450"/>
    </row>
    <row r="23" ht="13.5" customHeight="1">
      <c r="A23" t="s" s="446">
        <v>291</v>
      </c>
      <c r="B23" s="137">
        <f>B8+B9+B10+B11+B12-B13-B14-B15-B16-B17-B18-B19-B20+B21-B22</f>
        <v>2022.44</v>
      </c>
      <c r="C23" s="137">
        <f>C8+C9+C10+C11+C12-C13-C14-C15-C16-C17-C18-C19-C20+C21-C22</f>
        <v>10205.605</v>
      </c>
      <c r="D23" s="137">
        <f>D8+D9+D10+D11+D12-D13-D14-D15-D16-D17-D18-D19-D20+D21-D22</f>
        <v>14217.225139</v>
      </c>
      <c r="E23" s="137">
        <f>E8+E9+E10+E11+E12-E13-E14-E15-E16-E17-E18-E19-E20+E21-E22</f>
        <v>17361.075692238392</v>
      </c>
      <c r="F23" s="137">
        <f>F8+F9+F10+F11+F12-F13-F14-F15-F16-F17-F18-F19-F20+F21-F22</f>
        <v>17143.732291938391</v>
      </c>
      <c r="G23" s="137">
        <f>G8+G9+G10+G11+G12-G13-G14-G15-G16-G17-G18-G19-G20+G21-G22</f>
        <v>16919.868589629394</v>
      </c>
    </row>
    <row r="24" ht="13.5" customHeight="1">
      <c r="A24" t="s" s="53">
        <v>292</v>
      </c>
      <c r="B24" s="277">
        <f>'Investimento'!C166</f>
        <v>2563.578</v>
      </c>
      <c r="C24" s="277">
        <f>'Investimento'!D166</f>
        <v>2963.578</v>
      </c>
      <c r="D24" s="277">
        <f>'Investimento'!E166</f>
        <v>3363.578</v>
      </c>
      <c r="E24" s="277">
        <f>'Investimento'!F166</f>
        <v>3763.578</v>
      </c>
      <c r="F24" s="277">
        <f>'Investimento'!G166</f>
        <v>4163.578</v>
      </c>
      <c r="G24" s="277">
        <f>'Investimento'!H166</f>
        <v>2000</v>
      </c>
    </row>
    <row r="25" ht="12.75" customHeight="1">
      <c r="A25" t="s" s="53">
        <v>293</v>
      </c>
      <c r="B25" s="450"/>
      <c r="C25" s="450"/>
      <c r="D25" s="450"/>
      <c r="E25" s="450"/>
      <c r="F25" s="450"/>
      <c r="G25" s="450"/>
    </row>
    <row r="26" ht="13.5" customHeight="1">
      <c r="A26" t="s" s="446">
        <v>294</v>
      </c>
      <c r="B26" s="137">
        <f>B23-B24-B25</f>
        <v>-541.1380000000004</v>
      </c>
      <c r="C26" s="137">
        <f>C23-C24-C25</f>
        <v>7242.026999999996</v>
      </c>
      <c r="D26" s="137">
        <f>D23-D24-D25</f>
        <v>10853.647139</v>
      </c>
      <c r="E26" s="137">
        <f>E23-E24-E25</f>
        <v>13597.497692238392</v>
      </c>
      <c r="F26" s="137">
        <f>F23-F24-F25</f>
        <v>12980.154291938392</v>
      </c>
      <c r="G26" s="137">
        <f>G23-G24-G25</f>
        <v>14919.868589629394</v>
      </c>
    </row>
    <row r="27" ht="13.5" customHeight="1">
      <c r="A27" t="s" s="53">
        <v>295</v>
      </c>
      <c r="B27" s="277">
        <f>IF('PlanoFinanceiro'!C29&gt;0,'PlanoFinanceiro'!C29*'Pressupostos'!$B$30,0)</f>
        <v>0</v>
      </c>
      <c r="C27" s="277">
        <f>IF('PlanoFinanceiro'!D29&gt;0,'PlanoFinanceiro'!D29*'Pressupostos'!$B$30,0)</f>
        <v>0</v>
      </c>
      <c r="D27" s="277">
        <f>IF('PlanoFinanceiro'!E29&gt;0,'PlanoFinanceiro'!E29*'Pressupostos'!$B$30,0)</f>
        <v>1.01863406598568e-13</v>
      </c>
      <c r="E27" s="277">
        <f>IF('PlanoFinanceiro'!F29&gt;0,'PlanoFinanceiro'!F29*'Pressupostos'!$B$30,0)</f>
        <v>0</v>
      </c>
      <c r="F27" s="277">
        <f>IF('PlanoFinanceiro'!G29&gt;0,'PlanoFinanceiro'!G29*'Pressupostos'!$B$30,0)</f>
        <v>0</v>
      </c>
      <c r="G27" s="277">
        <f>IF('PlanoFinanceiro'!H29&gt;0,'PlanoFinanceiro'!H29*'Pressupostos'!$B$30,0)</f>
        <v>0</v>
      </c>
    </row>
    <row r="28" ht="12.75" customHeight="1">
      <c r="A28" t="s" s="53">
        <v>296</v>
      </c>
      <c r="B28" s="277">
        <f>'Financiamento'!C97+IF('PlanoFinanceiro'!C29&lt;0,-'PlanoFinanceiro'!C29*'Pressupostos'!$B$32,0)</f>
        <v>0</v>
      </c>
      <c r="C28" s="277">
        <f>'Financiamento'!D97+IF('PlanoFinanceiro'!D29&lt;0,-'PlanoFinanceiro'!D29*'Pressupostos'!$B$32,0)</f>
        <v>0</v>
      </c>
      <c r="D28" s="277">
        <f>'Financiamento'!E97+IF('PlanoFinanceiro'!E29&lt;0,-'PlanoFinanceiro'!E29*'Pressupostos'!$B$32,0)</f>
        <v>0</v>
      </c>
      <c r="E28" s="277">
        <f>'Financiamento'!F97+IF('PlanoFinanceiro'!F29&lt;0,-'PlanoFinanceiro'!F29*'Pressupostos'!$B$32,0)</f>
        <v>0</v>
      </c>
      <c r="F28" s="277">
        <f>'Financiamento'!G97+IF('PlanoFinanceiro'!G29&lt;0,-'PlanoFinanceiro'!G29*'Pressupostos'!$B$32,0)</f>
        <v>0</v>
      </c>
      <c r="G28" s="277">
        <f>'Financiamento'!H97+IF('PlanoFinanceiro'!H29&lt;0,-'PlanoFinanceiro'!H29*'Pressupostos'!$B$32,0)</f>
        <v>0</v>
      </c>
    </row>
    <row r="29" ht="13.5" customHeight="1">
      <c r="A29" t="s" s="446">
        <v>297</v>
      </c>
      <c r="B29" s="137">
        <f>B26+B27-B28</f>
        <v>-541.1380000000004</v>
      </c>
      <c r="C29" s="137">
        <f>C26+C27-C28</f>
        <v>7242.026999999996</v>
      </c>
      <c r="D29" s="137">
        <f>D26+D27-D28</f>
        <v>10853.647139</v>
      </c>
      <c r="E29" s="137">
        <f>E26+E27-E28</f>
        <v>13597.497692238392</v>
      </c>
      <c r="F29" s="137">
        <f>F26+F27-F28</f>
        <v>12980.154291938392</v>
      </c>
      <c r="G29" s="137">
        <f>G26+G27-G28</f>
        <v>14919.868589629394</v>
      </c>
    </row>
    <row r="30" ht="13.5" customHeight="1">
      <c r="A30" t="s" s="53">
        <v>298</v>
      </c>
      <c r="B30" s="277">
        <f>IF(B29&gt;0,B29*'Pressupostos'!$B$28,0)</f>
        <v>0</v>
      </c>
      <c r="C30" s="277">
        <f>IF(C29+C32&lt;0,0,(C29+C32)*'Pressupostos'!$B$28)</f>
        <v>1139.151129999999</v>
      </c>
      <c r="D30" s="277">
        <f>IF(D29+D32&lt;0,0,(D29+D32)*'Pressupostos'!$B$28)</f>
        <v>1845.12001363</v>
      </c>
      <c r="E30" s="277">
        <f>IF(E29+E32&lt;0,0,(E29+E32)*'Pressupostos'!$B$28)</f>
        <v>2311.574607680527</v>
      </c>
      <c r="F30" s="277">
        <f>IF(F29+F32&lt;0,0,(F29+F32)*'Pressupostos'!$B$28)</f>
        <v>2206.626229629527</v>
      </c>
      <c r="G30" s="277">
        <f>IF(G29+G32&lt;0,0,(G29+G32)*'Pressupostos'!$B$28)</f>
        <v>2536.377660236997</v>
      </c>
    </row>
    <row r="31" ht="13.5" customHeight="1">
      <c r="A31" t="s" s="446">
        <v>299</v>
      </c>
      <c r="B31" s="137">
        <f>B29-B30</f>
        <v>-541.1380000000004</v>
      </c>
      <c r="C31" s="137">
        <f>C29-C30</f>
        <v>6102.875869999997</v>
      </c>
      <c r="D31" s="137">
        <f>D29-D30</f>
        <v>9008.527125369999</v>
      </c>
      <c r="E31" s="137">
        <f>E29-E30</f>
        <v>11285.923084557866</v>
      </c>
      <c r="F31" s="137">
        <f>F29-F30</f>
        <v>10773.528062308866</v>
      </c>
      <c r="G31" s="137">
        <f>G29-G30</f>
        <v>12383.4909293924</v>
      </c>
    </row>
    <row r="32" ht="13.5" customHeight="1">
      <c r="A32" s="294"/>
      <c r="B32" s="452"/>
      <c r="C32" s="452">
        <f>IF(B31&lt;0,B31,0)</f>
        <v>-541.1380000000004</v>
      </c>
      <c r="D32" s="452">
        <f>IF(C31+C32&lt;0,C31+C32,0)</f>
        <v>0</v>
      </c>
      <c r="E32" s="452">
        <f>IF(D31+D32&lt;0,D31+D32,0)</f>
        <v>0</v>
      </c>
      <c r="F32" s="452">
        <f>IF(E31+E32&lt;0,E31+E32,0)</f>
        <v>0</v>
      </c>
      <c r="G32" s="453">
        <f>IF(F31+F32&lt;0,F31+F32,0)</f>
        <v>0</v>
      </c>
    </row>
    <row r="33" ht="12.75" customHeight="1">
      <c r="A33" s="345"/>
      <c r="B33" s="307"/>
      <c r="C33" s="307"/>
      <c r="D33" s="307"/>
      <c r="E33" s="307"/>
      <c r="F33" s="307"/>
      <c r="G33" s="308"/>
    </row>
  </sheetData>
  <mergeCells count="1">
    <mergeCell ref="A4:G4"/>
  </mergeCells>
  <pageMargins left="0.75" right="0.75" top="1" bottom="1" header="0.5" footer="0.5"/>
  <pageSetup firstPageNumber="1" fitToHeight="1" fitToWidth="1" scale="6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2.xml><?xml version="1.0" encoding="utf-8"?>
<worksheet xmlns:r="http://schemas.openxmlformats.org/officeDocument/2006/relationships" xmlns="http://schemas.openxmlformats.org/spreadsheetml/2006/main">
  <dimension ref="A1:I33"/>
  <sheetViews>
    <sheetView workbookViewId="0" showGridLines="0" defaultGridColor="1"/>
  </sheetViews>
  <sheetFormatPr defaultColWidth="6.5" defaultRowHeight="10.5" customHeight="1" outlineLevelRow="0" outlineLevelCol="0"/>
  <cols>
    <col min="1" max="1" width="23.125" style="454" customWidth="1"/>
    <col min="2" max="2" width="5.625" style="454" customWidth="1"/>
    <col min="3" max="3" width="8.625" style="454" customWidth="1"/>
    <col min="4" max="4" width="8.625" style="454" customWidth="1"/>
    <col min="5" max="5" width="8.625" style="454" customWidth="1"/>
    <col min="6" max="6" width="8.625" style="454" customWidth="1"/>
    <col min="7" max="7" width="8.625" style="454" customWidth="1"/>
    <col min="8" max="8" width="8.625" style="454" customWidth="1"/>
    <col min="9" max="9" width="8.625" style="454" customWidth="1"/>
    <col min="10" max="256" width="6.5" style="454" customWidth="1"/>
  </cols>
  <sheetData>
    <row r="1" ht="13.5" customHeight="1">
      <c r="A1" s="455"/>
      <c r="B1" s="456"/>
      <c r="C1" s="104"/>
      <c r="D1" s="104"/>
      <c r="E1" s="104"/>
      <c r="F1" s="104"/>
      <c r="G1" t="s" s="105">
        <v>20</v>
      </c>
      <c r="H1" t="s" s="443">
        <f>'Pressupostos'!E1</f>
        <v>58</v>
      </c>
      <c r="I1" s="5"/>
    </row>
    <row r="2" ht="12.75" customHeight="1">
      <c r="A2" s="41"/>
      <c r="B2" s="7"/>
      <c r="C2" s="7"/>
      <c r="D2" s="7"/>
      <c r="E2" s="7"/>
      <c r="F2" s="7"/>
      <c r="G2" s="7"/>
      <c r="H2" t="s" s="108">
        <f>'Pressupostos'!B9</f>
        <v>25</v>
      </c>
      <c r="I2" s="9"/>
    </row>
    <row r="3" ht="12.75" customHeight="1">
      <c r="A3" s="41"/>
      <c r="B3" s="7"/>
      <c r="C3" s="7"/>
      <c r="D3" s="7"/>
      <c r="E3" s="7"/>
      <c r="F3" s="7"/>
      <c r="G3" s="7"/>
      <c r="H3" s="110"/>
      <c r="I3" s="9"/>
    </row>
    <row r="4" ht="13.5" customHeight="1">
      <c r="A4" t="s" s="42">
        <v>300</v>
      </c>
      <c r="B4" s="11"/>
      <c r="C4" s="11"/>
      <c r="D4" s="11"/>
      <c r="E4" s="11"/>
      <c r="F4" s="11"/>
      <c r="G4" s="11"/>
      <c r="H4" s="11"/>
      <c r="I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9"/>
    </row>
    <row r="6" ht="12.75" customHeight="1">
      <c r="A6" s="48"/>
      <c r="B6" s="265"/>
      <c r="C6" s="150"/>
      <c r="D6" s="150"/>
      <c r="E6" s="150"/>
      <c r="F6" s="150"/>
      <c r="G6" s="150"/>
      <c r="H6" s="150"/>
      <c r="I6" s="9"/>
    </row>
    <row r="7" ht="12.75" customHeight="1">
      <c r="A7" s="310"/>
      <c r="B7" s="27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457"/>
    </row>
    <row r="8" ht="12.75" customHeight="1">
      <c r="A8" t="s" s="85">
        <v>301</v>
      </c>
      <c r="B8" s="278"/>
      <c r="C8" s="214"/>
      <c r="D8" s="214"/>
      <c r="E8" s="214"/>
      <c r="F8" s="214"/>
      <c r="G8" s="214"/>
      <c r="H8" s="214"/>
      <c r="I8" s="457"/>
    </row>
    <row r="9" ht="12.75" customHeight="1">
      <c r="A9" t="s" s="129">
        <v>302</v>
      </c>
      <c r="B9" s="278"/>
      <c r="C9" s="313">
        <f>'DR'!B26*(1-'Pressupostos'!$B$28)</f>
        <v>-449.1445400000003</v>
      </c>
      <c r="D9" s="313">
        <f>'DR'!C26*(1-'Pressupostos'!$B$28)</f>
        <v>6010.882409999997</v>
      </c>
      <c r="E9" s="313">
        <f>'DR'!D26*(1-'Pressupostos'!$B$28)</f>
        <v>9008.527125369999</v>
      </c>
      <c r="F9" s="313">
        <f>'DR'!E26*(1-'Pressupostos'!$B$28)</f>
        <v>11285.923084557864</v>
      </c>
      <c r="G9" s="313">
        <f>'DR'!F26*(1-'Pressupostos'!$B$28)</f>
        <v>10773.528062308866</v>
      </c>
      <c r="H9" s="313">
        <f>'DR'!G26*(1-'Pressupostos'!$B$28)</f>
        <v>12383.4909293924</v>
      </c>
      <c r="I9" s="457"/>
    </row>
    <row r="10" ht="12.75" customHeight="1">
      <c r="A10" t="s" s="129">
        <v>240</v>
      </c>
      <c r="B10" s="278"/>
      <c r="C10" s="313">
        <f>'DR'!B24</f>
        <v>2563.578</v>
      </c>
      <c r="D10" s="313">
        <f>'DR'!C24</f>
        <v>2963.578</v>
      </c>
      <c r="E10" s="313">
        <f>'DR'!D24</f>
        <v>3363.578</v>
      </c>
      <c r="F10" s="313">
        <f>'DR'!E24</f>
        <v>3763.578</v>
      </c>
      <c r="G10" s="313">
        <f>'DR'!F24</f>
        <v>4163.578</v>
      </c>
      <c r="H10" s="313">
        <f>'DR'!G24</f>
        <v>2000</v>
      </c>
      <c r="I10" s="457"/>
    </row>
    <row r="11" ht="12.75" customHeight="1">
      <c r="A11" t="s" s="129">
        <v>303</v>
      </c>
      <c r="B11" s="278"/>
      <c r="C11" s="313">
        <f>'DR'!B25</f>
        <v>0</v>
      </c>
      <c r="D11" s="313">
        <f>'DR'!C25</f>
        <v>0</v>
      </c>
      <c r="E11" s="313">
        <f>'DR'!D25</f>
        <v>0</v>
      </c>
      <c r="F11" s="313">
        <f>'DR'!E25</f>
        <v>0</v>
      </c>
      <c r="G11" s="313">
        <f>'DR'!F25</f>
        <v>0</v>
      </c>
      <c r="H11" s="313">
        <f>'DR'!G25</f>
        <v>0</v>
      </c>
      <c r="I11" s="457"/>
    </row>
    <row r="12" ht="13.5" customHeight="1">
      <c r="A12" s="458"/>
      <c r="B12" s="275"/>
      <c r="C12" s="316">
        <f>SUM(C9:C11)</f>
        <v>2114.43346</v>
      </c>
      <c r="D12" s="316">
        <f>SUM(D9:D11)</f>
        <v>8974.460409999996</v>
      </c>
      <c r="E12" s="316">
        <f>SUM(E9:E11)</f>
        <v>12372.10512537</v>
      </c>
      <c r="F12" s="316">
        <f>SUM(F9:F11)</f>
        <v>15049.501084557864</v>
      </c>
      <c r="G12" s="316">
        <f>SUM(G9:G11)</f>
        <v>14937.106062308865</v>
      </c>
      <c r="H12" s="316">
        <f>SUM(H9:H11)</f>
        <v>14383.4909293924</v>
      </c>
      <c r="I12" s="457"/>
    </row>
    <row r="13" ht="13.5" customHeight="1">
      <c r="A13" t="s" s="85">
        <v>304</v>
      </c>
      <c r="B13" s="275"/>
      <c r="C13" s="459"/>
      <c r="D13" s="459"/>
      <c r="E13" s="459"/>
      <c r="F13" s="459"/>
      <c r="G13" s="459"/>
      <c r="H13" s="459"/>
      <c r="I13" s="457"/>
    </row>
    <row r="14" ht="12.75" customHeight="1">
      <c r="A14" t="s" s="129">
        <v>305</v>
      </c>
      <c r="B14" s="278"/>
      <c r="C14" s="313">
        <f>-'FundoManeio'!C24</f>
        <v>-614.7786749999999</v>
      </c>
      <c r="D14" s="313">
        <f>-'FundoManeio'!D24</f>
        <v>-62.70351666666704</v>
      </c>
      <c r="E14" s="313">
        <f>-'FundoManeio'!E24</f>
        <v>-290.7275514549997</v>
      </c>
      <c r="F14" s="313">
        <f>-'FundoManeio'!F24</f>
        <v>-136.422329995728</v>
      </c>
      <c r="G14" s="313">
        <f>-'FundoManeio'!G24</f>
        <v>14.98292626049988</v>
      </c>
      <c r="H14" s="313">
        <f>-'FundoManeio'!H24</f>
        <v>15.43241404831542</v>
      </c>
      <c r="I14" s="457"/>
    </row>
    <row r="15" ht="10.5" customHeight="1">
      <c r="A15" s="460"/>
      <c r="B15" s="461"/>
      <c r="C15" s="461"/>
      <c r="D15" s="461"/>
      <c r="E15" s="461"/>
      <c r="F15" s="461"/>
      <c r="G15" s="461"/>
      <c r="H15" s="461"/>
      <c r="I15" s="9"/>
    </row>
    <row r="16" ht="13.5" customHeight="1">
      <c r="A16" t="s" s="85">
        <v>306</v>
      </c>
      <c r="B16" s="228"/>
      <c r="C16" s="316">
        <f>SUM(C12:C14)</f>
        <v>1499.654785</v>
      </c>
      <c r="D16" s="316">
        <f>SUM(D12:D14)</f>
        <v>8911.756893333330</v>
      </c>
      <c r="E16" s="316">
        <f>SUM(E12:E14)</f>
        <v>12081.377573915</v>
      </c>
      <c r="F16" s="316">
        <f>SUM(F12:F14)</f>
        <v>14913.078754562135</v>
      </c>
      <c r="G16" s="316">
        <f>SUM(G12:G14)</f>
        <v>14952.088988569365</v>
      </c>
      <c r="H16" s="316">
        <f>SUM(H12:H14)</f>
        <v>14398.923343440711</v>
      </c>
      <c r="I16" s="457"/>
    </row>
    <row r="17" ht="13.5" customHeight="1">
      <c r="A17" s="462"/>
      <c r="B17" s="463"/>
      <c r="C17" s="386"/>
      <c r="D17" s="386"/>
      <c r="E17" s="386"/>
      <c r="F17" s="386"/>
      <c r="G17" s="386"/>
      <c r="H17" s="386"/>
      <c r="I17" s="9"/>
    </row>
    <row r="18" ht="12.75" customHeight="1">
      <c r="A18" t="s" s="85">
        <v>307</v>
      </c>
      <c r="B18" s="275"/>
      <c r="C18" s="459"/>
      <c r="D18" s="459"/>
      <c r="E18" s="459"/>
      <c r="F18" s="459"/>
      <c r="G18" s="459"/>
      <c r="H18" s="459"/>
      <c r="I18" s="457"/>
    </row>
    <row r="19" ht="12.75" customHeight="1">
      <c r="A19" t="s" s="129">
        <v>308</v>
      </c>
      <c r="B19" s="278"/>
      <c r="C19" s="313">
        <f>-'Investimento'!C29</f>
        <v>-12817.89</v>
      </c>
      <c r="D19" s="313">
        <f>-'Investimento'!D29</f>
        <v>-2000</v>
      </c>
      <c r="E19" s="313">
        <f>-'Investimento'!E29</f>
        <v>-2000</v>
      </c>
      <c r="F19" s="313">
        <f>-'Investimento'!F29</f>
        <v>-2000</v>
      </c>
      <c r="G19" s="313">
        <f>-'Investimento'!G29</f>
        <v>-2000</v>
      </c>
      <c r="H19" s="313">
        <f>-'Investimento'!H29</f>
        <v>-2000</v>
      </c>
      <c r="I19" s="457"/>
    </row>
    <row r="20" ht="12.75" customHeight="1">
      <c r="A20" s="56"/>
      <c r="B20" s="463"/>
      <c r="C20" s="386"/>
      <c r="D20" s="386"/>
      <c r="E20" s="386"/>
      <c r="F20" s="386"/>
      <c r="G20" s="386"/>
      <c r="H20" s="386"/>
      <c r="I20" s="9"/>
    </row>
    <row r="21" ht="13.5" customHeight="1">
      <c r="A21" t="s" s="85">
        <v>309</v>
      </c>
      <c r="B21" s="228"/>
      <c r="C21" s="316">
        <f>C12+C14+C19</f>
        <v>-11318.235215</v>
      </c>
      <c r="D21" s="316">
        <f>D12+D14+D19</f>
        <v>6911.756893333330</v>
      </c>
      <c r="E21" s="316">
        <f>E12+E14+E19</f>
        <v>10081.377573915</v>
      </c>
      <c r="F21" s="316">
        <f>F12+F14+F19</f>
        <v>12913.078754562135</v>
      </c>
      <c r="G21" s="316">
        <f>G12+G14+G19</f>
        <v>12952.088988569365</v>
      </c>
      <c r="H21" s="316">
        <f>H12+H14+H19</f>
        <v>12398.923343440711</v>
      </c>
      <c r="I21" s="457"/>
    </row>
    <row r="22" ht="13.5" customHeight="1">
      <c r="A22" s="462"/>
      <c r="B22" s="463"/>
      <c r="C22" s="386"/>
      <c r="D22" s="386"/>
      <c r="E22" s="386"/>
      <c r="F22" s="386"/>
      <c r="G22" s="386"/>
      <c r="H22" s="386"/>
      <c r="I22" s="9"/>
    </row>
    <row r="23" ht="13.5" customHeight="1">
      <c r="A23" t="s" s="85">
        <v>310</v>
      </c>
      <c r="B23" s="228"/>
      <c r="C23" s="316">
        <f>SUM(C21)</f>
        <v>-11318.235215</v>
      </c>
      <c r="D23" s="316">
        <f>SUM($C$21:D21)</f>
        <v>-4406.478321666671</v>
      </c>
      <c r="E23" s="316">
        <f>SUM($C$21:E21)</f>
        <v>5674.899252248328</v>
      </c>
      <c r="F23" s="316">
        <f>SUM($C$21:F21)</f>
        <v>18587.978006810463</v>
      </c>
      <c r="G23" s="316">
        <f>SUM($C$21:G21)</f>
        <v>31540.066995379828</v>
      </c>
      <c r="H23" s="316">
        <f>SUM($C$21:H21)</f>
        <v>43938.990338820542</v>
      </c>
      <c r="I23" s="457"/>
    </row>
    <row r="24" ht="13.5" customHeight="1">
      <c r="A24" s="298"/>
      <c r="B24" s="464"/>
      <c r="C24" s="301"/>
      <c r="D24" s="301"/>
      <c r="E24" s="301"/>
      <c r="F24" s="301"/>
      <c r="G24" s="301"/>
      <c r="H24" s="301"/>
      <c r="I24" s="9"/>
    </row>
    <row r="25" ht="12.75" customHeight="1">
      <c r="A25" s="465"/>
      <c r="B25" s="466"/>
      <c r="C25" s="467"/>
      <c r="D25" s="467"/>
      <c r="E25" s="467"/>
      <c r="F25" s="467"/>
      <c r="G25" s="467"/>
      <c r="H25" s="467"/>
      <c r="I25" s="468"/>
    </row>
    <row r="26" ht="12.75" customHeight="1">
      <c r="A26" s="469"/>
      <c r="B26" s="466"/>
      <c r="C26" s="470"/>
      <c r="D26" s="470"/>
      <c r="E26" s="470"/>
      <c r="F26" s="470"/>
      <c r="G26" s="470"/>
      <c r="H26" s="470"/>
      <c r="I26" s="9"/>
    </row>
    <row r="27" ht="12.75" customHeight="1">
      <c r="A27" s="469"/>
      <c r="B27" s="466"/>
      <c r="C27" s="470"/>
      <c r="D27" s="470"/>
      <c r="E27" s="470"/>
      <c r="F27" s="470"/>
      <c r="G27" s="470"/>
      <c r="H27" s="470"/>
      <c r="I27" s="9"/>
    </row>
    <row r="28" ht="12.75" customHeight="1">
      <c r="A28" s="469"/>
      <c r="B28" s="466"/>
      <c r="C28" s="470"/>
      <c r="D28" s="470"/>
      <c r="E28" s="470"/>
      <c r="F28" s="470"/>
      <c r="G28" s="470"/>
      <c r="H28" s="470"/>
      <c r="I28" s="9"/>
    </row>
    <row r="29" ht="12.75" customHeight="1">
      <c r="A29" s="469"/>
      <c r="B29" s="466"/>
      <c r="C29" s="470"/>
      <c r="D29" s="470"/>
      <c r="E29" s="470"/>
      <c r="F29" s="470"/>
      <c r="G29" s="470"/>
      <c r="H29" s="470"/>
      <c r="I29" s="9"/>
    </row>
    <row r="30" ht="12.75" customHeight="1">
      <c r="A30" s="469"/>
      <c r="B30" s="466"/>
      <c r="C30" s="470"/>
      <c r="D30" s="470"/>
      <c r="E30" s="470"/>
      <c r="F30" s="470"/>
      <c r="G30" s="470"/>
      <c r="H30" s="470"/>
      <c r="I30" s="9"/>
    </row>
    <row r="31" ht="12.75" customHeight="1">
      <c r="A31" s="469"/>
      <c r="B31" s="466"/>
      <c r="C31" s="470"/>
      <c r="D31" s="470"/>
      <c r="E31" s="470"/>
      <c r="F31" s="470"/>
      <c r="G31" s="470"/>
      <c r="H31" s="470"/>
      <c r="I31" s="9"/>
    </row>
    <row r="32" ht="12.75" customHeight="1">
      <c r="A32" s="469"/>
      <c r="B32" s="466"/>
      <c r="C32" s="470"/>
      <c r="D32" s="470"/>
      <c r="E32" s="470"/>
      <c r="F32" s="470"/>
      <c r="G32" s="470"/>
      <c r="H32" s="470"/>
      <c r="I32" s="9"/>
    </row>
    <row r="33" ht="12.75" customHeight="1">
      <c r="A33" s="304"/>
      <c r="B33" s="471"/>
      <c r="C33" s="307"/>
      <c r="D33" s="307"/>
      <c r="E33" s="307"/>
      <c r="F33" s="307"/>
      <c r="G33" s="307"/>
      <c r="H33" s="307"/>
      <c r="I33" s="35"/>
    </row>
  </sheetData>
  <mergeCells count="1">
    <mergeCell ref="A4:H4"/>
  </mergeCells>
  <pageMargins left="0.75" right="0.75" top="1" bottom="1" header="0.5" footer="0.5"/>
  <pageSetup firstPageNumber="1" fitToHeight="1" fitToWidth="1" scale="58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3.xml><?xml version="1.0" encoding="utf-8"?>
<worksheet xmlns:r="http://schemas.openxmlformats.org/officeDocument/2006/relationships" xmlns="http://schemas.openxmlformats.org/spreadsheetml/2006/main">
  <dimension ref="A1:H35"/>
  <sheetViews>
    <sheetView workbookViewId="0" showGridLines="0" defaultGridColor="1"/>
  </sheetViews>
  <sheetFormatPr defaultColWidth="6.5" defaultRowHeight="12.75" customHeight="1" outlineLevelRow="0" outlineLevelCol="0"/>
  <cols>
    <col min="1" max="1" width="22.875" style="472" customWidth="1"/>
    <col min="2" max="2" width="2.375" style="472" customWidth="1"/>
    <col min="3" max="3" width="10.125" style="472" customWidth="1"/>
    <col min="4" max="4" width="9.125" style="472" customWidth="1"/>
    <col min="5" max="5" width="8.75" style="472" customWidth="1"/>
    <col min="6" max="6" width="8.75" style="472" customWidth="1"/>
    <col min="7" max="7" width="8.75" style="472" customWidth="1"/>
    <col min="8" max="8" width="8.75" style="472" customWidth="1"/>
    <col min="9" max="256" width="6.5" style="472" customWidth="1"/>
  </cols>
  <sheetData>
    <row r="1" ht="13.5" customHeight="1">
      <c r="A1" s="197"/>
      <c r="B1" s="3"/>
      <c r="C1" s="104"/>
      <c r="D1" s="104"/>
      <c r="E1" s="104"/>
      <c r="F1" s="104"/>
      <c r="G1" t="s" s="105">
        <v>20</v>
      </c>
      <c r="H1" t="s" s="199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201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202"/>
    </row>
    <row r="4" ht="15.75" customHeight="1">
      <c r="A4" t="s" s="42">
        <v>311</v>
      </c>
      <c r="B4" s="11"/>
      <c r="C4" s="11"/>
      <c r="D4" s="11"/>
      <c r="E4" s="11"/>
      <c r="F4" s="11"/>
      <c r="G4" s="11"/>
      <c r="H4" s="203"/>
    </row>
    <row r="5" ht="12.75" customHeight="1">
      <c r="A5" s="43"/>
      <c r="B5" s="12"/>
      <c r="C5" s="12"/>
      <c r="D5" s="12"/>
      <c r="E5" s="12"/>
      <c r="F5" s="12"/>
      <c r="G5" s="12"/>
      <c r="H5" s="204"/>
    </row>
    <row r="6" ht="12.75" customHeight="1">
      <c r="A6" s="48"/>
      <c r="B6" s="49"/>
      <c r="C6" s="150"/>
      <c r="D6" s="150"/>
      <c r="E6" s="150"/>
      <c r="F6" s="150"/>
      <c r="G6" s="150"/>
      <c r="H6" s="213"/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473">
        <v>312</v>
      </c>
      <c r="B8" s="474"/>
      <c r="C8" s="313"/>
      <c r="D8" s="313"/>
      <c r="E8" s="313"/>
      <c r="F8" s="313"/>
      <c r="G8" s="313"/>
      <c r="H8" s="313"/>
    </row>
    <row r="9" ht="12.75" customHeight="1">
      <c r="A9" t="s" s="129">
        <v>313</v>
      </c>
      <c r="B9" s="209"/>
      <c r="C9" s="313">
        <f>'DR'!B26+'DR'!B24+'DR'!B25</f>
        <v>2022.44</v>
      </c>
      <c r="D9" s="313">
        <f>'DR'!C26+'DR'!C24+'DR'!C25</f>
        <v>10205.605</v>
      </c>
      <c r="E9" s="313">
        <f>'DR'!D26+'DR'!D24+'DR'!D25</f>
        <v>14217.225139</v>
      </c>
      <c r="F9" s="313">
        <f>'DR'!E26+'DR'!E24+'DR'!E25</f>
        <v>17361.075692238392</v>
      </c>
      <c r="G9" s="313">
        <f>'DR'!F26+'DR'!F24+'DR'!F25</f>
        <v>17143.732291938391</v>
      </c>
      <c r="H9" s="313">
        <f>'DR'!G26+'DR'!G24+'DR'!G25</f>
        <v>16919.868589629394</v>
      </c>
    </row>
    <row r="10" ht="12.75" customHeight="1">
      <c r="A10" t="s" s="129">
        <v>314</v>
      </c>
      <c r="B10" s="209"/>
      <c r="C10" s="313">
        <f>'Financiamento'!C15</f>
        <v>500</v>
      </c>
      <c r="D10" s="313">
        <f>'Financiamento'!D15</f>
        <v>0</v>
      </c>
      <c r="E10" s="313">
        <f>'Financiamento'!E15</f>
        <v>0</v>
      </c>
      <c r="F10" s="313">
        <f>'Financiamento'!F15</f>
        <v>0</v>
      </c>
      <c r="G10" s="313">
        <f>'Financiamento'!G15</f>
        <v>0</v>
      </c>
      <c r="H10" s="313">
        <f>'Financiamento'!H15</f>
        <v>0</v>
      </c>
    </row>
    <row r="11" ht="12.75" customHeight="1">
      <c r="A11" t="s" s="129">
        <v>255</v>
      </c>
      <c r="B11" s="209"/>
      <c r="C11" s="313">
        <f>'Financiamento'!C16+'Financiamento'!C18+'Financiamento'!C19</f>
        <v>10236.42</v>
      </c>
      <c r="D11" s="313">
        <f>'Financiamento'!D16+'Financiamento'!D17+'Financiamento'!D19</f>
        <v>0</v>
      </c>
      <c r="E11" s="313">
        <f>'Financiamento'!E16+'Financiamento'!E17+'Financiamento'!E19</f>
        <v>0</v>
      </c>
      <c r="F11" s="313">
        <f>'Financiamento'!F16+'Financiamento'!F17+'Financiamento'!F19</f>
        <v>0</v>
      </c>
      <c r="G11" s="313">
        <f>'Financiamento'!G16+'Financiamento'!G17+'Financiamento'!G19</f>
        <v>0</v>
      </c>
      <c r="H11" s="313">
        <f>'Financiamento'!H16+'Financiamento'!H17+'Financiamento'!H19</f>
        <v>0</v>
      </c>
    </row>
    <row r="12" ht="12.75" customHeight="1">
      <c r="A12" t="s" s="129">
        <v>315</v>
      </c>
      <c r="B12" s="209"/>
      <c r="C12" s="313">
        <f>'Financiamento'!C18</f>
        <v>0</v>
      </c>
      <c r="D12" s="313">
        <f>'Financiamento'!D18</f>
        <v>0</v>
      </c>
      <c r="E12" s="313">
        <f>'Financiamento'!E18</f>
        <v>0</v>
      </c>
      <c r="F12" s="313">
        <f>'Financiamento'!F18</f>
        <v>0</v>
      </c>
      <c r="G12" s="313">
        <f>'Financiamento'!G18</f>
        <v>0</v>
      </c>
      <c r="H12" s="313">
        <f>'Financiamento'!H18</f>
        <v>0</v>
      </c>
    </row>
    <row r="13" ht="12.75" customHeight="1">
      <c r="A13" t="s" s="129">
        <v>316</v>
      </c>
      <c r="B13" s="209"/>
      <c r="C13" s="313"/>
      <c r="D13" s="313"/>
      <c r="E13" s="313"/>
      <c r="F13" s="313"/>
      <c r="G13" s="313"/>
      <c r="H13" s="313"/>
    </row>
    <row r="14" ht="12.75" customHeight="1">
      <c r="A14" t="s" s="129">
        <v>317</v>
      </c>
      <c r="B14" s="209"/>
      <c r="C14" s="313">
        <f>IF('FundoManeio'!C24&lt;0,-'FundoManeio'!C24,0)</f>
        <v>0</v>
      </c>
      <c r="D14" s="313">
        <f>IF('FundoManeio'!D24&lt;0,-'FundoManeio'!D24,0)</f>
        <v>0</v>
      </c>
      <c r="E14" s="313">
        <f>IF('FundoManeio'!E24&lt;0,-'FundoManeio'!E24,0)</f>
        <v>0</v>
      </c>
      <c r="F14" s="313">
        <f>IF('FundoManeio'!F24&lt;0,-'FundoManeio'!F24,0)</f>
        <v>0</v>
      </c>
      <c r="G14" s="313">
        <f>IF('FundoManeio'!G24&lt;0,-'FundoManeio'!G24,0)</f>
        <v>14.98292626049988</v>
      </c>
      <c r="H14" s="313">
        <f>IF('FundoManeio'!H24&lt;0,-'FundoManeio'!H24,0)</f>
        <v>15.43241404831542</v>
      </c>
    </row>
    <row r="15" ht="12.75" customHeight="1">
      <c r="A15" t="s" s="129">
        <v>318</v>
      </c>
      <c r="B15" s="209"/>
      <c r="C15" s="313">
        <f>'DR'!B27</f>
        <v>0</v>
      </c>
      <c r="D15" s="313">
        <f>'DR'!C27</f>
        <v>0</v>
      </c>
      <c r="E15" s="313">
        <f>'DR'!D27</f>
        <v>1.01863406598568e-13</v>
      </c>
      <c r="F15" s="313">
        <f>'DR'!E27</f>
        <v>0</v>
      </c>
      <c r="G15" s="313">
        <f>'DR'!F27</f>
        <v>0</v>
      </c>
      <c r="H15" s="313">
        <f>'DR'!G27</f>
        <v>0</v>
      </c>
    </row>
    <row r="16" ht="12.75" customHeight="1">
      <c r="A16" s="475"/>
      <c r="B16" s="476"/>
      <c r="C16" s="477"/>
      <c r="D16" s="477"/>
      <c r="E16" s="477"/>
      <c r="F16" s="477"/>
      <c r="G16" s="477"/>
      <c r="H16" s="477"/>
    </row>
    <row r="17" ht="12.75" customHeight="1">
      <c r="A17" t="s" s="478">
        <v>319</v>
      </c>
      <c r="B17" s="479"/>
      <c r="C17" s="480">
        <f>SUM(C9:C16)</f>
        <v>12758.86</v>
      </c>
      <c r="D17" s="480">
        <f>SUM(D9:D16)</f>
        <v>10205.605</v>
      </c>
      <c r="E17" s="480">
        <f>SUM(E9:E16)</f>
        <v>14217.225139</v>
      </c>
      <c r="F17" s="480">
        <f>SUM(F9:F16)</f>
        <v>17361.075692238392</v>
      </c>
      <c r="G17" s="480">
        <f>SUM(G9:G16)</f>
        <v>17158.715218198893</v>
      </c>
      <c r="H17" s="480">
        <f>SUM(H9:H16)</f>
        <v>16935.301003677709</v>
      </c>
    </row>
    <row r="18" ht="14.25" customHeight="1">
      <c r="A18" t="s" s="473">
        <v>320</v>
      </c>
      <c r="B18" s="474"/>
      <c r="C18" s="481"/>
      <c r="D18" s="481"/>
      <c r="E18" s="481"/>
      <c r="F18" s="481"/>
      <c r="G18" s="481"/>
      <c r="H18" s="481"/>
    </row>
    <row r="19" ht="12.75" customHeight="1">
      <c r="A19" t="s" s="129">
        <v>321</v>
      </c>
      <c r="B19" s="118"/>
      <c r="C19" s="313">
        <f>'Investimento'!C29</f>
        <v>12817.89</v>
      </c>
      <c r="D19" s="313">
        <f>'Investimento'!D29</f>
        <v>2000</v>
      </c>
      <c r="E19" s="313">
        <f>'Investimento'!E29</f>
        <v>2000</v>
      </c>
      <c r="F19" s="313">
        <f>'Investimento'!F29</f>
        <v>2000</v>
      </c>
      <c r="G19" s="313">
        <f>'Investimento'!G29</f>
        <v>2000</v>
      </c>
      <c r="H19" s="313">
        <f>'Investimento'!H29</f>
        <v>2000</v>
      </c>
    </row>
    <row r="20" ht="12.75" customHeight="1">
      <c r="A20" t="s" s="129">
        <v>322</v>
      </c>
      <c r="B20" s="118"/>
      <c r="C20" s="313">
        <f>IF('FundoManeio'!C24&gt;0,'FundoManeio'!C24,0)</f>
        <v>614.7786749999999</v>
      </c>
      <c r="D20" s="313">
        <f>IF('FundoManeio'!D24&gt;0,'FundoManeio'!D24,0)</f>
        <v>62.70351666666704</v>
      </c>
      <c r="E20" s="313">
        <f>IF('FundoManeio'!E24&gt;0,'FundoManeio'!E24,0)</f>
        <v>290.7275514549997</v>
      </c>
      <c r="F20" s="313">
        <f>IF('FundoManeio'!F24&gt;0,'FundoManeio'!F24,0)</f>
        <v>136.422329995728</v>
      </c>
      <c r="G20" s="313">
        <f>IF('FundoManeio'!G24&gt;0,'FundoManeio'!G24,0)</f>
        <v>0</v>
      </c>
      <c r="H20" s="313">
        <f>IF('FundoManeio'!H24&gt;0,'FundoManeio'!H24,0)</f>
        <v>0</v>
      </c>
    </row>
    <row r="21" ht="12.75" customHeight="1">
      <c r="A21" t="s" s="129">
        <v>323</v>
      </c>
      <c r="B21" s="118"/>
      <c r="C21" s="313"/>
      <c r="D21" s="313">
        <f>'DR'!B30</f>
        <v>0</v>
      </c>
      <c r="E21" s="313">
        <f>'DR'!C30</f>
        <v>1139.151129999999</v>
      </c>
      <c r="F21" s="313">
        <f>'DR'!D30</f>
        <v>1845.12001363</v>
      </c>
      <c r="G21" s="313">
        <f>'DR'!E30</f>
        <v>2311.574607680527</v>
      </c>
      <c r="H21" s="313">
        <f>'DR'!F30</f>
        <v>2206.626229629527</v>
      </c>
    </row>
    <row r="22" ht="12.75" customHeight="1">
      <c r="A22" t="s" s="129">
        <v>324</v>
      </c>
      <c r="B22" s="118"/>
      <c r="C22" s="313"/>
      <c r="D22" s="313"/>
      <c r="E22" s="313"/>
      <c r="F22" s="313"/>
      <c r="G22" s="313"/>
      <c r="H22" s="313"/>
    </row>
    <row r="23" ht="12.75" customHeight="1">
      <c r="A23" t="s" s="129">
        <v>325</v>
      </c>
      <c r="B23" s="118"/>
      <c r="C23" s="313">
        <f>'Financiamento'!C98</f>
        <v>0</v>
      </c>
      <c r="D23" s="313">
        <f>'Financiamento'!D98</f>
        <v>0</v>
      </c>
      <c r="E23" s="313">
        <f>'Financiamento'!E98</f>
        <v>0</v>
      </c>
      <c r="F23" s="313">
        <f>'Financiamento'!F98</f>
        <v>0</v>
      </c>
      <c r="G23" s="313">
        <f>'Financiamento'!G98</f>
        <v>0</v>
      </c>
      <c r="H23" s="313">
        <f>'Financiamento'!H98</f>
        <v>0</v>
      </c>
    </row>
    <row r="24" ht="12.75" customHeight="1">
      <c r="A24" t="s" s="129">
        <v>326</v>
      </c>
      <c r="B24" s="118"/>
      <c r="C24" s="313">
        <f>'DR'!B28</f>
        <v>0</v>
      </c>
      <c r="D24" s="313">
        <f>'DR'!C28</f>
        <v>0</v>
      </c>
      <c r="E24" s="313">
        <f>'DR'!D28</f>
        <v>0</v>
      </c>
      <c r="F24" s="313">
        <f>'DR'!E28</f>
        <v>0</v>
      </c>
      <c r="G24" s="313">
        <f>'DR'!F28</f>
        <v>0</v>
      </c>
      <c r="H24" s="313">
        <f>'DR'!G28</f>
        <v>0</v>
      </c>
    </row>
    <row r="25" ht="12.75" customHeight="1">
      <c r="A25" s="475"/>
      <c r="B25" s="476"/>
      <c r="C25" s="477"/>
      <c r="D25" s="477"/>
      <c r="E25" s="477"/>
      <c r="F25" s="477"/>
      <c r="G25" s="477"/>
      <c r="H25" s="477"/>
    </row>
    <row r="26" ht="12.75" customHeight="1">
      <c r="A26" t="s" s="482">
        <v>327</v>
      </c>
      <c r="B26" s="483"/>
      <c r="C26" s="480">
        <f>SUM(C19:C25)</f>
        <v>13432.668675</v>
      </c>
      <c r="D26" s="480">
        <f>SUM(D19:D25)</f>
        <v>2062.703516666667</v>
      </c>
      <c r="E26" s="480">
        <f>SUM(E19:E25)</f>
        <v>3429.878681454999</v>
      </c>
      <c r="F26" s="480">
        <f>SUM(F19:F25)</f>
        <v>3981.542343625728</v>
      </c>
      <c r="G26" s="480">
        <f>SUM(G19:G25)</f>
        <v>4311.574607680526</v>
      </c>
      <c r="H26" s="480">
        <f>SUM(H19:H25)</f>
        <v>4206.626229629526</v>
      </c>
    </row>
    <row r="27" ht="12.75" customHeight="1">
      <c r="A27" t="s" s="484">
        <v>328</v>
      </c>
      <c r="B27" s="485"/>
      <c r="C27" s="480">
        <f>C17-C26</f>
        <v>-673.8086749999984</v>
      </c>
      <c r="D27" s="480">
        <f>D17-D26</f>
        <v>8142.901483333329</v>
      </c>
      <c r="E27" s="480">
        <f>E17-E26</f>
        <v>10787.346457545</v>
      </c>
      <c r="F27" s="480">
        <f>F17-F26</f>
        <v>13379.533348612664</v>
      </c>
      <c r="G27" s="480">
        <f>G17-G26</f>
        <v>12847.140610518367</v>
      </c>
      <c r="H27" s="480">
        <f>H17-H26</f>
        <v>12728.674774048182</v>
      </c>
    </row>
    <row r="28" ht="12.75" customHeight="1">
      <c r="A28" t="s" s="484">
        <v>329</v>
      </c>
      <c r="B28" s="485"/>
      <c r="C28" s="480">
        <f>C27</f>
        <v>-673.8086749999984</v>
      </c>
      <c r="D28" s="480">
        <f>C28+D27</f>
        <v>7469.092808333331</v>
      </c>
      <c r="E28" s="480">
        <f>D28+E27</f>
        <v>18256.439265878333</v>
      </c>
      <c r="F28" s="480">
        <f>E28+F27</f>
        <v>31635.972614490995</v>
      </c>
      <c r="G28" s="480">
        <f>F28+G27</f>
        <v>44483.113225009365</v>
      </c>
      <c r="H28" s="480">
        <f>G28+H27</f>
        <v>57211.787999057546</v>
      </c>
    </row>
    <row r="29" ht="12.75" customHeight="1">
      <c r="A29" t="s" s="484">
        <v>330</v>
      </c>
      <c r="B29" s="485"/>
      <c r="C29" s="486">
        <v>0</v>
      </c>
      <c r="D29" s="486">
        <v>0</v>
      </c>
      <c r="E29" s="486">
        <v>1.455191522836685e-11</v>
      </c>
      <c r="F29" s="486">
        <v>-1.455191522836685e-11</v>
      </c>
      <c r="G29" s="486">
        <v>0</v>
      </c>
      <c r="H29" s="486">
        <v>0</v>
      </c>
    </row>
    <row r="30" ht="12.75" customHeight="1">
      <c r="A30" t="s" s="484">
        <v>331</v>
      </c>
      <c r="B30" s="485"/>
      <c r="C30" s="486">
        <f>C28-C29</f>
        <v>-673.8086749999984</v>
      </c>
      <c r="D30" s="486">
        <f>D28-D29</f>
        <v>7469.092808333331</v>
      </c>
      <c r="E30" s="486">
        <f>E28-E29</f>
        <v>18256.439265878318</v>
      </c>
      <c r="F30" s="486">
        <f>F28-F29</f>
        <v>31635.972614491009</v>
      </c>
      <c r="G30" s="486">
        <f>G28-G29</f>
        <v>44483.113225009365</v>
      </c>
      <c r="H30" s="486">
        <f>H28-H29</f>
        <v>57211.787999057546</v>
      </c>
    </row>
    <row r="31" ht="12.75" customHeight="1">
      <c r="A31" s="487"/>
      <c r="B31" s="418"/>
      <c r="C31" s="418"/>
      <c r="D31" s="418"/>
      <c r="E31" s="418"/>
      <c r="F31" s="418"/>
      <c r="G31" s="418"/>
      <c r="H31" s="488"/>
    </row>
    <row r="32" ht="12.75" customHeight="1">
      <c r="A32" s="41"/>
      <c r="B32" s="7"/>
      <c r="C32" s="7"/>
      <c r="D32" s="7"/>
      <c r="E32" s="7"/>
      <c r="F32" s="7"/>
      <c r="G32" s="7"/>
      <c r="H32" s="329"/>
    </row>
    <row r="33" ht="12.75" customHeight="1">
      <c r="A33" s="41"/>
      <c r="B33" s="7"/>
      <c r="C33" s="7"/>
      <c r="D33" s="7"/>
      <c r="E33" s="7"/>
      <c r="F33" s="7"/>
      <c r="G33" s="7"/>
      <c r="H33" s="329"/>
    </row>
    <row r="34" ht="12.75" customHeight="1">
      <c r="A34" s="489"/>
      <c r="B34" s="7"/>
      <c r="C34" s="7"/>
      <c r="D34" s="7"/>
      <c r="E34" s="330"/>
      <c r="F34" s="7"/>
      <c r="G34" s="7"/>
      <c r="H34" s="329"/>
    </row>
    <row r="35" ht="12.75" customHeight="1">
      <c r="A35" s="490"/>
      <c r="B35" s="491"/>
      <c r="C35" s="491"/>
      <c r="D35" s="491"/>
      <c r="E35" s="491"/>
      <c r="F35" s="491"/>
      <c r="G35" s="491"/>
      <c r="H35" s="492"/>
    </row>
  </sheetData>
  <mergeCells count="11">
    <mergeCell ref="A25:B25"/>
    <mergeCell ref="A30:B30"/>
    <mergeCell ref="A29:B29"/>
    <mergeCell ref="A28:B28"/>
    <mergeCell ref="A26:B26"/>
    <mergeCell ref="A27:B27"/>
    <mergeCell ref="A4:H4"/>
    <mergeCell ref="A18:B18"/>
    <mergeCell ref="A8:B8"/>
    <mergeCell ref="A17:B17"/>
    <mergeCell ref="A16:B16"/>
  </mergeCells>
  <pageMargins left="0.75" right="0.75" top="1" bottom="1" header="0.5" footer="0.5"/>
  <pageSetup firstPageNumber="1" fitToHeight="1" fitToWidth="1" scale="68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59"/>
  <sheetViews>
    <sheetView workbookViewId="0" showGridLines="0" defaultGridColor="1"/>
  </sheetViews>
  <sheetFormatPr defaultColWidth="6.5" defaultRowHeight="12.75" customHeight="1" outlineLevelRow="0" outlineLevelCol="0"/>
  <cols>
    <col min="1" max="1" width="19.875" style="493" customWidth="1"/>
    <col min="2" max="2" width="5.625" style="493" customWidth="1"/>
    <col min="3" max="3" width="8.625" style="493" customWidth="1"/>
    <col min="4" max="4" width="8.625" style="493" customWidth="1"/>
    <col min="5" max="5" width="8.625" style="493" customWidth="1"/>
    <col min="6" max="6" width="8.625" style="493" customWidth="1"/>
    <col min="7" max="7" width="8.625" style="493" customWidth="1"/>
    <col min="8" max="8" width="8.625" style="493" customWidth="1"/>
    <col min="9" max="9" width="8.625" style="493" customWidth="1"/>
    <col min="10" max="10" width="8.625" style="493" customWidth="1"/>
    <col min="11" max="256" width="6.5" style="493" customWidth="1"/>
  </cols>
  <sheetData>
    <row r="1" ht="12.75" customHeight="1">
      <c r="A1" s="197"/>
      <c r="B1" s="3"/>
      <c r="C1" s="494"/>
      <c r="D1" s="494"/>
      <c r="E1" s="494"/>
      <c r="F1" s="494"/>
      <c r="G1" t="s" s="495">
        <v>20</v>
      </c>
      <c r="H1" t="s" s="496">
        <f>'Pressupostos'!E1</f>
        <v>332</v>
      </c>
      <c r="I1" s="4"/>
      <c r="J1" s="5"/>
    </row>
    <row r="2" ht="12.75" customHeight="1">
      <c r="A2" s="109"/>
      <c r="B2" s="200"/>
      <c r="C2" s="200"/>
      <c r="D2" s="200"/>
      <c r="E2" s="200"/>
      <c r="F2" s="200"/>
      <c r="G2" s="200"/>
      <c r="H2" t="s" s="108">
        <f>'Pressupostos'!B9</f>
        <v>25</v>
      </c>
      <c r="I2" s="8"/>
      <c r="J2" s="9"/>
    </row>
    <row r="3" ht="12.75" customHeight="1">
      <c r="A3" s="109"/>
      <c r="B3" s="200"/>
      <c r="C3" s="200"/>
      <c r="D3" s="200"/>
      <c r="E3" s="200"/>
      <c r="F3" s="200"/>
      <c r="G3" s="200"/>
      <c r="H3" s="110"/>
      <c r="I3" s="8"/>
      <c r="J3" s="9"/>
    </row>
    <row r="4" ht="15.75" customHeight="1">
      <c r="A4" t="s" s="42">
        <v>333</v>
      </c>
      <c r="B4" s="11"/>
      <c r="C4" s="11"/>
      <c r="D4" s="11"/>
      <c r="E4" s="11"/>
      <c r="F4" s="11"/>
      <c r="G4" s="11"/>
      <c r="H4" s="11"/>
      <c r="I4" s="8"/>
      <c r="J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8"/>
      <c r="J5" s="9"/>
    </row>
    <row r="6" ht="12.75" customHeight="1">
      <c r="A6" s="48"/>
      <c r="B6" s="49"/>
      <c r="C6" s="150"/>
      <c r="D6" s="150"/>
      <c r="E6" s="150"/>
      <c r="F6" s="150"/>
      <c r="G6" s="150"/>
      <c r="H6" s="150"/>
      <c r="I6" s="8"/>
      <c r="J6" s="9"/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72"/>
      <c r="J7" s="9"/>
    </row>
    <row r="8" ht="12.75" customHeight="1">
      <c r="A8" t="s" s="120">
        <v>334</v>
      </c>
      <c r="B8" s="118"/>
      <c r="C8" s="497"/>
      <c r="D8" s="497"/>
      <c r="E8" s="497"/>
      <c r="F8" s="497"/>
      <c r="G8" s="497"/>
      <c r="H8" s="497"/>
      <c r="I8" s="72"/>
      <c r="J8" s="9"/>
    </row>
    <row r="9" ht="12.75" customHeight="1">
      <c r="A9" t="s" s="207">
        <v>335</v>
      </c>
      <c r="B9" s="278"/>
      <c r="C9" s="316">
        <f>SUM(C10:C13)</f>
        <v>10254.312</v>
      </c>
      <c r="D9" s="316">
        <f>SUM(D10:D13)</f>
        <v>9290.734</v>
      </c>
      <c r="E9" s="316">
        <f>SUM(E10:E13)</f>
        <v>7927.155999999999</v>
      </c>
      <c r="F9" s="316">
        <f>SUM(F10:F13)</f>
        <v>6163.578</v>
      </c>
      <c r="G9" s="316">
        <f>SUM(G10:G13)</f>
        <v>4000</v>
      </c>
      <c r="H9" s="316">
        <f>SUM(H10:H13)</f>
        <v>4000</v>
      </c>
      <c r="I9" s="72"/>
      <c r="J9" s="9"/>
    </row>
    <row r="10" ht="12.75" customHeight="1">
      <c r="A10" t="s" s="129">
        <v>212</v>
      </c>
      <c r="B10" s="278"/>
      <c r="C10" s="313">
        <f>'Investimento'!C178</f>
        <v>10254.312</v>
      </c>
      <c r="D10" s="313">
        <f>'Investimento'!D178</f>
        <v>9290.734</v>
      </c>
      <c r="E10" s="313">
        <f>'Investimento'!E178</f>
        <v>7927.155999999999</v>
      </c>
      <c r="F10" s="313">
        <f>'Investimento'!F178</f>
        <v>6163.578</v>
      </c>
      <c r="G10" s="313">
        <f>'Investimento'!G178</f>
        <v>4000</v>
      </c>
      <c r="H10" s="313">
        <f>'Investimento'!H178</f>
        <v>4000</v>
      </c>
      <c r="I10" s="72"/>
      <c r="J10" s="9"/>
    </row>
    <row r="11" ht="12.75" customHeight="1">
      <c r="A11" t="s" s="129">
        <v>207</v>
      </c>
      <c r="B11" s="278"/>
      <c r="C11" s="313">
        <f>'Investimento'!C177</f>
        <v>0</v>
      </c>
      <c r="D11" s="313">
        <f>'Investimento'!D177</f>
        <v>0</v>
      </c>
      <c r="E11" s="313">
        <f>'Investimento'!E177</f>
        <v>0</v>
      </c>
      <c r="F11" s="313">
        <f>'Investimento'!F177</f>
        <v>0</v>
      </c>
      <c r="G11" s="313">
        <f>'Investimento'!G177</f>
        <v>0</v>
      </c>
      <c r="H11" s="313">
        <f>'Investimento'!H177</f>
        <v>0</v>
      </c>
      <c r="I11" s="72"/>
      <c r="J11" s="9"/>
    </row>
    <row r="12" ht="12.75" customHeight="1">
      <c r="A12" t="s" s="129">
        <v>221</v>
      </c>
      <c r="B12" s="278"/>
      <c r="C12" s="313">
        <f>'Investimento'!C179</f>
        <v>0</v>
      </c>
      <c r="D12" s="313">
        <f>'Investimento'!D179</f>
        <v>0</v>
      </c>
      <c r="E12" s="313">
        <f>'Investimento'!E179</f>
        <v>0</v>
      </c>
      <c r="F12" s="313">
        <f>'Investimento'!F179</f>
        <v>0</v>
      </c>
      <c r="G12" s="313">
        <f>'Investimento'!G179</f>
        <v>0</v>
      </c>
      <c r="H12" s="313">
        <f>'Investimento'!H179</f>
        <v>0</v>
      </c>
      <c r="I12" s="72"/>
      <c r="J12" s="9"/>
    </row>
    <row r="13" ht="12.75" customHeight="1">
      <c r="A13" t="s" s="129">
        <v>336</v>
      </c>
      <c r="B13" s="278"/>
      <c r="C13" s="313"/>
      <c r="D13" s="313"/>
      <c r="E13" s="313"/>
      <c r="F13" s="313"/>
      <c r="G13" s="313"/>
      <c r="H13" s="313"/>
      <c r="I13" s="72"/>
      <c r="J13" s="9"/>
    </row>
    <row r="14" ht="12.75" customHeight="1">
      <c r="A14" s="458"/>
      <c r="B14" s="278"/>
      <c r="C14" s="313"/>
      <c r="D14" s="313"/>
      <c r="E14" s="313"/>
      <c r="F14" s="313"/>
      <c r="G14" s="313"/>
      <c r="H14" s="313"/>
      <c r="I14" s="72"/>
      <c r="J14" s="9"/>
    </row>
    <row r="15" ht="12.75" customHeight="1">
      <c r="A15" t="s" s="207">
        <v>337</v>
      </c>
      <c r="B15" s="278"/>
      <c r="C15" s="316">
        <f>SUM(C16:C22)</f>
        <v>853.8249999999999</v>
      </c>
      <c r="D15" s="316">
        <f>SUM(D16:D22)</f>
        <v>3550.0921125</v>
      </c>
      <c r="E15" s="316">
        <f>SUM(E16:E22)</f>
        <v>4618.147001647515</v>
      </c>
      <c r="F15" s="316">
        <f>SUM(F16:F22)</f>
        <v>4962.020516879435</v>
      </c>
      <c r="G15" s="316">
        <f>SUM(G16:G22)</f>
        <v>4962.020516879435</v>
      </c>
      <c r="H15" s="316">
        <f>SUM(H16:H22)</f>
        <v>4962.020516879435</v>
      </c>
      <c r="I15" s="498"/>
      <c r="J15" s="499"/>
    </row>
    <row r="16" ht="12.75" customHeight="1">
      <c r="A16" t="s" s="129">
        <v>194</v>
      </c>
      <c r="B16" s="278"/>
      <c r="C16" s="313">
        <f>'FundoManeio'!C11</f>
        <v>0</v>
      </c>
      <c r="D16" s="313">
        <f>'FundoManeio'!D11</f>
        <v>0</v>
      </c>
      <c r="E16" s="313">
        <f>'FundoManeio'!E11</f>
        <v>0</v>
      </c>
      <c r="F16" s="313">
        <f>'FundoManeio'!F11</f>
        <v>0</v>
      </c>
      <c r="G16" s="313">
        <f>'FundoManeio'!G11</f>
        <v>0</v>
      </c>
      <c r="H16" s="313">
        <f>'FundoManeio'!H11</f>
        <v>0</v>
      </c>
      <c r="I16" s="498"/>
      <c r="J16" s="499"/>
    </row>
    <row r="17" ht="12.75" customHeight="1">
      <c r="A17" t="s" s="129">
        <v>193</v>
      </c>
      <c r="B17" s="278"/>
      <c r="C17" s="313">
        <f>'FundoManeio'!C10-'VN'!C87</f>
        <v>853.8249999999999</v>
      </c>
      <c r="D17" s="313">
        <f>'FundoManeio'!D10-SUM('VN'!C87:D87)</f>
        <v>3550.0921125</v>
      </c>
      <c r="E17" s="313">
        <f>'FundoManeio'!E10-SUM('VN'!C87:E87)</f>
        <v>4618.1470016475</v>
      </c>
      <c r="F17" s="313">
        <f>'FundoManeio'!F10-SUM('VN'!C87:F87)</f>
        <v>4962.020516879435</v>
      </c>
      <c r="G17" s="313">
        <f>'FundoManeio'!G10-SUM('VN'!C87:G87)</f>
        <v>4962.020516879435</v>
      </c>
      <c r="H17" s="313">
        <f>'FundoManeio'!H10-SUM('VN'!C87:H87)</f>
        <v>4962.020516879435</v>
      </c>
      <c r="I17" s="498"/>
      <c r="J17" s="499"/>
    </row>
    <row r="18" ht="12.75" customHeight="1">
      <c r="A18" t="s" s="129">
        <v>338</v>
      </c>
      <c r="B18" s="278"/>
      <c r="C18" s="313">
        <f>'FundoManeio'!C12</f>
        <v>0</v>
      </c>
      <c r="D18" s="313">
        <f>'FundoManeio'!D12</f>
        <v>0</v>
      </c>
      <c r="E18" s="313">
        <f>'FundoManeio'!E12</f>
        <v>0</v>
      </c>
      <c r="F18" s="313">
        <f>'FundoManeio'!F12</f>
        <v>0</v>
      </c>
      <c r="G18" s="313">
        <f>'FundoManeio'!G12</f>
        <v>0</v>
      </c>
      <c r="H18" s="313">
        <f>'FundoManeio'!H12</f>
        <v>0</v>
      </c>
      <c r="I18" s="498"/>
      <c r="J18" s="499"/>
    </row>
    <row r="19" ht="12.75" customHeight="1">
      <c r="A19" t="s" s="129">
        <v>339</v>
      </c>
      <c r="B19" s="278"/>
      <c r="C19" s="313"/>
      <c r="D19" s="313"/>
      <c r="E19" s="313"/>
      <c r="F19" s="313"/>
      <c r="G19" s="313"/>
      <c r="H19" s="313"/>
      <c r="I19" s="498"/>
      <c r="J19" s="499"/>
    </row>
    <row r="20" ht="12.75" customHeight="1">
      <c r="A20" t="s" s="129">
        <v>340</v>
      </c>
      <c r="B20" s="278"/>
      <c r="C20" s="313"/>
      <c r="D20" s="313"/>
      <c r="E20" s="313"/>
      <c r="F20" s="313"/>
      <c r="G20" s="313"/>
      <c r="H20" s="313"/>
      <c r="I20" s="498"/>
      <c r="J20" s="499"/>
    </row>
    <row r="21" ht="12.75" customHeight="1">
      <c r="A21" t="s" s="129">
        <v>341</v>
      </c>
      <c r="B21" s="278"/>
      <c r="C21" s="313"/>
      <c r="D21" s="313"/>
      <c r="E21" s="313"/>
      <c r="F21" s="313"/>
      <c r="G21" s="313"/>
      <c r="H21" s="313"/>
      <c r="I21" s="498"/>
      <c r="J21" s="499"/>
    </row>
    <row r="22" ht="12.75" customHeight="1">
      <c r="A22" t="s" s="129">
        <v>342</v>
      </c>
      <c r="B22" s="278"/>
      <c r="C22" s="313">
        <f>IF('PlanoFinanceiro'!C29&gt;0,'PlanoFinanceiro'!C29,0)+'FundoManeio'!C9</f>
        <v>0</v>
      </c>
      <c r="D22" s="313">
        <f>IF('PlanoFinanceiro'!D29&gt;0,'PlanoFinanceiro'!D29,0)+'FundoManeio'!D9</f>
        <v>0</v>
      </c>
      <c r="E22" s="313">
        <f>IF('PlanoFinanceiro'!E29&gt;0,'PlanoFinanceiro'!E29,0)+'FundoManeio'!E9</f>
        <v>1.455191522836685e-11</v>
      </c>
      <c r="F22" s="313">
        <f>IF('PlanoFinanceiro'!F29&gt;0,'PlanoFinanceiro'!F29,0)+'FundoManeio'!F9</f>
        <v>0</v>
      </c>
      <c r="G22" s="313">
        <f>IF('PlanoFinanceiro'!G29&gt;0,'PlanoFinanceiro'!G29,0)+'FundoManeio'!G9</f>
        <v>0</v>
      </c>
      <c r="H22" s="313">
        <f>IF('PlanoFinanceiro'!H29&gt;0,'PlanoFinanceiro'!H29,0)+'FundoManeio'!H9</f>
        <v>0</v>
      </c>
      <c r="I22" s="498"/>
      <c r="J22" s="499"/>
    </row>
    <row r="23" ht="13.5" customHeight="1">
      <c r="A23" t="s" s="120">
        <v>343</v>
      </c>
      <c r="B23" s="118"/>
      <c r="C23" s="354">
        <f>C15+C9</f>
        <v>11108.137</v>
      </c>
      <c r="D23" s="354">
        <f>D15+D9</f>
        <v>12840.8261125</v>
      </c>
      <c r="E23" s="354">
        <f>E15+E9</f>
        <v>12545.303001647513</v>
      </c>
      <c r="F23" s="354">
        <f>F15+F9</f>
        <v>11125.598516879436</v>
      </c>
      <c r="G23" s="354">
        <f>G15+G9</f>
        <v>8962.020516879435</v>
      </c>
      <c r="H23" s="354">
        <f>H15+H9</f>
        <v>8962.020516879435</v>
      </c>
      <c r="I23" s="498"/>
      <c r="J23" s="499"/>
    </row>
    <row r="24" ht="13.5" customHeight="1">
      <c r="A24" s="500"/>
      <c r="B24" s="31"/>
      <c r="C24" s="463"/>
      <c r="D24" s="289"/>
      <c r="E24" s="289"/>
      <c r="F24" s="289"/>
      <c r="G24" s="289"/>
      <c r="H24" s="31"/>
      <c r="I24" s="344"/>
      <c r="J24" s="499"/>
    </row>
    <row r="25" ht="12.75" customHeight="1">
      <c r="A25" t="s" s="120">
        <v>344</v>
      </c>
      <c r="B25" s="118"/>
      <c r="C25" s="497"/>
      <c r="D25" s="497"/>
      <c r="E25" s="497"/>
      <c r="F25" s="497"/>
      <c r="G25" s="497"/>
      <c r="H25" s="497"/>
      <c r="I25" s="498"/>
      <c r="J25" s="499"/>
    </row>
    <row r="26" ht="12.75" customHeight="1">
      <c r="A26" t="s" s="249">
        <v>345</v>
      </c>
      <c r="B26" s="278"/>
      <c r="C26" s="313">
        <f>'Financiamento'!C15</f>
        <v>500</v>
      </c>
      <c r="D26" s="313">
        <f>C26+'Financiamento'!D15</f>
        <v>500</v>
      </c>
      <c r="E26" s="313">
        <f>D26+'Financiamento'!E15</f>
        <v>500</v>
      </c>
      <c r="F26" s="313">
        <f>E26+'Financiamento'!F15</f>
        <v>500</v>
      </c>
      <c r="G26" s="313">
        <f>F26+'Financiamento'!G15</f>
        <v>500</v>
      </c>
      <c r="H26" s="313">
        <f>G26+'Financiamento'!H15</f>
        <v>500</v>
      </c>
      <c r="I26" s="498"/>
      <c r="J26" s="499"/>
    </row>
    <row r="27" ht="12.75" customHeight="1">
      <c r="A27" t="s" s="249">
        <v>346</v>
      </c>
      <c r="B27" s="278"/>
      <c r="C27" s="313"/>
      <c r="D27" s="313"/>
      <c r="E27" s="313"/>
      <c r="F27" s="313"/>
      <c r="G27" s="313"/>
      <c r="H27" s="313"/>
      <c r="I27" s="498"/>
      <c r="J27" s="499"/>
    </row>
    <row r="28" ht="12.75" customHeight="1">
      <c r="A28" t="s" s="249">
        <v>347</v>
      </c>
      <c r="B28" s="278"/>
      <c r="C28" s="313">
        <f>'Financiamento'!C16</f>
        <v>0</v>
      </c>
      <c r="D28" s="313">
        <f>C28+'Financiamento'!D16</f>
        <v>0</v>
      </c>
      <c r="E28" s="313">
        <f>D28+'Financiamento'!E16</f>
        <v>0</v>
      </c>
      <c r="F28" s="313">
        <f>E28+'Financiamento'!F16</f>
        <v>0</v>
      </c>
      <c r="G28" s="313">
        <f>F28+'Financiamento'!G16</f>
        <v>0</v>
      </c>
      <c r="H28" s="313">
        <f>G28+'Financiamento'!H16</f>
        <v>0</v>
      </c>
      <c r="I28" s="498"/>
      <c r="J28" s="499"/>
    </row>
    <row r="29" ht="12.75" customHeight="1">
      <c r="A29" t="s" s="249">
        <v>348</v>
      </c>
      <c r="B29" s="278"/>
      <c r="C29" s="313"/>
      <c r="D29" s="313">
        <f>C32</f>
        <v>-541.1380000000004</v>
      </c>
      <c r="E29" s="313">
        <f>D29+D32</f>
        <v>5561.737869999997</v>
      </c>
      <c r="F29" s="313">
        <f>E29+E32</f>
        <v>14570.26499537</v>
      </c>
      <c r="G29" s="313">
        <f>F29+F32</f>
        <v>25856.188079927862</v>
      </c>
      <c r="H29" s="313">
        <f>G29+G32</f>
        <v>36629.716142236728</v>
      </c>
      <c r="I29" s="498"/>
      <c r="J29" s="499"/>
    </row>
    <row r="30" ht="12.75" customHeight="1">
      <c r="A30" t="s" s="249">
        <v>349</v>
      </c>
      <c r="B30" s="278"/>
      <c r="C30" s="313"/>
      <c r="D30" s="313"/>
      <c r="E30" s="313"/>
      <c r="F30" s="313"/>
      <c r="G30" s="313"/>
      <c r="H30" s="313"/>
      <c r="I30" s="498"/>
      <c r="J30" s="499"/>
    </row>
    <row r="31" ht="12.75" customHeight="1">
      <c r="A31" t="s" s="249">
        <v>350</v>
      </c>
      <c r="B31" s="278"/>
      <c r="C31" s="313">
        <f>'Financiamento'!C19</f>
        <v>10236.42</v>
      </c>
      <c r="D31" s="313">
        <f>C31+'Financiamento'!D19</f>
        <v>10236.42</v>
      </c>
      <c r="E31" s="313">
        <f>D31+'Financiamento'!E19</f>
        <v>10236.42</v>
      </c>
      <c r="F31" s="313">
        <f>E31+'Financiamento'!F19</f>
        <v>10236.42</v>
      </c>
      <c r="G31" s="313">
        <f>F31+'Financiamento'!G19</f>
        <v>10236.42</v>
      </c>
      <c r="H31" s="313">
        <f>G31+'Financiamento'!H19</f>
        <v>10236.42</v>
      </c>
      <c r="I31" s="498"/>
      <c r="J31" s="499"/>
    </row>
    <row r="32" ht="12.75" customHeight="1">
      <c r="A32" t="s" s="249">
        <v>351</v>
      </c>
      <c r="B32" s="278"/>
      <c r="C32" s="313">
        <f>'DR'!B31</f>
        <v>-541.1380000000004</v>
      </c>
      <c r="D32" s="313">
        <f>'DR'!C31</f>
        <v>6102.875869999997</v>
      </c>
      <c r="E32" s="313">
        <f>'DR'!D31</f>
        <v>9008.527125369999</v>
      </c>
      <c r="F32" s="313">
        <f>'DR'!E31</f>
        <v>11285.923084557866</v>
      </c>
      <c r="G32" s="313">
        <f>'DR'!F31</f>
        <v>10773.528062308866</v>
      </c>
      <c r="H32" s="313">
        <f>'DR'!G31</f>
        <v>12383.4909293924</v>
      </c>
      <c r="I32" s="498"/>
      <c r="J32" s="499"/>
    </row>
    <row r="33" ht="13.5" customHeight="1">
      <c r="A33" t="s" s="120">
        <v>352</v>
      </c>
      <c r="B33" s="118"/>
      <c r="C33" s="352">
        <f>SUM(C26:C32)</f>
        <v>10195.282</v>
      </c>
      <c r="D33" s="352">
        <f>SUM(D26:D32)</f>
        <v>16298.15787</v>
      </c>
      <c r="E33" s="352">
        <f>SUM(E26:E32)</f>
        <v>25306.68499537</v>
      </c>
      <c r="F33" s="352">
        <f>SUM(F26:F32)</f>
        <v>36592.608079927864</v>
      </c>
      <c r="G33" s="352">
        <f>SUM(G26:G32)</f>
        <v>47366.136142236734</v>
      </c>
      <c r="H33" s="352">
        <f>SUM(H26:H32)</f>
        <v>59749.627071629118</v>
      </c>
      <c r="I33" s="498"/>
      <c r="J33" s="499"/>
    </row>
    <row r="34" ht="13.5" customHeight="1">
      <c r="A34" s="56"/>
      <c r="B34" s="31"/>
      <c r="C34" s="386"/>
      <c r="D34" s="386"/>
      <c r="E34" s="386"/>
      <c r="F34" s="386"/>
      <c r="G34" s="386"/>
      <c r="H34" s="386"/>
      <c r="I34" s="344"/>
      <c r="J34" s="499"/>
    </row>
    <row r="35" ht="12.75" customHeight="1">
      <c r="A35" t="s" s="120">
        <v>353</v>
      </c>
      <c r="B35" s="118"/>
      <c r="C35" s="501"/>
      <c r="D35" s="501"/>
      <c r="E35" s="501"/>
      <c r="F35" s="501"/>
      <c r="G35" s="501"/>
      <c r="H35" s="501"/>
      <c r="I35" s="498"/>
      <c r="J35" s="499"/>
    </row>
    <row r="36" ht="12.75" customHeight="1">
      <c r="A36" s="502"/>
      <c r="B36" s="278"/>
      <c r="C36" s="503"/>
      <c r="D36" s="503"/>
      <c r="E36" s="503"/>
      <c r="F36" s="503"/>
      <c r="G36" s="503"/>
      <c r="H36" s="503"/>
      <c r="I36" s="498"/>
      <c r="J36" s="499"/>
    </row>
    <row r="37" ht="12.75" customHeight="1">
      <c r="A37" t="s" s="207">
        <v>354</v>
      </c>
      <c r="B37" s="278"/>
      <c r="C37" s="316">
        <f>SUM(C38:C40)</f>
        <v>0</v>
      </c>
      <c r="D37" s="316">
        <f>SUM(D38:D40)</f>
        <v>0</v>
      </c>
      <c r="E37" s="316">
        <f>SUM(E38:E40)</f>
        <v>0</v>
      </c>
      <c r="F37" s="316">
        <f>SUM(F38:F40)</f>
        <v>0</v>
      </c>
      <c r="G37" s="316">
        <f>SUM(G38:G40)</f>
        <v>0</v>
      </c>
      <c r="H37" s="316">
        <f>SUM(H38:H40)</f>
        <v>0</v>
      </c>
      <c r="I37" s="498"/>
      <c r="J37" s="499"/>
    </row>
    <row r="38" ht="12.75" customHeight="1">
      <c r="A38" t="s" s="129">
        <v>355</v>
      </c>
      <c r="B38" s="278"/>
      <c r="C38" s="313"/>
      <c r="D38" s="313"/>
      <c r="E38" s="313"/>
      <c r="F38" s="313"/>
      <c r="G38" s="313"/>
      <c r="H38" s="313"/>
      <c r="I38" s="498"/>
      <c r="J38" s="499"/>
    </row>
    <row r="39" ht="12.75" customHeight="1">
      <c r="A39" t="s" s="129">
        <v>356</v>
      </c>
      <c r="B39" s="278"/>
      <c r="C39" s="313">
        <f>'Financiamento'!C95</f>
        <v>0</v>
      </c>
      <c r="D39" s="313">
        <f>'Financiamento'!D95</f>
        <v>0</v>
      </c>
      <c r="E39" s="313">
        <f>'Financiamento'!E95</f>
        <v>0</v>
      </c>
      <c r="F39" s="313">
        <f>'Financiamento'!F95</f>
        <v>0</v>
      </c>
      <c r="G39" s="313">
        <f>'Financiamento'!G95</f>
        <v>0</v>
      </c>
      <c r="H39" s="313">
        <f>'Financiamento'!H95</f>
        <v>0</v>
      </c>
      <c r="I39" s="498"/>
      <c r="J39" s="499"/>
    </row>
    <row r="40" ht="12.75" customHeight="1">
      <c r="A40" t="s" s="129">
        <v>357</v>
      </c>
      <c r="B40" s="278"/>
      <c r="C40" s="504"/>
      <c r="D40" s="504"/>
      <c r="E40" s="504"/>
      <c r="F40" s="504"/>
      <c r="G40" s="504"/>
      <c r="H40" s="504"/>
      <c r="I40" s="498"/>
      <c r="J40" s="499"/>
    </row>
    <row r="41" ht="12.75" customHeight="1">
      <c r="A41" s="458"/>
      <c r="B41" s="278"/>
      <c r="C41" s="504"/>
      <c r="D41" s="504"/>
      <c r="E41" s="504"/>
      <c r="F41" s="504"/>
      <c r="G41" s="504"/>
      <c r="H41" s="504"/>
      <c r="I41" s="498"/>
      <c r="J41" s="499"/>
    </row>
    <row r="42" ht="12.75" customHeight="1">
      <c r="A42" t="s" s="207">
        <v>358</v>
      </c>
      <c r="B42" s="278"/>
      <c r="C42" s="352">
        <f>SUM(C43:C47)</f>
        <v>239.046325</v>
      </c>
      <c r="D42" s="352">
        <f>SUM(D43:D47)</f>
        <v>4011.761050833332</v>
      </c>
      <c r="E42" s="352">
        <f>SUM(E43:E47)</f>
        <v>5495.057272155833</v>
      </c>
      <c r="F42" s="352">
        <f>SUM(F43:F47)</f>
        <v>6168.963051442583</v>
      </c>
      <c r="G42" s="352">
        <f>SUM(G43:G47)</f>
        <v>6078.997599652067</v>
      </c>
      <c r="H42" s="352">
        <f>SUM(H43:H47)</f>
        <v>6424.181444307853</v>
      </c>
      <c r="I42" s="498"/>
      <c r="J42" s="499"/>
    </row>
    <row r="43" ht="12.75" customHeight="1">
      <c r="A43" t="s" s="129">
        <v>198</v>
      </c>
      <c r="B43" s="278"/>
      <c r="C43" s="504">
        <f>'FundoManeio'!C17</f>
        <v>200.075</v>
      </c>
      <c r="D43" s="504">
        <f>'FundoManeio'!D17</f>
        <v>618.23175</v>
      </c>
      <c r="E43" s="504">
        <f>'FundoManeio'!E17</f>
        <v>636.7787025000001</v>
      </c>
      <c r="F43" s="504">
        <f>'FundoManeio'!F17</f>
        <v>655.882063575</v>
      </c>
      <c r="G43" s="504">
        <f>'FundoManeio'!G17</f>
        <v>675.558525482250</v>
      </c>
      <c r="H43" s="504">
        <f>'FundoManeio'!H17</f>
        <v>695.8252812467175</v>
      </c>
      <c r="I43" s="498"/>
      <c r="J43" s="499"/>
    </row>
    <row r="44" ht="12.75" customHeight="1">
      <c r="A44" t="s" s="129">
        <v>338</v>
      </c>
      <c r="B44" s="278"/>
      <c r="C44" s="504">
        <f>'FundoManeio'!C18+'DR'!B30</f>
        <v>38.97132499999998</v>
      </c>
      <c r="D44" s="504">
        <f>'FundoManeio'!D18+'DR'!C30</f>
        <v>3393.529300833332</v>
      </c>
      <c r="E44" s="504">
        <f>'FundoManeio'!E18+'DR'!D30</f>
        <v>4858.278569655833</v>
      </c>
      <c r="F44" s="504">
        <f>'FundoManeio'!F18+'DR'!E30</f>
        <v>5513.080987867568</v>
      </c>
      <c r="G44" s="504">
        <f>'FundoManeio'!G18+'DR'!F30</f>
        <v>5403.439074169817</v>
      </c>
      <c r="H44" s="504">
        <f>'FundoManeio'!H18+'DR'!G30</f>
        <v>5728.356163061136</v>
      </c>
      <c r="I44" s="498"/>
      <c r="J44" s="499"/>
    </row>
    <row r="45" ht="12.75" customHeight="1">
      <c r="A45" t="s" s="129">
        <v>339</v>
      </c>
      <c r="B45" s="278"/>
      <c r="C45" s="504">
        <f>'Financiamento'!C18</f>
        <v>0</v>
      </c>
      <c r="D45" s="504">
        <f>C45+'Financiamento'!D17</f>
        <v>0</v>
      </c>
      <c r="E45" s="504">
        <f>D45+'Financiamento'!E17</f>
        <v>0</v>
      </c>
      <c r="F45" s="504">
        <f>E45+'Financiamento'!F17</f>
        <v>0</v>
      </c>
      <c r="G45" s="504">
        <f>F45+'Financiamento'!G17</f>
        <v>0</v>
      </c>
      <c r="H45" s="504">
        <f>G45+'Financiamento'!H17</f>
        <v>0</v>
      </c>
      <c r="I45" s="498"/>
      <c r="J45" s="499"/>
    </row>
    <row r="46" ht="12.75" customHeight="1">
      <c r="A46" t="s" s="129">
        <v>359</v>
      </c>
      <c r="B46" s="278"/>
      <c r="C46" s="504">
        <f>IF('PlanoFinanceiro'!C29&lt;0,-'PlanoFinanceiro'!C29,0)</f>
        <v>0</v>
      </c>
      <c r="D46" s="504">
        <f>IF('PlanoFinanceiro'!D29&lt;0,-'PlanoFinanceiro'!D29,0)</f>
        <v>0</v>
      </c>
      <c r="E46" s="504">
        <f>IF('PlanoFinanceiro'!E29&lt;0,-'PlanoFinanceiro'!E29,0)</f>
        <v>0</v>
      </c>
      <c r="F46" s="504">
        <f>IF('PlanoFinanceiro'!F29&lt;0,-'PlanoFinanceiro'!F29,0)</f>
        <v>1.455191522836685e-11</v>
      </c>
      <c r="G46" s="504">
        <f>IF('PlanoFinanceiro'!G29&lt;0,-'PlanoFinanceiro'!G29,0)</f>
        <v>0</v>
      </c>
      <c r="H46" s="504">
        <f>IF('PlanoFinanceiro'!H29&lt;0,-'PlanoFinanceiro'!H29,0)</f>
        <v>0</v>
      </c>
      <c r="I46" s="498"/>
      <c r="J46" s="499"/>
    </row>
    <row r="47" ht="12.75" customHeight="1">
      <c r="A47" t="s" s="129">
        <v>360</v>
      </c>
      <c r="B47" s="278"/>
      <c r="C47" s="504"/>
      <c r="D47" s="504"/>
      <c r="E47" s="504"/>
      <c r="F47" s="504"/>
      <c r="G47" s="504"/>
      <c r="H47" s="504"/>
      <c r="I47" s="498"/>
      <c r="J47" s="499"/>
    </row>
    <row r="48" ht="12.75" customHeight="1">
      <c r="A48" s="502"/>
      <c r="B48" s="278"/>
      <c r="C48" s="504"/>
      <c r="D48" s="504"/>
      <c r="E48" s="504"/>
      <c r="F48" s="504"/>
      <c r="G48" s="504"/>
      <c r="H48" s="504"/>
      <c r="I48" s="498"/>
      <c r="J48" s="499"/>
    </row>
    <row r="49" ht="13.5" customHeight="1">
      <c r="A49" t="s" s="120">
        <v>361</v>
      </c>
      <c r="B49" s="118"/>
      <c r="C49" s="352">
        <f>C42+C37</f>
        <v>239.046325</v>
      </c>
      <c r="D49" s="352">
        <f>D42+D37</f>
        <v>4011.761050833332</v>
      </c>
      <c r="E49" s="352">
        <f>E42+E37</f>
        <v>5495.057272155833</v>
      </c>
      <c r="F49" s="352">
        <f>F42+F37</f>
        <v>6168.963051442583</v>
      </c>
      <c r="G49" s="352">
        <f>G42+G37</f>
        <v>6078.997599652067</v>
      </c>
      <c r="H49" s="352">
        <f>H42+H37</f>
        <v>6424.181444307853</v>
      </c>
      <c r="I49" s="498"/>
      <c r="J49" s="499"/>
    </row>
    <row r="50" ht="13.5" customHeight="1">
      <c r="A50" s="288"/>
      <c r="B50" s="289"/>
      <c r="C50" s="386"/>
      <c r="D50" s="31"/>
      <c r="E50" s="31"/>
      <c r="F50" s="31"/>
      <c r="G50" s="31"/>
      <c r="H50" s="31"/>
      <c r="I50" s="344"/>
      <c r="J50" s="499"/>
    </row>
    <row r="51" ht="13.5" customHeight="1">
      <c r="A51" t="s" s="505">
        <v>362</v>
      </c>
      <c r="B51" s="118"/>
      <c r="C51" s="137">
        <f>C49+C33</f>
        <v>10434.328325</v>
      </c>
      <c r="D51" s="137">
        <f>D49+D33</f>
        <v>20309.918920833326</v>
      </c>
      <c r="E51" s="137">
        <f>E49+E33</f>
        <v>30801.742267525828</v>
      </c>
      <c r="F51" s="137">
        <f>F49+F33</f>
        <v>42761.571131370445</v>
      </c>
      <c r="G51" s="137">
        <f>G49+G33</f>
        <v>53445.1337418888</v>
      </c>
      <c r="H51" s="137">
        <f>H49+H33</f>
        <v>66173.808515936966</v>
      </c>
      <c r="I51" s="498"/>
      <c r="J51" s="499"/>
    </row>
    <row r="52" ht="13.5" customHeight="1">
      <c r="A52" s="437"/>
      <c r="B52" s="438"/>
      <c r="C52" s="506"/>
      <c r="D52" s="506"/>
      <c r="E52" s="506"/>
      <c r="F52" s="506"/>
      <c r="G52" s="506"/>
      <c r="H52" s="506"/>
      <c r="I52" s="8"/>
      <c r="J52" s="9"/>
    </row>
    <row r="53" ht="12.75" customHeight="1">
      <c r="A53" s="6"/>
      <c r="B53" s="8"/>
      <c r="C53" s="507">
        <f>C23-C51</f>
        <v>673.808675000002</v>
      </c>
      <c r="D53" s="507">
        <f>D23-D51</f>
        <v>-7469.092808333326</v>
      </c>
      <c r="E53" s="507">
        <f>E23-E51</f>
        <v>-18256.439265878314</v>
      </c>
      <c r="F53" s="507">
        <f>F23-F51</f>
        <v>-31635.972614491009</v>
      </c>
      <c r="G53" s="507">
        <f>G23-G51</f>
        <v>-44483.113225009365</v>
      </c>
      <c r="H53" s="507">
        <f>H23-H51</f>
        <v>-57211.787999057531</v>
      </c>
      <c r="I53" s="8"/>
      <c r="J53" s="9"/>
    </row>
    <row r="54" ht="12.75" customHeight="1">
      <c r="A54" s="6"/>
      <c r="B54" s="8"/>
      <c r="C54" s="508"/>
      <c r="D54" s="509">
        <f>D53-C53</f>
        <v>-8142.901483333328</v>
      </c>
      <c r="E54" s="509">
        <f>E53-D53</f>
        <v>-10787.346457544989</v>
      </c>
      <c r="F54" s="509">
        <f>F53-E53</f>
        <v>-13379.533348612695</v>
      </c>
      <c r="G54" s="509">
        <f>G53-F53</f>
        <v>-12847.140610518356</v>
      </c>
      <c r="H54" s="509">
        <f>H53-G53</f>
        <v>-12728.674774048166</v>
      </c>
      <c r="I54" s="8"/>
      <c r="J54" s="9"/>
    </row>
    <row r="55" ht="12.75" customHeight="1">
      <c r="A55" s="6"/>
      <c r="B55" s="8"/>
      <c r="C55" s="508"/>
      <c r="D55" s="508"/>
      <c r="E55" s="508"/>
      <c r="F55" s="508"/>
      <c r="G55" s="508"/>
      <c r="H55" s="508"/>
      <c r="I55" s="8"/>
      <c r="J55" s="9"/>
    </row>
    <row r="56" ht="12.75" customHeight="1">
      <c r="A56" s="6"/>
      <c r="B56" s="8"/>
      <c r="C56" s="508"/>
      <c r="D56" s="510"/>
      <c r="E56" s="511"/>
      <c r="F56" s="511"/>
      <c r="G56" s="508"/>
      <c r="H56" s="508"/>
      <c r="I56" s="8"/>
      <c r="J56" s="9"/>
    </row>
    <row r="57" ht="12.75" customHeight="1">
      <c r="A57" s="6"/>
      <c r="B57" s="8"/>
      <c r="C57" s="512"/>
      <c r="D57" s="512"/>
      <c r="E57" s="512"/>
      <c r="F57" s="512"/>
      <c r="G57" s="512"/>
      <c r="H57" s="512"/>
      <c r="I57" s="8"/>
      <c r="J57" s="9"/>
    </row>
    <row r="58" ht="12.75" customHeight="1">
      <c r="A58" s="6"/>
      <c r="B58" s="8"/>
      <c r="C58" s="512"/>
      <c r="D58" s="512"/>
      <c r="E58" s="512"/>
      <c r="F58" s="512"/>
      <c r="G58" s="512"/>
      <c r="H58" s="512"/>
      <c r="I58" s="8"/>
      <c r="J58" s="9"/>
    </row>
    <row r="59" ht="12.75" customHeight="1">
      <c r="A59" s="345"/>
      <c r="B59" s="34"/>
      <c r="C59" s="513"/>
      <c r="D59" s="513"/>
      <c r="E59" s="513"/>
      <c r="F59" s="513"/>
      <c r="G59" s="513"/>
      <c r="H59" s="513"/>
      <c r="I59" s="34"/>
      <c r="J59" s="35"/>
    </row>
  </sheetData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28"/>
  <sheetViews>
    <sheetView workbookViewId="0" showGridLines="0" defaultGridColor="1"/>
  </sheetViews>
  <sheetFormatPr defaultColWidth="6.5" defaultRowHeight="12.75" customHeight="1" outlineLevelRow="0" outlineLevelCol="0"/>
  <cols>
    <col min="1" max="1" width="32.125" style="514" customWidth="1"/>
    <col min="2" max="2" width="8.625" style="514" customWidth="1"/>
    <col min="3" max="3" width="8.625" style="514" customWidth="1"/>
    <col min="4" max="4" width="8.625" style="514" customWidth="1"/>
    <col min="5" max="5" width="8.625" style="514" customWidth="1"/>
    <col min="6" max="6" width="8.625" style="514" customWidth="1"/>
    <col min="7" max="7" width="8.625" style="514" customWidth="1"/>
    <col min="8" max="256" width="6.5" style="514" customWidth="1"/>
  </cols>
  <sheetData>
    <row r="1" ht="13.5" customHeight="1">
      <c r="A1" s="197"/>
      <c r="B1" s="3"/>
      <c r="C1" s="515"/>
      <c r="D1" s="515"/>
      <c r="E1" s="515"/>
      <c r="F1" t="s" s="105">
        <f>'VN'!G1</f>
        <v>20</v>
      </c>
      <c r="G1" t="s" s="199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329"/>
    </row>
    <row r="3" ht="12.75" customHeight="1">
      <c r="A3" s="41"/>
      <c r="B3" s="7"/>
      <c r="C3" s="7"/>
      <c r="D3" s="7"/>
      <c r="E3" s="7"/>
      <c r="F3" s="7"/>
      <c r="G3" s="329"/>
    </row>
    <row r="4" ht="15.75" customHeight="1">
      <c r="A4" t="s" s="42">
        <v>363</v>
      </c>
      <c r="B4" s="11"/>
      <c r="C4" s="11"/>
      <c r="D4" s="11"/>
      <c r="E4" s="11"/>
      <c r="F4" s="11"/>
      <c r="G4" s="203"/>
    </row>
    <row r="5" ht="13.5" customHeight="1">
      <c r="A5" s="516"/>
      <c r="B5" s="517"/>
      <c r="C5" s="517"/>
      <c r="D5" s="517"/>
      <c r="E5" s="517"/>
      <c r="F5" s="517"/>
      <c r="G5" s="518"/>
    </row>
    <row r="6" ht="13.5" customHeight="1">
      <c r="A6" t="s" s="519">
        <v>364</v>
      </c>
      <c r="B6" s="520">
        <f>'VN'!C8</f>
        <v>2015</v>
      </c>
      <c r="C6" s="520">
        <f>'VN'!D8</f>
        <v>2016</v>
      </c>
      <c r="D6" s="520">
        <f>'VN'!E8</f>
        <v>2017</v>
      </c>
      <c r="E6" s="520">
        <f>'VN'!F8</f>
        <v>2018</v>
      </c>
      <c r="F6" s="520">
        <f>'VN'!G8</f>
        <v>2019</v>
      </c>
      <c r="G6" s="521">
        <f>'VN'!H8</f>
        <v>2020</v>
      </c>
    </row>
    <row r="7" ht="12.75" customHeight="1">
      <c r="A7" t="s" s="522">
        <v>365</v>
      </c>
      <c r="B7" s="523"/>
      <c r="C7" s="523">
        <f>('DR'!C8/'DR'!B8)-1</f>
        <v>3.157868547418968</v>
      </c>
      <c r="D7" s="523">
        <f>('DR'!D8/'DR'!C8)-1</f>
        <v>0.3008527258734615</v>
      </c>
      <c r="E7" s="523">
        <f>('DR'!E8/'DR'!D8)-1</f>
        <v>0.07446136190754871</v>
      </c>
      <c r="F7" s="523">
        <f>('DR'!F8/'DR'!E8)-1</f>
        <v>0</v>
      </c>
      <c r="G7" s="524">
        <f>('DR'!G8/'DR'!F8)-1</f>
        <v>0</v>
      </c>
    </row>
    <row r="8" ht="13.5" customHeight="1">
      <c r="A8" t="s" s="525">
        <v>366</v>
      </c>
      <c r="B8" s="526">
        <f>'DR'!B31/'DR'!B8</f>
        <v>-0.06496254501800725</v>
      </c>
      <c r="C8" s="526">
        <f>'DR'!C31/'DR'!C8</f>
        <v>0.1762052242172631</v>
      </c>
      <c r="D8" s="526">
        <f>'DR'!D31/'DR'!D8</f>
        <v>0.1999447029341024</v>
      </c>
      <c r="E8" s="526">
        <f>'DR'!E31/'DR'!E8</f>
        <v>0.2331322718703077</v>
      </c>
      <c r="F8" s="526">
        <f>'DR'!F31/'DR'!F8</f>
        <v>0.2225477751714605</v>
      </c>
      <c r="G8" s="527">
        <f>'DR'!G31/'DR'!G8</f>
        <v>0.2558046295747635</v>
      </c>
    </row>
    <row r="9" ht="13.5" customHeight="1">
      <c r="A9" s="528"/>
      <c r="B9" s="529"/>
      <c r="C9" s="529"/>
      <c r="D9" s="529"/>
      <c r="E9" s="529"/>
      <c r="F9" s="529"/>
      <c r="G9" s="530"/>
    </row>
    <row r="10" ht="13.5" customHeight="1">
      <c r="A10" t="s" s="519">
        <v>367</v>
      </c>
      <c r="B10" s="520">
        <f>B6</f>
        <v>2015</v>
      </c>
      <c r="C10" s="520">
        <f>C6</f>
        <v>2016</v>
      </c>
      <c r="D10" s="520">
        <f>D6</f>
        <v>2017</v>
      </c>
      <c r="E10" s="520">
        <f>E6</f>
        <v>2018</v>
      </c>
      <c r="F10" s="520">
        <f>F6</f>
        <v>2019</v>
      </c>
      <c r="G10" s="521">
        <f>G6</f>
        <v>2020</v>
      </c>
    </row>
    <row r="11" ht="12.75" customHeight="1">
      <c r="A11" t="s" s="522">
        <v>368</v>
      </c>
      <c r="B11" s="523">
        <f>'DR'!B31/'Balanço'!C23</f>
        <v>-0.04871545966708912</v>
      </c>
      <c r="C11" s="523">
        <f>'DR'!C31/'Balanço'!D23</f>
        <v>0.4752712805649713</v>
      </c>
      <c r="D11" s="523">
        <f>'DR'!D31/'Balanço'!E23</f>
        <v>0.7180796768469405</v>
      </c>
      <c r="E11" s="523">
        <f>'DR'!E31/'Balanço'!F23</f>
        <v>1.014410421824515</v>
      </c>
      <c r="F11" s="523">
        <f>'DR'!F31/'Balanço'!G23</f>
        <v>1.202131599901781</v>
      </c>
      <c r="G11" s="524">
        <f>'DR'!G31/'Balanço'!H23</f>
        <v>1.381774445401997</v>
      </c>
    </row>
    <row r="12" ht="12.75" customHeight="1">
      <c r="A12" t="s" s="525">
        <v>369</v>
      </c>
      <c r="B12" s="420">
        <f>'DR'!B26/'Balanço'!C23</f>
        <v>-0.04871545966708912</v>
      </c>
      <c r="C12" s="420">
        <f>'DR'!C26/'Balanço'!D23</f>
        <v>0.5639845082046699</v>
      </c>
      <c r="D12" s="420">
        <f>'DR'!D26/'Balanço'!E23</f>
        <v>0.8651562371649886</v>
      </c>
      <c r="E12" s="420">
        <f>'DR'!E26/'Balanço'!F23</f>
        <v>1.222181231113873</v>
      </c>
      <c r="F12" s="420">
        <f>'DR'!F26/'Balanço'!G23</f>
        <v>1.448351325182869</v>
      </c>
      <c r="G12" s="531">
        <f>'DR'!G26/'Balanço'!H23</f>
        <v>1.664788488436141</v>
      </c>
    </row>
    <row r="13" ht="12.75" customHeight="1">
      <c r="A13" t="s" s="525">
        <v>370</v>
      </c>
      <c r="B13" s="420">
        <f>'DR'!B8/'Balanço'!C23</f>
        <v>0.7499007259273089</v>
      </c>
      <c r="C13" s="420">
        <f>'DR'!C8/'Balanço'!D23</f>
        <v>2.697259872266649</v>
      </c>
      <c r="D13" s="420">
        <f>'DR'!D8/'Balanço'!E23</f>
        <v>3.591391351255776</v>
      </c>
      <c r="E13" s="420">
        <f>'DR'!E8/'Balanço'!F23</f>
        <v>4.351222650070665</v>
      </c>
      <c r="F13" s="420">
        <f>'DR'!F8/'Balanço'!G23</f>
        <v>5.401678803464142</v>
      </c>
      <c r="G13" s="531">
        <f>'DR'!G8/'Balanço'!H23</f>
        <v>5.401678803464142</v>
      </c>
    </row>
    <row r="14" ht="13.5" customHeight="1">
      <c r="A14" t="s" s="525">
        <v>371</v>
      </c>
      <c r="B14" s="526">
        <f>'DR'!B31/'Balanço'!C33</f>
        <v>-0.05307729594924401</v>
      </c>
      <c r="C14" s="526">
        <f>'DR'!C31/'Balanço'!D33</f>
        <v>0.3744518809229082</v>
      </c>
      <c r="D14" s="526">
        <f>'DR'!D31/'Balanço'!E33</f>
        <v>0.3559742070926382</v>
      </c>
      <c r="E14" s="526">
        <f>'DR'!E31/'Balanço'!F33</f>
        <v>0.3084208444477761</v>
      </c>
      <c r="F14" s="526">
        <f>'DR'!F31/'Balanço'!G33</f>
        <v>0.2274521195893374</v>
      </c>
      <c r="G14" s="527">
        <f>'DR'!G31/'Balanço'!H33</f>
        <v>0.2072563719024857</v>
      </c>
    </row>
    <row r="15" ht="13.5" customHeight="1">
      <c r="A15" s="528"/>
      <c r="B15" s="532"/>
      <c r="C15" s="532"/>
      <c r="D15" s="532"/>
      <c r="E15" s="532"/>
      <c r="F15" s="532"/>
      <c r="G15" s="533"/>
    </row>
    <row r="16" ht="13.5" customHeight="1">
      <c r="A16" t="s" s="519">
        <v>372</v>
      </c>
      <c r="B16" s="534">
        <f>B6</f>
        <v>2015</v>
      </c>
      <c r="C16" s="534">
        <f>C6</f>
        <v>2016</v>
      </c>
      <c r="D16" s="534">
        <f>D6</f>
        <v>2017</v>
      </c>
      <c r="E16" s="534">
        <f>E6</f>
        <v>2018</v>
      </c>
      <c r="F16" s="534">
        <f>F6</f>
        <v>2019</v>
      </c>
      <c r="G16" s="535">
        <f>G6</f>
        <v>2020</v>
      </c>
    </row>
    <row r="17" ht="12.75" customHeight="1">
      <c r="A17" t="s" s="522">
        <v>373</v>
      </c>
      <c r="B17" s="523">
        <f>'Balanço'!C33/'Balanço'!C23</f>
        <v>0.9178210531612996</v>
      </c>
      <c r="C17" s="523">
        <f>'Balanço'!D33/'Balanço'!D23</f>
        <v>1.269245274969842</v>
      </c>
      <c r="D17" s="523">
        <f>'Balanço'!E33/'Balanço'!E23</f>
        <v>2.017223895831499</v>
      </c>
      <c r="E17" s="523">
        <f>'Balanço'!F33/'Balanço'!F23</f>
        <v>3.289046249908319</v>
      </c>
      <c r="F17" s="523">
        <f>'Balanço'!G33/'Balanço'!G23</f>
        <v>5.285207287020312</v>
      </c>
      <c r="G17" s="536">
        <f>'Balanço'!H33/'Balanço'!H23</f>
        <v>6.666981732422308</v>
      </c>
    </row>
    <row r="18" ht="12.75" customHeight="1">
      <c r="A18" t="s" s="525">
        <v>374</v>
      </c>
      <c r="B18" s="420">
        <f>'Balanço'!C23/'Balanço'!C49</f>
        <v>46.4685537416231</v>
      </c>
      <c r="C18" s="420">
        <f>'Balanço'!D23/'Balanço'!D49</f>
        <v>3.200795348923554</v>
      </c>
      <c r="D18" s="420">
        <f>'Balanço'!E23/'Balanço'!E49</f>
        <v>2.283015877780963</v>
      </c>
      <c r="E18" s="420">
        <f>'Balanço'!F23/'Balanço'!F49</f>
        <v>1.803479519021883</v>
      </c>
      <c r="F18" s="420">
        <f>'Balanço'!G23/'Balanço'!G49</f>
        <v>1.474259591316894</v>
      </c>
      <c r="G18" s="537">
        <f>'Balanço'!H23/'Balanço'!H49</f>
        <v>1.395044737539322</v>
      </c>
    </row>
    <row r="19" ht="13.5" customHeight="1">
      <c r="A19" t="s" s="525">
        <v>375</v>
      </c>
      <c r="B19" s="538">
        <f>'DR'!B26/'DR'!B28</f>
      </c>
      <c r="C19" s="538">
        <f>'DR'!C26/'DR'!C28</f>
      </c>
      <c r="D19" s="538">
        <f>'DR'!D26/'DR'!D28</f>
      </c>
      <c r="E19" s="538">
        <f>'DR'!E26/'DR'!E28</f>
      </c>
      <c r="F19" s="538">
        <f>'DR'!F26/'DR'!F28</f>
      </c>
      <c r="G19" s="539">
        <f>'DR'!G26/'DR'!G28</f>
      </c>
    </row>
    <row r="20" ht="13.5" customHeight="1">
      <c r="A20" s="528"/>
      <c r="B20" s="540"/>
      <c r="C20" s="540"/>
      <c r="D20" s="540"/>
      <c r="E20" s="540"/>
      <c r="F20" s="540"/>
      <c r="G20" s="541"/>
    </row>
    <row r="21" ht="13.5" customHeight="1">
      <c r="A21" t="s" s="519">
        <v>376</v>
      </c>
      <c r="B21" s="520">
        <f>B6</f>
        <v>2015</v>
      </c>
      <c r="C21" s="520">
        <f>C6</f>
        <v>2016</v>
      </c>
      <c r="D21" s="520">
        <f>D6</f>
        <v>2017</v>
      </c>
      <c r="E21" s="520">
        <f>E6</f>
        <v>2018</v>
      </c>
      <c r="F21" s="520">
        <f>F6</f>
        <v>2019</v>
      </c>
      <c r="G21" s="521">
        <f>G6</f>
        <v>2020</v>
      </c>
    </row>
    <row r="22" ht="12.75" customHeight="1">
      <c r="A22" t="s" s="522">
        <v>377</v>
      </c>
      <c r="B22" s="542">
        <f>'Balanço'!C15/'Balanço'!C42</f>
        <v>3.571797223822621</v>
      </c>
      <c r="C22" s="542">
        <f>'Balanço'!D15/'Balanço'!D42</f>
        <v>0.8849211275338961</v>
      </c>
      <c r="D22" s="542">
        <f>'Balanço'!E15/'Balanço'!E42</f>
        <v>0.8404183565198245</v>
      </c>
      <c r="E22" s="542">
        <f>'Balanço'!F15/'Balanço'!F42</f>
        <v>0.8043524455409229</v>
      </c>
      <c r="F22" s="542">
        <f>'Balanço'!G15/'Balanço'!G42</f>
        <v>0.8162563704850678</v>
      </c>
      <c r="G22" s="543">
        <f>'Balanço'!H15/'Balanço'!H42</f>
        <v>0.7723973178366614</v>
      </c>
    </row>
    <row r="23" ht="13.5" customHeight="1">
      <c r="A23" t="s" s="525">
        <v>378</v>
      </c>
      <c r="B23" s="544">
        <f>('Balanço'!C17+'Balanço'!C18+'Balanço'!C19+'Balanço'!C20+'Balanço'!C21+'Balanço'!C22)/'Balanço'!C42</f>
        <v>3.571797223822621</v>
      </c>
      <c r="C23" s="544">
        <f>('Balanço'!D17+'Balanço'!D18+'Balanço'!D19+'Balanço'!D20+'Balanço'!D21+'Balanço'!D22)/'Balanço'!D42</f>
        <v>0.8849211275338961</v>
      </c>
      <c r="D23" s="544">
        <f>('Balanço'!E17+'Balanço'!E18+'Balanço'!E19+'Balanço'!E20+'Balanço'!E21+'Balanço'!E22)/'Balanço'!E42</f>
        <v>0.8404183565198245</v>
      </c>
      <c r="E23" s="544">
        <f>('Balanço'!F17+'Balanço'!F18+'Balanço'!F19+'Balanço'!F20+'Balanço'!F21+'Balanço'!F22)/'Balanço'!F42</f>
        <v>0.8043524455409229</v>
      </c>
      <c r="F23" s="544">
        <f>('Balanço'!G17+'Balanço'!G18+'Balanço'!G19+'Balanço'!G20+'Balanço'!G21+'Balanço'!G22)/'Balanço'!G42</f>
        <v>0.8162563704850678</v>
      </c>
      <c r="G23" s="545">
        <f>('Balanço'!H17+'Balanço'!H18+'Balanço'!H19+'Balanço'!H20+'Balanço'!H21+'Balanço'!H22)/'Balanço'!H42</f>
        <v>0.7723973178366614</v>
      </c>
    </row>
    <row r="24" ht="13.5" customHeight="1">
      <c r="A24" s="528"/>
      <c r="B24" s="529"/>
      <c r="C24" s="529"/>
      <c r="D24" s="529"/>
      <c r="E24" s="529"/>
      <c r="F24" s="529"/>
      <c r="G24" s="530"/>
    </row>
    <row r="25" ht="13.5" customHeight="1">
      <c r="A25" t="s" s="519">
        <v>379</v>
      </c>
      <c r="B25" s="520">
        <f>B6</f>
        <v>2015</v>
      </c>
      <c r="C25" s="520">
        <f>C6</f>
        <v>2016</v>
      </c>
      <c r="D25" s="520">
        <f>D6</f>
        <v>2017</v>
      </c>
      <c r="E25" s="520">
        <f>E6</f>
        <v>2018</v>
      </c>
      <c r="F25" s="520">
        <f>F6</f>
        <v>2019</v>
      </c>
      <c r="G25" s="521">
        <f>G6</f>
        <v>2020</v>
      </c>
    </row>
    <row r="26" ht="12.75" customHeight="1">
      <c r="A26" t="s" s="522">
        <v>100</v>
      </c>
      <c r="B26" s="546">
        <f>'DR'!B8-'DR'!B11-'DR'!B13-'DR'!B14</f>
        <v>6120</v>
      </c>
      <c r="C26" s="546">
        <f>'DR'!C8-'DR'!C11-'DR'!C13-'DR'!C14</f>
        <v>27806.145</v>
      </c>
      <c r="D26" s="546">
        <f>'DR'!D8-'DR'!D11-'DR'!D13-'DR'!D14</f>
        <v>38021.325699</v>
      </c>
      <c r="E26" s="546">
        <f>'DR'!E8-'DR'!E11-'DR'!E13-'DR'!E14</f>
        <v>41165.176252238394</v>
      </c>
      <c r="F26" s="546">
        <f>'DR'!F8-'DR'!F11-'DR'!F13-'DR'!F14</f>
        <v>40947.832851938394</v>
      </c>
      <c r="G26" s="547">
        <f>'DR'!G8-'DR'!G11-'DR'!G13-'DR'!G14</f>
        <v>40723.9691496294</v>
      </c>
    </row>
    <row r="27" ht="12.75" customHeight="1">
      <c r="A27" t="s" s="525">
        <v>380</v>
      </c>
      <c r="B27" s="420">
        <f>B26/'DR'!B26</f>
        <v>-11.30949961008097</v>
      </c>
      <c r="C27" s="420">
        <f>C26/'DR'!C26</f>
        <v>3.839552793713695</v>
      </c>
      <c r="D27" s="420">
        <f>D26/'DR'!D26</f>
        <v>3.503092113836962</v>
      </c>
      <c r="E27" s="420">
        <f>E26/'DR'!E26</f>
        <v>3.027408217596974</v>
      </c>
      <c r="F27" s="420">
        <f>F26/'DR'!F26</f>
        <v>3.154649161402491</v>
      </c>
      <c r="G27" s="531">
        <f>G26/'DR'!G26</f>
        <v>2.729512589536887</v>
      </c>
    </row>
    <row r="28" ht="13.5" customHeight="1">
      <c r="A28" t="s" s="525">
        <v>381</v>
      </c>
      <c r="B28" s="526">
        <f>'DR'!B26/'DR'!B29</f>
        <v>1</v>
      </c>
      <c r="C28" s="526">
        <f>'DR'!C26/'DR'!C29</f>
        <v>1</v>
      </c>
      <c r="D28" s="526">
        <f>'DR'!D26/'DR'!D29</f>
        <v>1</v>
      </c>
      <c r="E28" s="526">
        <f>'DR'!E26/'DR'!E29</f>
        <v>1</v>
      </c>
      <c r="F28" s="526">
        <f>'DR'!F26/'DR'!F29</f>
        <v>1</v>
      </c>
      <c r="G28" s="527">
        <f>'DR'!G26/'DR'!G29</f>
        <v>1</v>
      </c>
    </row>
  </sheetData>
  <mergeCells count="1">
    <mergeCell ref="A4:G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dimension ref="A1:O62"/>
  <sheetViews>
    <sheetView workbookViewId="0" showGridLines="0" defaultGridColor="1"/>
  </sheetViews>
  <sheetFormatPr defaultColWidth="6.5" defaultRowHeight="12.75" customHeight="1" outlineLevelRow="0" outlineLevelCol="0"/>
  <cols>
    <col min="1" max="1" width="23.625" style="548" customWidth="1"/>
    <col min="2" max="2" width="8.625" style="548" customWidth="1"/>
    <col min="3" max="3" width="8.625" style="548" customWidth="1"/>
    <col min="4" max="4" width="8.625" style="548" customWidth="1"/>
    <col min="5" max="5" width="8.625" style="548" customWidth="1"/>
    <col min="6" max="6" width="8.625" style="548" customWidth="1"/>
    <col min="7" max="7" width="8.625" style="548" customWidth="1"/>
    <col min="8" max="8" width="8.625" style="548" customWidth="1"/>
    <col min="9" max="9" width="8.625" style="548" customWidth="1"/>
    <col min="10" max="10" width="6.5" style="548" customWidth="1"/>
    <col min="11" max="11" width="8.875" style="548" customWidth="1"/>
    <col min="12" max="12" width="6.5" style="548" customWidth="1"/>
    <col min="13" max="13" width="6.5" style="548" customWidth="1"/>
    <col min="14" max="14" width="11.125" style="548" customWidth="1"/>
    <col min="15" max="15" width="9.875" style="548" customWidth="1"/>
    <col min="16" max="256" width="6.5" style="548" customWidth="1"/>
  </cols>
  <sheetData>
    <row r="1" ht="13.5" customHeight="1">
      <c r="A1" s="197"/>
      <c r="B1" s="3"/>
      <c r="C1" s="515"/>
      <c r="D1" s="515"/>
      <c r="E1" s="515"/>
      <c r="F1" s="515"/>
      <c r="G1" s="515"/>
      <c r="H1" t="s" s="105">
        <f>'VN'!G1</f>
        <v>20</v>
      </c>
      <c r="I1" t="s" s="40">
        <f>'Pressupostos'!E1</f>
        <v>58</v>
      </c>
      <c r="J1" s="549"/>
      <c r="K1" s="4"/>
      <c r="L1" s="4"/>
      <c r="M1" s="4"/>
      <c r="N1" s="4"/>
      <c r="O1" s="5"/>
    </row>
    <row r="2" ht="12.75" customHeight="1">
      <c r="A2" s="41"/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  <c r="N2" s="8"/>
      <c r="O2" s="9"/>
    </row>
    <row r="3" ht="12.75" customHeight="1">
      <c r="A3" s="41"/>
      <c r="B3" s="7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  <c r="O3" s="9"/>
    </row>
    <row r="4" ht="12.75" customHeight="1">
      <c r="A4" t="s" s="550">
        <v>382</v>
      </c>
      <c r="B4" s="551"/>
      <c r="C4" s="551"/>
      <c r="D4" s="551"/>
      <c r="E4" s="551"/>
      <c r="F4" s="551"/>
      <c r="G4" s="551"/>
      <c r="H4" s="551"/>
      <c r="I4" s="551"/>
      <c r="J4" s="8"/>
      <c r="K4" s="8"/>
      <c r="L4" s="8"/>
      <c r="M4" s="8"/>
      <c r="N4" s="8"/>
      <c r="O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12"/>
      <c r="J5" s="8"/>
      <c r="K5" s="8"/>
      <c r="L5" s="8"/>
      <c r="M5" s="8"/>
      <c r="N5" s="8"/>
      <c r="O5" s="9"/>
    </row>
    <row r="6" ht="12.75" customHeight="1">
      <c r="A6" s="48"/>
      <c r="B6" s="49"/>
      <c r="C6" s="150"/>
      <c r="D6" s="150"/>
      <c r="E6" s="150"/>
      <c r="F6" s="150"/>
      <c r="G6" s="150"/>
      <c r="H6" s="150"/>
      <c r="I6" s="49"/>
      <c r="J6" s="8"/>
      <c r="K6" s="8"/>
      <c r="L6" s="8"/>
      <c r="M6" s="8"/>
      <c r="N6" s="8"/>
      <c r="O6" s="9"/>
    </row>
    <row r="7" ht="12.75" customHeight="1">
      <c r="A7" t="s" s="552">
        <v>383</v>
      </c>
      <c r="B7" s="553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119">
        <f>H7+1</f>
        <v>2021</v>
      </c>
      <c r="J7" s="72"/>
      <c r="K7" s="8"/>
      <c r="L7" s="8"/>
      <c r="M7" s="8"/>
      <c r="N7" s="8"/>
      <c r="O7" s="9"/>
    </row>
    <row r="8" ht="12.75" customHeight="1">
      <c r="A8" s="56"/>
      <c r="B8" s="31"/>
      <c r="C8" s="554"/>
      <c r="D8" s="554"/>
      <c r="E8" s="554"/>
      <c r="F8" s="554"/>
      <c r="G8" s="554"/>
      <c r="H8" s="554"/>
      <c r="I8" s="554"/>
      <c r="J8" s="8"/>
      <c r="K8" s="8"/>
      <c r="L8" s="8"/>
      <c r="M8" s="8"/>
      <c r="N8" s="8"/>
      <c r="O8" s="9"/>
    </row>
    <row r="9" ht="12.75" customHeight="1">
      <c r="A9" t="s" s="85">
        <v>384</v>
      </c>
      <c r="B9" s="118"/>
      <c r="C9" s="316">
        <f>'Cash Flow'!C21+'PlanoFinanceiro'!C12-'PlanoFinanceiro'!C23-'DR'!B28</f>
        <v>-11318.235215</v>
      </c>
      <c r="D9" s="316">
        <f>'Cash Flow'!D21+'PlanoFinanceiro'!D12-'PlanoFinanceiro'!D23-'DR'!C28</f>
        <v>6911.756893333330</v>
      </c>
      <c r="E9" s="316">
        <f>'Cash Flow'!E21+'PlanoFinanceiro'!E12-'PlanoFinanceiro'!E23-'DR'!D28</f>
        <v>10081.377573915</v>
      </c>
      <c r="F9" s="316">
        <f>'Cash Flow'!F21+'PlanoFinanceiro'!F12-'PlanoFinanceiro'!F23-'DR'!E28</f>
        <v>12913.078754562135</v>
      </c>
      <c r="G9" s="316">
        <f>'Cash Flow'!G21+'PlanoFinanceiro'!G12-'PlanoFinanceiro'!G23-'DR'!F28</f>
        <v>12952.088988569365</v>
      </c>
      <c r="H9" s="316">
        <f>'Cash Flow'!H21+'PlanoFinanceiro'!H12-'PlanoFinanceiro'!H23-'DR'!G28</f>
        <v>12398.923343440711</v>
      </c>
      <c r="I9" s="316">
        <f>(H9*(1+'Pressupostos'!B37))/(I13-'Pressupostos'!B37)</f>
        <v>183324.8013782953</v>
      </c>
      <c r="J9" s="72"/>
      <c r="K9" s="90"/>
      <c r="L9" s="90"/>
      <c r="M9" s="90"/>
      <c r="N9" s="90"/>
      <c r="O9" s="9"/>
    </row>
    <row r="10" ht="12.75" customHeight="1">
      <c r="A10" s="56"/>
      <c r="B10" s="555"/>
      <c r="C10" s="555"/>
      <c r="D10" s="555"/>
      <c r="E10" s="555"/>
      <c r="F10" s="555"/>
      <c r="G10" s="555"/>
      <c r="H10" s="555"/>
      <c r="I10" s="555"/>
      <c r="J10" s="8"/>
      <c r="K10" s="556"/>
      <c r="L10" t="s" s="557">
        <v>114</v>
      </c>
      <c r="M10" t="s" s="557">
        <v>385</v>
      </c>
      <c r="N10" s="556"/>
      <c r="O10" s="9"/>
    </row>
    <row r="11" ht="12.75" customHeight="1">
      <c r="A11" t="s" s="249">
        <v>386</v>
      </c>
      <c r="B11" s="558"/>
      <c r="C11" s="559">
        <f>'Pressupostos'!B34</f>
        <v>0.016</v>
      </c>
      <c r="D11" s="559">
        <f>C11*(1+'VN'!D9)</f>
        <v>0.01648</v>
      </c>
      <c r="E11" s="559">
        <f>D11*(1+'VN'!E9)</f>
        <v>0.0169744</v>
      </c>
      <c r="F11" s="559">
        <f>E11*(1+'VN'!F9)</f>
        <v>0.017483632</v>
      </c>
      <c r="G11" s="559">
        <f>F11*(1+'VN'!G9)</f>
        <v>0.018008140960</v>
      </c>
      <c r="H11" s="559">
        <f>G11*(1+'VN'!H9)</f>
        <v>0.0185483851888</v>
      </c>
      <c r="I11" s="559">
        <f>H11*(1+'VN'!H9)</f>
        <v>0.019104836744464</v>
      </c>
      <c r="J11" s="72"/>
      <c r="K11" t="s" s="557">
        <v>387</v>
      </c>
      <c r="L11" s="560">
        <f>C16</f>
        <v>-11318.235215</v>
      </c>
      <c r="M11" s="560">
        <f>L11</f>
        <v>-11318.235215</v>
      </c>
      <c r="N11" t="b" s="561">
        <f>IF(M11&gt;0,M11/L11*12)</f>
        <v>0</v>
      </c>
      <c r="O11" s="9"/>
    </row>
    <row r="12" ht="12.75" customHeight="1">
      <c r="A12" t="s" s="249">
        <v>388</v>
      </c>
      <c r="B12" s="558"/>
      <c r="C12" s="559">
        <f>'Pressupostos'!B35</f>
        <v>0.1</v>
      </c>
      <c r="D12" s="559">
        <f>C12</f>
        <v>0.1</v>
      </c>
      <c r="E12" s="559">
        <f>D12</f>
        <v>0.1</v>
      </c>
      <c r="F12" s="559">
        <f>E12</f>
        <v>0.1</v>
      </c>
      <c r="G12" s="559">
        <f>F12</f>
        <v>0.1</v>
      </c>
      <c r="H12" s="559">
        <f>G12</f>
        <v>0.1</v>
      </c>
      <c r="I12" s="559">
        <f>H12</f>
        <v>0.1</v>
      </c>
      <c r="J12" s="72"/>
      <c r="K12" t="s" s="557">
        <v>389</v>
      </c>
      <c r="L12" s="560">
        <f>D16</f>
        <v>6181.543520360216</v>
      </c>
      <c r="M12" s="560">
        <f>M11+L12</f>
        <v>-5136.691694639784</v>
      </c>
      <c r="N12" t="b" s="561">
        <f>IF(M12&gt;0,M12/L12*12)</f>
        <v>0</v>
      </c>
      <c r="O12" s="9"/>
    </row>
    <row r="13" ht="12.75" customHeight="1">
      <c r="A13" t="s" s="249">
        <v>390</v>
      </c>
      <c r="B13" s="558"/>
      <c r="C13" s="559">
        <f>(1+C11)*(1+C12)-1</f>
        <v>0.1176000000000001</v>
      </c>
      <c r="D13" s="559">
        <f>(1+D11)*(1+D12)-1</f>
        <v>0.1181280000000002</v>
      </c>
      <c r="E13" s="559">
        <f>(1+E11)*(1+E12)-1</f>
        <v>0.1186718400000002</v>
      </c>
      <c r="F13" s="559">
        <f>(1+F11)*(1+F12)-1</f>
        <v>0.1192319952000001</v>
      </c>
      <c r="G13" s="559">
        <f>(1+G11)*(1+G12)-1</f>
        <v>0.119808955056</v>
      </c>
      <c r="H13" s="559">
        <f>(1+H11)*(1+H12)-1</f>
        <v>0.12040322370768</v>
      </c>
      <c r="I13" s="559">
        <f>(1+I11)*(1+I12)-1</f>
        <v>0.1210153204189104</v>
      </c>
      <c r="J13" s="72"/>
      <c r="K13" t="s" s="557">
        <v>391</v>
      </c>
      <c r="L13" s="560">
        <f>E16</f>
        <v>8059.825728936923</v>
      </c>
      <c r="M13" s="560">
        <f>M12+L13</f>
        <v>2923.134034297139</v>
      </c>
      <c r="N13" s="560">
        <f>IF(M13&gt;0,M13/L13*12)</f>
        <v>4.352154698038656</v>
      </c>
      <c r="O13" s="9"/>
    </row>
    <row r="14" ht="12.75" customHeight="1">
      <c r="A14" t="s" s="249">
        <v>392</v>
      </c>
      <c r="B14" s="558"/>
      <c r="C14" s="562">
        <v>1</v>
      </c>
      <c r="D14" s="563">
        <f>C14*(1+D13)</f>
        <v>1.118128</v>
      </c>
      <c r="E14" s="563">
        <f>D14*(1+E13)</f>
        <v>1.250818307115521</v>
      </c>
      <c r="F14" s="563">
        <f>E14*(1+F13)</f>
        <v>1.39995586950559</v>
      </c>
      <c r="G14" s="563">
        <f>F14*(1+G13)</f>
        <v>1.567683119355569</v>
      </c>
      <c r="H14" s="563">
        <f>G14*(1+H13)</f>
        <v>1.756437220678091</v>
      </c>
      <c r="I14" s="563">
        <f>H14*(1+I13)</f>
        <v>1.968993033734151</v>
      </c>
      <c r="J14" s="72"/>
      <c r="K14" t="s" s="557">
        <v>393</v>
      </c>
      <c r="L14" s="560">
        <f>F16</f>
        <v>9223.918436173655</v>
      </c>
      <c r="M14" s="560">
        <f>M13+L14</f>
        <v>12147.052470470793</v>
      </c>
      <c r="N14" s="560">
        <f>IF(M14&gt;0,M14/L14*12)</f>
        <v>15.8028966381577</v>
      </c>
      <c r="O14" s="9"/>
    </row>
    <row r="15" ht="12.75" customHeight="1">
      <c r="A15" s="56"/>
      <c r="B15" s="555"/>
      <c r="C15" s="564"/>
      <c r="D15" s="565"/>
      <c r="E15" s="565"/>
      <c r="F15" s="565"/>
      <c r="G15" s="565"/>
      <c r="H15" s="565"/>
      <c r="I15" s="565"/>
      <c r="J15" s="8"/>
      <c r="K15" t="s" s="557">
        <v>394</v>
      </c>
      <c r="L15" s="560">
        <f>G16</f>
        <v>8261.930506653416</v>
      </c>
      <c r="M15" s="560">
        <f>M14+L15</f>
        <v>20408.982977124208</v>
      </c>
      <c r="N15" s="560">
        <f>IF(M15&gt;0,M15/L15*12)</f>
        <v>29.6429261330949</v>
      </c>
      <c r="O15" s="9"/>
    </row>
    <row r="16" ht="12.75" customHeight="1">
      <c r="A16" t="s" s="85">
        <v>395</v>
      </c>
      <c r="B16" s="118"/>
      <c r="C16" s="316">
        <f>C9/C14</f>
        <v>-11318.235215</v>
      </c>
      <c r="D16" s="316">
        <f>D9/D14</f>
        <v>6181.543520360216</v>
      </c>
      <c r="E16" s="316">
        <f>E9/E14</f>
        <v>8059.825728936923</v>
      </c>
      <c r="F16" s="316">
        <f>F9/F14</f>
        <v>9223.918436173655</v>
      </c>
      <c r="G16" s="316">
        <f>G9/G14</f>
        <v>8261.930506653416</v>
      </c>
      <c r="H16" s="316">
        <f>H9/H14</f>
        <v>7059.132656420235</v>
      </c>
      <c r="I16" s="316">
        <f>I9/I14</f>
        <v>93105.865910873210</v>
      </c>
      <c r="J16" s="72"/>
      <c r="K16" t="s" s="557">
        <v>396</v>
      </c>
      <c r="L16" s="560">
        <f>H16</f>
        <v>7059.132656420235</v>
      </c>
      <c r="M16" s="560">
        <f>M15+L16</f>
        <v>27468.115633544443</v>
      </c>
      <c r="N16" s="560">
        <f>IF(M16&gt;0,M16/L16*12)</f>
        <v>46.69375171788965</v>
      </c>
      <c r="O16" s="9"/>
    </row>
    <row r="17" ht="12.75" customHeight="1">
      <c r="A17" s="566"/>
      <c r="B17" s="188"/>
      <c r="C17" s="567"/>
      <c r="D17" s="567"/>
      <c r="E17" s="567"/>
      <c r="F17" s="567"/>
      <c r="G17" s="567"/>
      <c r="H17" s="567"/>
      <c r="I17" s="567"/>
      <c r="J17" s="8"/>
      <c r="K17" t="s" s="557">
        <v>397</v>
      </c>
      <c r="L17" s="560">
        <f>I16</f>
        <v>93105.865910873210</v>
      </c>
      <c r="M17" s="560">
        <f>M16+L17</f>
        <v>120573.9815444176</v>
      </c>
      <c r="N17" s="560">
        <f>IF(M17&gt;0,M17/L17*12)</f>
        <v>15.54024297371407</v>
      </c>
      <c r="O17" s="9"/>
    </row>
    <row r="18" ht="12.75" customHeight="1">
      <c r="A18" s="568"/>
      <c r="B18" s="118"/>
      <c r="C18" s="316">
        <f>C16</f>
        <v>-11318.235215</v>
      </c>
      <c r="D18" s="316">
        <f>SUM($C$16:D16)</f>
        <v>-5136.691694639784</v>
      </c>
      <c r="E18" s="316">
        <f>SUM($C$16:E16)</f>
        <v>2923.134034297139</v>
      </c>
      <c r="F18" s="316">
        <f>SUM($C$16:F16)</f>
        <v>12147.052470470793</v>
      </c>
      <c r="G18" s="316">
        <f>SUM($C$16:G16)</f>
        <v>20408.982977124208</v>
      </c>
      <c r="H18" s="316">
        <f>SUM($C$16:H16)</f>
        <v>27468.115633544443</v>
      </c>
      <c r="I18" s="316">
        <f>SUM($C$16:I16)</f>
        <v>120573.9815444176</v>
      </c>
      <c r="J18" s="72"/>
      <c r="K18" s="90"/>
      <c r="L18" s="90"/>
      <c r="M18" s="90"/>
      <c r="N18" s="90"/>
      <c r="O18" s="9"/>
    </row>
    <row r="19" ht="12.75" customHeight="1">
      <c r="A19" s="56"/>
      <c r="B19" s="31"/>
      <c r="C19" s="569"/>
      <c r="D19" s="81"/>
      <c r="E19" s="81"/>
      <c r="F19" s="81"/>
      <c r="G19" s="570"/>
      <c r="H19" s="570"/>
      <c r="I19" s="570"/>
      <c r="J19" s="8"/>
      <c r="K19" s="90"/>
      <c r="L19" s="90"/>
      <c r="M19" s="90"/>
      <c r="N19" s="90"/>
      <c r="O19" s="9"/>
    </row>
    <row r="20" ht="12.75" customHeight="1">
      <c r="A20" t="s" s="85">
        <v>398</v>
      </c>
      <c r="B20" s="118"/>
      <c r="C20" s="316">
        <f>I18</f>
        <v>120573.9815444176</v>
      </c>
      <c r="D20" s="571"/>
      <c r="E20" s="572"/>
      <c r="F20" s="573"/>
      <c r="G20" s="574"/>
      <c r="H20" s="575"/>
      <c r="I20" s="575"/>
      <c r="J20" s="8"/>
      <c r="K20" s="90"/>
      <c r="L20" s="90"/>
      <c r="M20" s="90"/>
      <c r="N20" s="90"/>
      <c r="O20" s="9"/>
    </row>
    <row r="21" ht="12.75" customHeight="1">
      <c r="A21" s="56"/>
      <c r="B21" s="576"/>
      <c r="C21" s="554"/>
      <c r="D21" s="577"/>
      <c r="E21" s="577"/>
      <c r="F21" s="577"/>
      <c r="G21" s="577"/>
      <c r="H21" s="577"/>
      <c r="I21" s="577"/>
      <c r="J21" s="578"/>
      <c r="K21" s="90"/>
      <c r="L21" s="90"/>
      <c r="M21" s="90"/>
      <c r="N21" s="578"/>
      <c r="O21" s="9"/>
    </row>
    <row r="22" ht="12.75" customHeight="1">
      <c r="A22" s="568"/>
      <c r="B22" s="118"/>
      <c r="C22" s="420">
        <f>IRR(C9,0.1)</f>
      </c>
      <c r="D22" s="420">
        <f>IRR($C$9:D9,0.1)</f>
        <v>-0.3893255651576129</v>
      </c>
      <c r="E22" s="420">
        <f>IRR($C$9:E9,0.1)</f>
        <v>0.2972801276274466</v>
      </c>
      <c r="F22" s="420">
        <f>IRR($C$9:F9,0.1)</f>
        <v>0.6068643381747504</v>
      </c>
      <c r="G22" s="420">
        <f>IRR($C$9:G9,0.1)</f>
        <v>0.7289457532609064</v>
      </c>
      <c r="H22" s="420">
        <f>IRR($C$9:H9,0.1)</f>
        <v>0.7814102905706375</v>
      </c>
      <c r="I22" s="420">
        <f>IRR($C$9:I9,0.1)</f>
        <v>1.019162121442295</v>
      </c>
      <c r="J22" s="579"/>
      <c r="K22" s="90"/>
      <c r="L22" s="90"/>
      <c r="M22" s="90"/>
      <c r="N22" s="578"/>
      <c r="O22" s="9"/>
    </row>
    <row r="23" ht="12.75" customHeight="1">
      <c r="A23" s="56"/>
      <c r="B23" s="576"/>
      <c r="C23" s="554"/>
      <c r="D23" s="570"/>
      <c r="E23" s="570"/>
      <c r="F23" s="570"/>
      <c r="G23" s="570"/>
      <c r="H23" s="570"/>
      <c r="I23" s="570"/>
      <c r="J23" s="578"/>
      <c r="K23" s="90"/>
      <c r="L23" s="90"/>
      <c r="M23" s="90"/>
      <c r="N23" s="578"/>
      <c r="O23" s="9"/>
    </row>
    <row r="24" ht="12.75" customHeight="1">
      <c r="A24" t="s" s="85">
        <v>399</v>
      </c>
      <c r="B24" s="118"/>
      <c r="C24" s="580">
        <f>I22</f>
        <v>1.019162121442295</v>
      </c>
      <c r="D24" s="581"/>
      <c r="E24" s="582"/>
      <c r="F24" s="582"/>
      <c r="G24" s="582"/>
      <c r="H24" s="572"/>
      <c r="I24" s="572"/>
      <c r="J24" s="578"/>
      <c r="K24" s="90"/>
      <c r="L24" s="90"/>
      <c r="M24" s="90"/>
      <c r="N24" s="578"/>
      <c r="O24" s="9"/>
    </row>
    <row r="25" ht="12.75" customHeight="1">
      <c r="A25" s="56"/>
      <c r="B25" s="31"/>
      <c r="C25" s="583"/>
      <c r="D25" s="584"/>
      <c r="E25" s="582"/>
      <c r="F25" s="582"/>
      <c r="G25" s="582"/>
      <c r="H25" s="572"/>
      <c r="I25" s="572"/>
      <c r="J25" s="578"/>
      <c r="K25" s="90"/>
      <c r="L25" s="90"/>
      <c r="M25" s="90"/>
      <c r="N25" s="578"/>
      <c r="O25" s="9"/>
    </row>
    <row r="26" ht="12.75" customHeight="1">
      <c r="A26" t="s" s="85">
        <v>400</v>
      </c>
      <c r="B26" s="118"/>
      <c r="C26" s="316">
        <f>COUNTIF(N11:N16,"falso")</f>
        <v>2</v>
      </c>
      <c r="D26" t="s" s="585">
        <v>401</v>
      </c>
      <c r="E26" s="581"/>
      <c r="F26" s="582"/>
      <c r="G26" s="582"/>
      <c r="H26" s="572"/>
      <c r="I26" s="572"/>
      <c r="J26" s="578"/>
      <c r="K26" s="90"/>
      <c r="L26" s="90"/>
      <c r="M26" s="90"/>
      <c r="N26" s="578"/>
      <c r="O26" s="9"/>
    </row>
    <row r="27" ht="12.75" customHeight="1">
      <c r="A27" s="124"/>
      <c r="B27" s="81"/>
      <c r="C27" s="81"/>
      <c r="D27" s="81"/>
      <c r="E27" s="7"/>
      <c r="F27" s="7"/>
      <c r="G27" s="7"/>
      <c r="H27" s="7"/>
      <c r="I27" s="7"/>
      <c r="J27" s="8"/>
      <c r="K27" s="8"/>
      <c r="L27" s="8"/>
      <c r="M27" s="8"/>
      <c r="N27" s="8"/>
      <c r="O27" s="9"/>
    </row>
    <row r="28" ht="12.75" customHeight="1">
      <c r="A28" s="48"/>
      <c r="B28" s="49"/>
      <c r="C28" s="150"/>
      <c r="D28" s="150"/>
      <c r="E28" s="150"/>
      <c r="F28" s="150"/>
      <c r="G28" s="150"/>
      <c r="H28" s="150"/>
      <c r="I28" s="49"/>
      <c r="J28" s="8"/>
      <c r="K28" s="90"/>
      <c r="L28" s="90"/>
      <c r="M28" s="90"/>
      <c r="N28" s="90"/>
      <c r="O28" s="91"/>
    </row>
    <row r="29" ht="12.75" customHeight="1">
      <c r="A29" t="s" s="552">
        <v>402</v>
      </c>
      <c r="B29" s="553"/>
      <c r="C29" s="119">
        <f>'VN'!C8</f>
        <v>2015</v>
      </c>
      <c r="D29" s="119">
        <f>'VN'!D8</f>
        <v>2016</v>
      </c>
      <c r="E29" s="119">
        <f>'VN'!E8</f>
        <v>2017</v>
      </c>
      <c r="F29" s="119">
        <f>'VN'!F8</f>
        <v>2018</v>
      </c>
      <c r="G29" s="119">
        <f>'VN'!G8</f>
        <v>2019</v>
      </c>
      <c r="H29" s="119">
        <f>'VN'!H8</f>
        <v>2020</v>
      </c>
      <c r="I29" s="119">
        <f>H29+1</f>
        <v>2021</v>
      </c>
      <c r="J29" s="72"/>
      <c r="K29" s="556"/>
      <c r="L29" t="s" s="557">
        <v>114</v>
      </c>
      <c r="M29" t="s" s="557">
        <v>385</v>
      </c>
      <c r="N29" s="556"/>
      <c r="O29" s="91"/>
    </row>
    <row r="30" ht="12.75" customHeight="1">
      <c r="A30" s="56"/>
      <c r="B30" s="31"/>
      <c r="C30" s="554"/>
      <c r="D30" s="554"/>
      <c r="E30" s="554"/>
      <c r="F30" s="554"/>
      <c r="G30" s="554"/>
      <c r="H30" s="554"/>
      <c r="I30" s="554"/>
      <c r="J30" s="8"/>
      <c r="K30" t="s" s="557">
        <v>387</v>
      </c>
      <c r="L30" s="560">
        <f>C36</f>
        <v>-11318.235215</v>
      </c>
      <c r="M30" s="560">
        <f>L30</f>
        <v>-11318.235215</v>
      </c>
      <c r="N30" t="b" s="561">
        <f>IF(M30&gt;0,M30/L30*12)</f>
        <v>0</v>
      </c>
      <c r="O30" s="91"/>
    </row>
    <row r="31" ht="12.75" customHeight="1">
      <c r="A31" t="s" s="85">
        <v>54</v>
      </c>
      <c r="B31" s="118"/>
      <c r="C31" s="316">
        <f>'Cash Flow'!C21</f>
        <v>-11318.235215</v>
      </c>
      <c r="D31" s="316">
        <f>'Cash Flow'!D21</f>
        <v>6911.756893333330</v>
      </c>
      <c r="E31" s="316">
        <f>'Cash Flow'!E21</f>
        <v>10081.377573915</v>
      </c>
      <c r="F31" s="316">
        <f>'Cash Flow'!F21</f>
        <v>12913.078754562135</v>
      </c>
      <c r="G31" s="316">
        <f>'Cash Flow'!G21</f>
        <v>12952.088988569365</v>
      </c>
      <c r="H31" s="316">
        <f>'Cash Flow'!H21</f>
        <v>12398.923343440711</v>
      </c>
      <c r="I31" s="316">
        <f>(H31*(1+'Pressupostos'!B37))/(I33-'Pressupostos'!B37)</f>
        <v>189922.3369705268</v>
      </c>
      <c r="J31" s="72"/>
      <c r="K31" t="s" s="557">
        <v>389</v>
      </c>
      <c r="L31" s="560">
        <f>D36</f>
        <v>6190.667896723031</v>
      </c>
      <c r="M31" s="560">
        <f>M30+L31</f>
        <v>-5127.567318276970</v>
      </c>
      <c r="N31" t="b" s="561">
        <f>IF(M31&gt;0,M31/L31*12)</f>
        <v>0</v>
      </c>
      <c r="O31" s="91"/>
    </row>
    <row r="32" ht="12.75" customHeight="1">
      <c r="A32" s="566"/>
      <c r="B32" s="188"/>
      <c r="C32" s="567"/>
      <c r="D32" s="567"/>
      <c r="E32" s="567"/>
      <c r="F32" s="567"/>
      <c r="G32" s="567"/>
      <c r="H32" s="567"/>
      <c r="I32" s="567"/>
      <c r="J32" s="8"/>
      <c r="K32" t="s" s="557">
        <v>391</v>
      </c>
      <c r="L32" s="560">
        <f>E36</f>
        <v>8083.988985833263</v>
      </c>
      <c r="M32" s="560">
        <f>M31+L32</f>
        <v>2956.421667556293</v>
      </c>
      <c r="N32" s="586">
        <f>IF(M32&gt;0,M32/L32*12)</f>
        <v>4.388558677262806</v>
      </c>
      <c r="O32" s="91"/>
    </row>
    <row r="33" ht="12.75" customHeight="1">
      <c r="A33" t="s" s="249">
        <v>403</v>
      </c>
      <c r="B33" s="558"/>
      <c r="C33" s="559">
        <f>B60</f>
        <v>0.116</v>
      </c>
      <c r="D33" s="559">
        <f>C60</f>
        <v>0.11648</v>
      </c>
      <c r="E33" s="559">
        <f>D60</f>
        <v>0.1169744</v>
      </c>
      <c r="F33" s="559">
        <f>E60</f>
        <v>0.1174836319999999</v>
      </c>
      <c r="G33" s="559">
        <f>F60</f>
        <v>0.118008140960</v>
      </c>
      <c r="H33" s="559">
        <f>G60</f>
        <v>0.1185483851888</v>
      </c>
      <c r="I33" s="559">
        <f>H33</f>
        <v>0.1185483851888</v>
      </c>
      <c r="J33" s="72"/>
      <c r="K33" t="s" s="557">
        <v>393</v>
      </c>
      <c r="L33" s="560">
        <f>F36</f>
        <v>9266.046209497536</v>
      </c>
      <c r="M33" s="560">
        <f>M32+L33</f>
        <v>12222.467877053828</v>
      </c>
      <c r="N33" s="587">
        <f>IF(M33&gt;0,M33/L33*12)</f>
        <v>15.82871606816639</v>
      </c>
      <c r="O33" s="91"/>
    </row>
    <row r="34" ht="12.75" customHeight="1">
      <c r="A34" t="s" s="588">
        <v>404</v>
      </c>
      <c r="B34" s="589"/>
      <c r="C34" s="562">
        <v>1</v>
      </c>
      <c r="D34" s="563">
        <f>C34*(1+D33)</f>
        <v>1.11648</v>
      </c>
      <c r="E34" s="563">
        <f>D34*(1+E33)</f>
        <v>1.247079578112</v>
      </c>
      <c r="F34" s="563">
        <f>E34*(1+F33)</f>
        <v>1.393591016341625</v>
      </c>
      <c r="G34" s="563">
        <f>F34*(1+G33)</f>
        <v>1.558046101438657</v>
      </c>
      <c r="H34" s="563">
        <f>G34*(1+H33)</f>
        <v>1.742749950813915</v>
      </c>
      <c r="I34" s="563">
        <f>H34*(1+I33)</f>
        <v>1.949350143270766</v>
      </c>
      <c r="J34" s="72"/>
      <c r="K34" t="s" s="557">
        <v>394</v>
      </c>
      <c r="L34" s="560">
        <f>G36</f>
        <v>8313.033212951632</v>
      </c>
      <c r="M34" s="560">
        <f>M33+L34</f>
        <v>20535.501090005462</v>
      </c>
      <c r="N34" s="587">
        <f>IF(M34&gt;0,M34/L34*12)</f>
        <v>29.64333315740108</v>
      </c>
      <c r="O34" s="91"/>
    </row>
    <row r="35" ht="12.75" customHeight="1">
      <c r="A35" s="48"/>
      <c r="B35" s="590"/>
      <c r="C35" s="555"/>
      <c r="D35" s="555"/>
      <c r="E35" s="555"/>
      <c r="F35" s="555"/>
      <c r="G35" s="555"/>
      <c r="H35" s="555"/>
      <c r="I35" s="555"/>
      <c r="J35" s="8"/>
      <c r="K35" t="s" s="557">
        <v>396</v>
      </c>
      <c r="L35" s="560">
        <f>H36</f>
        <v>7114.573916728586</v>
      </c>
      <c r="M35" s="560">
        <f>M34+L35</f>
        <v>27650.075006734049</v>
      </c>
      <c r="N35" s="587">
        <f>IF(M35&gt;0,M35/L35*12)</f>
        <v>46.63679145994126</v>
      </c>
      <c r="O35" s="91"/>
    </row>
    <row r="36" ht="12.75" customHeight="1">
      <c r="A36" t="s" s="85">
        <v>405</v>
      </c>
      <c r="B36" s="118"/>
      <c r="C36" s="316">
        <f>C31/C34</f>
        <v>-11318.235215</v>
      </c>
      <c r="D36" s="316">
        <f>D31/D34</f>
        <v>6190.667896723031</v>
      </c>
      <c r="E36" s="316">
        <f>E31/E34</f>
        <v>8083.988985833263</v>
      </c>
      <c r="F36" s="316">
        <f>F31/F34</f>
        <v>9266.046209497536</v>
      </c>
      <c r="G36" s="316">
        <f>G31/G34</f>
        <v>8313.033212951632</v>
      </c>
      <c r="H36" s="316">
        <f>H31/H34</f>
        <v>7114.573916728586</v>
      </c>
      <c r="I36" s="316">
        <f>I31/I34</f>
        <v>97428.539262762162</v>
      </c>
      <c r="J36" s="72"/>
      <c r="K36" s="90"/>
      <c r="L36" s="90"/>
      <c r="M36" s="90"/>
      <c r="N36" s="90"/>
      <c r="O36" s="91"/>
    </row>
    <row r="37" ht="12.75" customHeight="1">
      <c r="A37" s="56"/>
      <c r="B37" s="31"/>
      <c r="C37" s="569"/>
      <c r="D37" s="31"/>
      <c r="E37" s="31"/>
      <c r="F37" s="31"/>
      <c r="G37" s="554"/>
      <c r="H37" s="554"/>
      <c r="I37" s="554"/>
      <c r="J37" s="8"/>
      <c r="K37" s="90"/>
      <c r="L37" s="90"/>
      <c r="M37" s="90"/>
      <c r="N37" s="90"/>
      <c r="O37" s="91"/>
    </row>
    <row r="38" ht="12.75" customHeight="1">
      <c r="A38" s="568"/>
      <c r="B38" s="118"/>
      <c r="C38" s="316">
        <f>C36</f>
        <v>-11318.235215</v>
      </c>
      <c r="D38" s="316">
        <f>SUM($C$36:D36)</f>
        <v>-5127.567318276970</v>
      </c>
      <c r="E38" s="316">
        <f>SUM($C$36:E36)</f>
        <v>2956.421667556293</v>
      </c>
      <c r="F38" s="316">
        <f>SUM($C$36:F36)</f>
        <v>12222.467877053828</v>
      </c>
      <c r="G38" s="316">
        <f>SUM($C$36:G36)</f>
        <v>20535.501090005462</v>
      </c>
      <c r="H38" s="316">
        <f>SUM($C$36:H36)</f>
        <v>27650.075006734049</v>
      </c>
      <c r="I38" s="316">
        <f>SUM($C$36:I36)</f>
        <v>125078.6142694962</v>
      </c>
      <c r="J38" s="72"/>
      <c r="K38" s="90"/>
      <c r="L38" s="90"/>
      <c r="M38" s="90"/>
      <c r="N38" s="90"/>
      <c r="O38" s="91"/>
    </row>
    <row r="39" ht="12.75" customHeight="1">
      <c r="A39" s="56"/>
      <c r="B39" s="31"/>
      <c r="C39" s="569"/>
      <c r="D39" s="81"/>
      <c r="E39" s="81"/>
      <c r="F39" s="81"/>
      <c r="G39" s="570"/>
      <c r="H39" s="570"/>
      <c r="I39" s="570"/>
      <c r="J39" s="8"/>
      <c r="K39" s="90"/>
      <c r="L39" s="90"/>
      <c r="M39" s="90"/>
      <c r="N39" s="90"/>
      <c r="O39" s="91"/>
    </row>
    <row r="40" ht="12.75" customHeight="1">
      <c r="A40" t="s" s="85">
        <v>398</v>
      </c>
      <c r="B40" s="118"/>
      <c r="C40" s="316">
        <f>I38</f>
        <v>125078.6142694962</v>
      </c>
      <c r="D40" s="571"/>
      <c r="E40" s="572"/>
      <c r="F40" s="573"/>
      <c r="G40" s="574"/>
      <c r="H40" s="575"/>
      <c r="I40" s="575"/>
      <c r="J40" s="8"/>
      <c r="K40" s="90"/>
      <c r="L40" s="90"/>
      <c r="M40" s="90"/>
      <c r="N40" s="90"/>
      <c r="O40" s="91"/>
    </row>
    <row r="41" ht="12.75" customHeight="1">
      <c r="A41" s="56"/>
      <c r="B41" s="576"/>
      <c r="C41" s="554"/>
      <c r="D41" s="577"/>
      <c r="E41" s="577"/>
      <c r="F41" s="577"/>
      <c r="G41" s="577"/>
      <c r="H41" s="577"/>
      <c r="I41" s="577"/>
      <c r="J41" s="8"/>
      <c r="K41" s="90"/>
      <c r="L41" s="90"/>
      <c r="M41" s="90"/>
      <c r="N41" s="90"/>
      <c r="O41" s="91"/>
    </row>
    <row r="42" ht="12.75" customHeight="1">
      <c r="A42" s="568"/>
      <c r="B42" s="118"/>
      <c r="C42" s="420">
        <f>IRR(C31,0.1)</f>
      </c>
      <c r="D42" s="420">
        <f>IRR($C$31:D31,0.1)</f>
        <v>-0.3893255651576129</v>
      </c>
      <c r="E42" s="420">
        <f>IRR($C$31:E31,0.1)</f>
        <v>0.2972801276274466</v>
      </c>
      <c r="F42" s="420">
        <f>IRR($C$31:F31,0.1)</f>
        <v>0.6068643381747504</v>
      </c>
      <c r="G42" s="420">
        <f>IRR($C$31:G31,0.1)</f>
        <v>0.7289457532609064</v>
      </c>
      <c r="H42" s="420">
        <f>IRR($C$31:H31,0.1)</f>
        <v>0.7814102905706375</v>
      </c>
      <c r="I42" s="420">
        <f>IRR($C$31:I31,0.1)</f>
        <v>1.024844259815461</v>
      </c>
      <c r="J42" s="72"/>
      <c r="K42" s="8"/>
      <c r="L42" s="8"/>
      <c r="M42" s="8"/>
      <c r="N42" s="8"/>
      <c r="O42" s="9"/>
    </row>
    <row r="43" ht="12.75" customHeight="1">
      <c r="A43" s="56"/>
      <c r="B43" s="576"/>
      <c r="C43" s="554"/>
      <c r="D43" s="570"/>
      <c r="E43" s="570"/>
      <c r="F43" s="570"/>
      <c r="G43" s="570"/>
      <c r="H43" s="570"/>
      <c r="I43" s="570"/>
      <c r="J43" s="8"/>
      <c r="K43" s="8"/>
      <c r="L43" s="8"/>
      <c r="M43" s="8"/>
      <c r="N43" s="8"/>
      <c r="O43" s="9"/>
    </row>
    <row r="44" ht="12.75" customHeight="1">
      <c r="A44" t="s" s="85">
        <v>399</v>
      </c>
      <c r="B44" s="118"/>
      <c r="C44" s="580">
        <f>I42</f>
        <v>1.024844259815461</v>
      </c>
      <c r="D44" s="581"/>
      <c r="E44" s="582"/>
      <c r="F44" s="582"/>
      <c r="G44" s="582"/>
      <c r="H44" s="572"/>
      <c r="I44" s="572"/>
      <c r="J44" s="8"/>
      <c r="K44" s="8"/>
      <c r="L44" s="8"/>
      <c r="M44" s="8"/>
      <c r="N44" s="8"/>
      <c r="O44" s="9"/>
    </row>
    <row r="45" ht="12.75" customHeight="1">
      <c r="A45" s="56"/>
      <c r="B45" s="31"/>
      <c r="C45" s="31"/>
      <c r="D45" s="49"/>
      <c r="E45" s="7"/>
      <c r="F45" s="7"/>
      <c r="G45" s="7"/>
      <c r="H45" s="7"/>
      <c r="I45" s="7"/>
      <c r="J45" s="8"/>
      <c r="K45" s="8"/>
      <c r="L45" s="8"/>
      <c r="M45" s="8"/>
      <c r="N45" s="8"/>
      <c r="O45" s="9"/>
    </row>
    <row r="46" ht="12.75" customHeight="1">
      <c r="A46" t="s" s="85">
        <v>400</v>
      </c>
      <c r="B46" s="118"/>
      <c r="C46" s="316">
        <f>COUNTIF(N30:N35,"falso")</f>
        <v>2</v>
      </c>
      <c r="D46" t="s" s="585">
        <v>401</v>
      </c>
      <c r="E46" s="591"/>
      <c r="F46" s="7"/>
      <c r="G46" s="7"/>
      <c r="H46" s="7"/>
      <c r="I46" s="7"/>
      <c r="J46" s="8"/>
      <c r="K46" s="8"/>
      <c r="L46" s="8"/>
      <c r="M46" s="8"/>
      <c r="N46" s="8"/>
      <c r="O46" s="9"/>
    </row>
    <row r="47" ht="12.75" customHeight="1">
      <c r="A47" s="124"/>
      <c r="B47" s="81"/>
      <c r="C47" s="81"/>
      <c r="D47" s="81"/>
      <c r="E47" s="7"/>
      <c r="F47" s="7"/>
      <c r="G47" s="7"/>
      <c r="H47" s="7"/>
      <c r="I47" s="7"/>
      <c r="J47" s="8"/>
      <c r="K47" s="8"/>
      <c r="L47" s="8"/>
      <c r="M47" s="8"/>
      <c r="N47" s="8"/>
      <c r="O47" s="9"/>
    </row>
    <row r="48" ht="12.75" customHeight="1">
      <c r="A48" s="48"/>
      <c r="B48" s="150"/>
      <c r="C48" s="150"/>
      <c r="D48" s="150"/>
      <c r="E48" s="150"/>
      <c r="F48" s="150"/>
      <c r="G48" s="150"/>
      <c r="H48" s="7"/>
      <c r="I48" s="7"/>
      <c r="J48" s="8"/>
      <c r="K48" s="8"/>
      <c r="L48" s="8"/>
      <c r="M48" s="8"/>
      <c r="N48" s="8"/>
      <c r="O48" s="9"/>
    </row>
    <row r="49" ht="12.75" customHeight="1">
      <c r="A49" t="s" s="446">
        <v>406</v>
      </c>
      <c r="B49" s="119">
        <f>C29</f>
        <v>2015</v>
      </c>
      <c r="C49" s="119">
        <f>B49+1</f>
        <v>2016</v>
      </c>
      <c r="D49" s="119">
        <f>C49+1</f>
        <v>2017</v>
      </c>
      <c r="E49" s="119">
        <f>D49+1</f>
        <v>2018</v>
      </c>
      <c r="F49" s="119">
        <f>E49+1</f>
        <v>2019</v>
      </c>
      <c r="G49" s="119">
        <f>F49+1</f>
        <v>2020</v>
      </c>
      <c r="H49" s="64"/>
      <c r="I49" s="7"/>
      <c r="J49" s="8"/>
      <c r="K49" s="8"/>
      <c r="L49" s="8"/>
      <c r="M49" s="8"/>
      <c r="N49" s="8"/>
      <c r="O49" s="9"/>
    </row>
    <row r="50" ht="12.75" customHeight="1">
      <c r="A50" t="s" s="592">
        <v>407</v>
      </c>
      <c r="B50" s="407">
        <f>'Balanço'!C39+'Balanço'!C46</f>
        <v>0</v>
      </c>
      <c r="C50" s="407">
        <f>'Balanço'!D39+'Balanço'!D46</f>
        <v>0</v>
      </c>
      <c r="D50" s="407">
        <f>'Balanço'!E39+'Balanço'!E46</f>
        <v>0</v>
      </c>
      <c r="E50" s="407">
        <f>'Balanço'!F39+'Balanço'!F46</f>
        <v>1.455191522836685e-11</v>
      </c>
      <c r="F50" s="407">
        <f>'Balanço'!G39+'Balanço'!G46</f>
        <v>0</v>
      </c>
      <c r="G50" s="407">
        <f>'Balanço'!H39+'Balanço'!H46</f>
        <v>0</v>
      </c>
      <c r="H50" s="64"/>
      <c r="I50" s="7"/>
      <c r="J50" s="8"/>
      <c r="K50" s="8"/>
      <c r="L50" s="8"/>
      <c r="M50" s="8"/>
      <c r="N50" s="8"/>
      <c r="O50" s="9"/>
    </row>
    <row r="51" ht="12.75" customHeight="1">
      <c r="A51" t="s" s="592">
        <v>408</v>
      </c>
      <c r="B51" s="407">
        <f>'Balanço'!C33</f>
        <v>10195.282</v>
      </c>
      <c r="C51" s="407">
        <f>'Balanço'!D33</f>
        <v>16298.15787</v>
      </c>
      <c r="D51" s="407">
        <f>'Balanço'!E33</f>
        <v>25306.68499537</v>
      </c>
      <c r="E51" s="407">
        <f>'Balanço'!F33</f>
        <v>36592.608079927864</v>
      </c>
      <c r="F51" s="407">
        <f>'Balanço'!G33</f>
        <v>47366.136142236734</v>
      </c>
      <c r="G51" s="407">
        <f>'Balanço'!H33</f>
        <v>59749.627071629118</v>
      </c>
      <c r="H51" s="64"/>
      <c r="I51" s="7"/>
      <c r="J51" s="8"/>
      <c r="K51" s="8"/>
      <c r="L51" s="8"/>
      <c r="M51" s="8"/>
      <c r="N51" s="8"/>
      <c r="O51" s="9"/>
    </row>
    <row r="52" ht="12.75" customHeight="1">
      <c r="A52" t="s" s="593">
        <v>164</v>
      </c>
      <c r="B52" s="407">
        <f>B50+B51</f>
        <v>10195.282</v>
      </c>
      <c r="C52" s="407">
        <f>C50+C51</f>
        <v>16298.15787</v>
      </c>
      <c r="D52" s="407">
        <f>D50+D51</f>
        <v>25306.68499537</v>
      </c>
      <c r="E52" s="407">
        <f>E50+E51</f>
        <v>36592.608079927879</v>
      </c>
      <c r="F52" s="407">
        <f>F50+F51</f>
        <v>47366.136142236734</v>
      </c>
      <c r="G52" s="407">
        <f>G50+G51</f>
        <v>59749.627071629118</v>
      </c>
      <c r="H52" s="64"/>
      <c r="I52" s="7"/>
      <c r="J52" s="8"/>
      <c r="K52" s="8"/>
      <c r="L52" s="8"/>
      <c r="M52" s="8"/>
      <c r="N52" s="8"/>
      <c r="O52" s="9"/>
    </row>
    <row r="53" ht="12.75" customHeight="1">
      <c r="A53" t="s" s="592">
        <v>409</v>
      </c>
      <c r="B53" s="594">
        <f>B50/B52</f>
        <v>0</v>
      </c>
      <c r="C53" s="594">
        <f>C50/C52</f>
        <v>0</v>
      </c>
      <c r="D53" s="594">
        <f>D50/D52</f>
        <v>0</v>
      </c>
      <c r="E53" s="594">
        <f>E50/E52</f>
        <v>3.976736284164726e-16</v>
      </c>
      <c r="F53" s="594">
        <f>F50/F52</f>
        <v>0</v>
      </c>
      <c r="G53" s="594">
        <f>G50/G52</f>
        <v>0</v>
      </c>
      <c r="H53" s="64"/>
      <c r="I53" s="7"/>
      <c r="J53" s="8"/>
      <c r="K53" s="8"/>
      <c r="L53" s="8"/>
      <c r="M53" s="8"/>
      <c r="N53" s="8"/>
      <c r="O53" s="9"/>
    </row>
    <row r="54" ht="12.75" customHeight="1">
      <c r="A54" t="s" s="592">
        <v>410</v>
      </c>
      <c r="B54" s="594">
        <f>B51/B52</f>
        <v>1</v>
      </c>
      <c r="C54" s="594">
        <f>C51/C52</f>
        <v>1</v>
      </c>
      <c r="D54" s="594">
        <f>D51/D52</f>
        <v>1</v>
      </c>
      <c r="E54" s="594">
        <f>E51/E52</f>
        <v>0.9999999999999996</v>
      </c>
      <c r="F54" s="594">
        <f>F51/F52</f>
        <v>1</v>
      </c>
      <c r="G54" s="594">
        <f>G51/G52</f>
        <v>1</v>
      </c>
      <c r="H54" s="64"/>
      <c r="I54" s="7"/>
      <c r="J54" s="8"/>
      <c r="K54" s="8"/>
      <c r="L54" s="8"/>
      <c r="M54" s="8"/>
      <c r="N54" s="8"/>
      <c r="O54" s="9"/>
    </row>
    <row r="55" ht="12.75" customHeight="1">
      <c r="A55" s="124"/>
      <c r="B55" s="595"/>
      <c r="C55" s="81"/>
      <c r="D55" s="81"/>
      <c r="E55" s="81"/>
      <c r="F55" s="81"/>
      <c r="G55" s="81"/>
      <c r="H55" s="7"/>
      <c r="I55" s="7"/>
      <c r="J55" s="8"/>
      <c r="K55" s="8"/>
      <c r="L55" s="8"/>
      <c r="M55" s="8"/>
      <c r="N55" s="8"/>
      <c r="O55" s="9"/>
    </row>
    <row r="56" ht="12.75" customHeight="1">
      <c r="A56" t="s" s="596">
        <v>411</v>
      </c>
      <c r="B56" s="597"/>
      <c r="C56" s="49"/>
      <c r="D56" s="49"/>
      <c r="E56" s="49"/>
      <c r="F56" s="49"/>
      <c r="G56" s="49"/>
      <c r="H56" s="7"/>
      <c r="I56" s="7"/>
      <c r="J56" s="8"/>
      <c r="K56" s="8"/>
      <c r="L56" s="8"/>
      <c r="M56" s="8"/>
      <c r="N56" s="8"/>
      <c r="O56" s="9"/>
    </row>
    <row r="57" ht="12.75" customHeight="1">
      <c r="A57" t="s" s="592">
        <v>412</v>
      </c>
      <c r="B57" s="594">
        <f t="shared" si="193" ref="B57:G57">'Pressupostos'!$B$32</f>
        <v>0</v>
      </c>
      <c r="C57" s="594">
        <f t="shared" si="193"/>
        <v>0</v>
      </c>
      <c r="D57" s="594">
        <f t="shared" si="193"/>
        <v>0</v>
      </c>
      <c r="E57" s="594">
        <f t="shared" si="193"/>
        <v>0</v>
      </c>
      <c r="F57" s="594">
        <f t="shared" si="193"/>
        <v>0</v>
      </c>
      <c r="G57" s="594">
        <f t="shared" si="193"/>
        <v>0</v>
      </c>
      <c r="H57" s="64"/>
      <c r="I57" s="7"/>
      <c r="J57" s="8"/>
      <c r="K57" s="8"/>
      <c r="L57" s="8"/>
      <c r="M57" s="8"/>
      <c r="N57" s="8"/>
      <c r="O57" s="9"/>
    </row>
    <row r="58" ht="12.75" customHeight="1">
      <c r="A58" t="s" s="592">
        <v>413</v>
      </c>
      <c r="B58" s="594">
        <f>B57*(1-'Pressupostos'!$B$28)</f>
        <v>0</v>
      </c>
      <c r="C58" s="594">
        <f>C57*(1-'Pressupostos'!$B$28)</f>
        <v>0</v>
      </c>
      <c r="D58" s="594">
        <f>D57*(1-'Pressupostos'!$B$28)</f>
        <v>0</v>
      </c>
      <c r="E58" s="594">
        <f>E57*(1-'Pressupostos'!$B$28)</f>
        <v>0</v>
      </c>
      <c r="F58" s="594">
        <f>F57*(1-'Pressupostos'!$B$28)</f>
        <v>0</v>
      </c>
      <c r="G58" s="594">
        <f>G57*(1-'Pressupostos'!$B$28)</f>
        <v>0</v>
      </c>
      <c r="H58" s="64"/>
      <c r="I58" s="7"/>
      <c r="J58" s="8"/>
      <c r="K58" s="8"/>
      <c r="L58" s="8"/>
      <c r="M58" s="8"/>
      <c r="N58" s="8"/>
      <c r="O58" s="9"/>
    </row>
    <row r="59" ht="12.75" customHeight="1">
      <c r="A59" t="s" s="592">
        <v>414</v>
      </c>
      <c r="B59" s="594">
        <f>(C11+('Pressupostos'!$B$36*'Pressupostos'!$B$35))</f>
        <v>0.116</v>
      </c>
      <c r="C59" s="594">
        <f>(D11+('Pressupostos'!$B$36*'Pressupostos'!$B$35))</f>
        <v>0.11648</v>
      </c>
      <c r="D59" s="594">
        <f>(E11+('Pressupostos'!$B$36*'Pressupostos'!$B$35))</f>
        <v>0.1169744</v>
      </c>
      <c r="E59" s="594">
        <f>(F11+('Pressupostos'!$B$36*'Pressupostos'!$B$35))</f>
        <v>0.117483632</v>
      </c>
      <c r="F59" s="594">
        <f>(G11+('Pressupostos'!$B$36*'Pressupostos'!$B$35))</f>
        <v>0.118008140960</v>
      </c>
      <c r="G59" s="594">
        <f>(H11+('Pressupostos'!$B$36*'Pressupostos'!$B$35))</f>
        <v>0.1185483851888</v>
      </c>
      <c r="H59" s="64"/>
      <c r="I59" s="7"/>
      <c r="J59" s="8"/>
      <c r="K59" s="8"/>
      <c r="L59" s="8"/>
      <c r="M59" s="8"/>
      <c r="N59" s="8"/>
      <c r="O59" s="9"/>
    </row>
    <row r="60" ht="12.75" customHeight="1">
      <c r="A60" t="s" s="592">
        <v>415</v>
      </c>
      <c r="B60" s="594">
        <f>(B53*B58)+(B54*B59)</f>
        <v>0.116</v>
      </c>
      <c r="C60" s="594">
        <f>(C53*C58)+(C54*C59)</f>
        <v>0.11648</v>
      </c>
      <c r="D60" s="594">
        <f>(D53*D58)+(D54*D59)</f>
        <v>0.1169744</v>
      </c>
      <c r="E60" s="594">
        <f>(E53*E58)+(E54*E59)</f>
        <v>0.1174836319999999</v>
      </c>
      <c r="F60" s="594">
        <f>(F53*F58)+(F54*F59)</f>
        <v>0.118008140960</v>
      </c>
      <c r="G60" s="594">
        <f>(G53*G58)+(G54*G59)</f>
        <v>0.1185483851888</v>
      </c>
      <c r="H60" s="64"/>
      <c r="I60" s="7"/>
      <c r="J60" s="8"/>
      <c r="K60" s="8"/>
      <c r="L60" s="8"/>
      <c r="M60" s="8"/>
      <c r="N60" s="8"/>
      <c r="O60" s="9"/>
    </row>
    <row r="61" ht="12.75" customHeight="1">
      <c r="A61" s="124"/>
      <c r="B61" s="410"/>
      <c r="C61" s="410"/>
      <c r="D61" s="410"/>
      <c r="E61" s="410"/>
      <c r="F61" s="410"/>
      <c r="G61" s="410"/>
      <c r="H61" s="7"/>
      <c r="I61" s="7"/>
      <c r="J61" s="8"/>
      <c r="K61" s="8"/>
      <c r="L61" s="8"/>
      <c r="M61" s="8"/>
      <c r="N61" s="8"/>
      <c r="O61" s="9"/>
    </row>
    <row r="62" ht="12.75" customHeight="1">
      <c r="A62" s="490"/>
      <c r="B62" s="598"/>
      <c r="C62" s="491"/>
      <c r="D62" s="491"/>
      <c r="E62" s="491"/>
      <c r="F62" s="491"/>
      <c r="G62" s="491"/>
      <c r="H62" s="491"/>
      <c r="I62" s="491"/>
      <c r="J62" s="34"/>
      <c r="K62" s="34"/>
      <c r="L62" s="34"/>
      <c r="M62" s="34"/>
      <c r="N62" s="34"/>
      <c r="O62" s="35"/>
    </row>
  </sheetData>
  <mergeCells count="3">
    <mergeCell ref="A29:B29"/>
    <mergeCell ref="A4:I4"/>
    <mergeCell ref="A7:B7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91"/>
  <sheetViews>
    <sheetView workbookViewId="0" showGridLines="0" defaultGridColor="1"/>
  </sheetViews>
  <sheetFormatPr defaultColWidth="6.5" defaultRowHeight="12.75" customHeight="1" outlineLevelRow="0" outlineLevelCol="0"/>
  <cols>
    <col min="1" max="1" width="31.75" style="599" customWidth="1"/>
    <col min="2" max="2" width="10.25" style="599" customWidth="1"/>
    <col min="3" max="3" width="8.625" style="599" customWidth="1"/>
    <col min="4" max="4" width="8.625" style="599" customWidth="1"/>
    <col min="5" max="5" width="8.625" style="599" customWidth="1"/>
    <col min="6" max="6" width="8.625" style="599" customWidth="1"/>
    <col min="7" max="7" width="8.625" style="599" customWidth="1"/>
    <col min="8" max="8" width="8.625" style="599" customWidth="1"/>
    <col min="9" max="256" width="6.5" style="599" customWidth="1"/>
  </cols>
  <sheetData>
    <row r="1" ht="12.75" customHeight="1">
      <c r="A1" s="197"/>
      <c r="B1" s="3"/>
      <c r="C1" s="494"/>
      <c r="D1" s="494"/>
      <c r="E1" s="494"/>
      <c r="F1" s="494"/>
      <c r="G1" t="s" s="495">
        <v>20</v>
      </c>
      <c r="H1" t="s" s="600">
        <f>'Pressupostos'!E1</f>
        <v>332</v>
      </c>
    </row>
    <row r="2" ht="12.75" customHeight="1">
      <c r="A2" s="109"/>
      <c r="B2" s="200"/>
      <c r="C2" s="200"/>
      <c r="D2" s="200"/>
      <c r="E2" s="107"/>
      <c r="F2" s="107"/>
      <c r="G2" s="107"/>
      <c r="H2" s="202"/>
    </row>
    <row r="3" ht="12.75" customHeight="1">
      <c r="A3" s="109"/>
      <c r="B3" s="200"/>
      <c r="C3" s="200"/>
      <c r="D3" s="200"/>
      <c r="E3" s="107"/>
      <c r="F3" s="107"/>
      <c r="G3" s="107"/>
      <c r="H3" s="202"/>
    </row>
    <row r="4" ht="15.75" customHeight="1">
      <c r="A4" t="s" s="42">
        <v>416</v>
      </c>
      <c r="B4" s="11"/>
      <c r="C4" s="11"/>
      <c r="D4" s="11"/>
      <c r="E4" s="11"/>
      <c r="F4" s="11"/>
      <c r="G4" s="11"/>
      <c r="H4" s="203"/>
    </row>
    <row r="5" ht="12.75" customHeight="1">
      <c r="A5" s="43"/>
      <c r="B5" s="12"/>
      <c r="C5" s="12"/>
      <c r="D5" s="12"/>
      <c r="E5" s="12"/>
      <c r="F5" s="12"/>
      <c r="G5" s="12"/>
      <c r="H5" s="204"/>
    </row>
    <row r="6" ht="12.75" customHeight="1">
      <c r="A6" t="s" s="601">
        <v>417</v>
      </c>
      <c r="B6" s="49"/>
      <c r="C6" s="49"/>
      <c r="D6" s="49"/>
      <c r="E6" s="49"/>
      <c r="F6" s="49"/>
      <c r="G6" s="7"/>
      <c r="H6" s="329"/>
    </row>
    <row r="7" ht="12.75" customHeight="1">
      <c r="A7" t="s" s="602">
        <v>418</v>
      </c>
      <c r="B7" t="s" s="602">
        <v>419</v>
      </c>
      <c r="C7" t="s" s="602">
        <v>420</v>
      </c>
      <c r="D7" t="s" s="602">
        <v>421</v>
      </c>
      <c r="E7" t="s" s="602">
        <v>422</v>
      </c>
      <c r="F7" t="s" s="602">
        <v>423</v>
      </c>
      <c r="G7" s="64"/>
      <c r="H7" s="329"/>
    </row>
    <row r="8" ht="12.75" customHeight="1">
      <c r="A8" s="603"/>
      <c r="B8" s="604"/>
      <c r="C8" s="604"/>
      <c r="D8" s="604"/>
      <c r="E8" s="604"/>
      <c r="F8" s="604"/>
      <c r="G8" s="64"/>
      <c r="H8" s="329"/>
    </row>
    <row r="9" ht="12.75" customHeight="1">
      <c r="A9" s="603"/>
      <c r="B9" s="604"/>
      <c r="C9" s="604"/>
      <c r="D9" s="604"/>
      <c r="E9" s="604"/>
      <c r="F9" s="604"/>
      <c r="G9" s="64"/>
      <c r="H9" s="329"/>
    </row>
    <row r="10" ht="12.75" customHeight="1">
      <c r="A10" s="605"/>
      <c r="B10" s="256"/>
      <c r="C10" s="256"/>
      <c r="D10" s="256"/>
      <c r="E10" s="256"/>
      <c r="F10" s="256"/>
      <c r="G10" s="64"/>
      <c r="H10" s="329"/>
    </row>
    <row r="11" ht="12.75" customHeight="1">
      <c r="A11" s="605"/>
      <c r="B11" s="256"/>
      <c r="C11" s="256"/>
      <c r="D11" s="256"/>
      <c r="E11" s="256"/>
      <c r="F11" s="256"/>
      <c r="G11" s="606"/>
      <c r="H11" s="607"/>
    </row>
    <row r="12" ht="12.75" customHeight="1">
      <c r="A12" s="605"/>
      <c r="B12" s="256"/>
      <c r="C12" s="256"/>
      <c r="D12" s="256"/>
      <c r="E12" s="256"/>
      <c r="F12" s="256"/>
      <c r="G12" s="606"/>
      <c r="H12" s="607"/>
    </row>
    <row r="13" ht="12.75" customHeight="1">
      <c r="A13" s="603"/>
      <c r="B13" s="256"/>
      <c r="C13" s="256"/>
      <c r="D13" s="256"/>
      <c r="E13" s="256"/>
      <c r="F13" s="256"/>
      <c r="G13" s="606"/>
      <c r="H13" s="607"/>
    </row>
    <row r="14" ht="12.75" customHeight="1">
      <c r="A14" s="603"/>
      <c r="B14" s="256"/>
      <c r="C14" s="256"/>
      <c r="D14" s="256"/>
      <c r="E14" s="256"/>
      <c r="F14" s="256"/>
      <c r="G14" s="606"/>
      <c r="H14" s="607"/>
    </row>
    <row r="15" ht="12.75" customHeight="1">
      <c r="A15" s="605"/>
      <c r="B15" s="256"/>
      <c r="C15" s="256"/>
      <c r="D15" s="256"/>
      <c r="E15" s="256"/>
      <c r="F15" s="256"/>
      <c r="G15" s="606"/>
      <c r="H15" s="607"/>
    </row>
    <row r="16" ht="12.75" customHeight="1">
      <c r="A16" s="605"/>
      <c r="B16" s="256"/>
      <c r="C16" s="256"/>
      <c r="D16" s="256"/>
      <c r="E16" s="256"/>
      <c r="F16" s="256"/>
      <c r="G16" s="606"/>
      <c r="H16" s="607"/>
    </row>
    <row r="17" ht="12.75" customHeight="1">
      <c r="A17" s="603"/>
      <c r="B17" s="256"/>
      <c r="C17" s="256"/>
      <c r="D17" s="256"/>
      <c r="E17" s="256"/>
      <c r="F17" s="256"/>
      <c r="G17" s="606"/>
      <c r="H17" s="607"/>
    </row>
    <row r="18" ht="12.75" customHeight="1">
      <c r="A18" s="603"/>
      <c r="B18" s="256"/>
      <c r="C18" s="256"/>
      <c r="D18" s="256"/>
      <c r="E18" s="256"/>
      <c r="F18" s="256"/>
      <c r="G18" s="606"/>
      <c r="H18" s="607"/>
    </row>
    <row r="19" ht="12.75" customHeight="1">
      <c r="A19" s="603"/>
      <c r="B19" s="256"/>
      <c r="C19" s="256"/>
      <c r="D19" s="256"/>
      <c r="E19" s="256"/>
      <c r="F19" s="256"/>
      <c r="G19" s="606"/>
      <c r="H19" s="607"/>
    </row>
    <row r="20" ht="12.75" customHeight="1">
      <c r="A20" s="603"/>
      <c r="B20" s="608"/>
      <c r="C20" s="608"/>
      <c r="D20" s="608"/>
      <c r="E20" s="608"/>
      <c r="F20" s="608"/>
      <c r="G20" s="606"/>
      <c r="H20" s="607"/>
    </row>
    <row r="21" ht="12.75" customHeight="1">
      <c r="A21" s="603"/>
      <c r="B21" s="609"/>
      <c r="C21" s="610"/>
      <c r="D21" s="610"/>
      <c r="E21" s="610"/>
      <c r="F21" s="152"/>
      <c r="G21" s="606"/>
      <c r="H21" s="607"/>
    </row>
    <row r="22" ht="12.75" customHeight="1">
      <c r="A22" s="124"/>
      <c r="B22" s="611"/>
      <c r="C22" s="611"/>
      <c r="D22" s="611"/>
      <c r="E22" s="611"/>
      <c r="F22" s="611"/>
      <c r="G22" s="330"/>
      <c r="H22" s="607"/>
    </row>
    <row r="23" ht="12.75" customHeight="1">
      <c r="A23" s="41"/>
      <c r="B23" s="612"/>
      <c r="C23" s="612"/>
      <c r="D23" s="612"/>
      <c r="E23" s="612"/>
      <c r="F23" s="612"/>
      <c r="G23" s="330"/>
      <c r="H23" s="607"/>
    </row>
    <row r="24" ht="12.75" customHeight="1">
      <c r="A24" t="s" s="601">
        <v>424</v>
      </c>
      <c r="B24" s="49"/>
      <c r="C24" s="49"/>
      <c r="D24" s="49"/>
      <c r="E24" s="49"/>
      <c r="F24" s="49"/>
      <c r="G24" s="436"/>
      <c r="H24" t="s" s="613">
        <v>425</v>
      </c>
    </row>
    <row r="25" ht="12.75" customHeight="1">
      <c r="A25" t="s" s="614">
        <v>426</v>
      </c>
      <c r="B25" s="615"/>
      <c r="C25" s="602">
        <f>'Pressupostos'!B11</f>
        <v>2015</v>
      </c>
      <c r="D25" s="602">
        <f>C25+1</f>
        <v>2016</v>
      </c>
      <c r="E25" s="602">
        <f>D25+1</f>
        <v>2017</v>
      </c>
      <c r="F25" s="602">
        <f>E25+1</f>
        <v>2018</v>
      </c>
      <c r="G25" s="602">
        <f>F25+1</f>
        <v>2019</v>
      </c>
      <c r="H25" s="602">
        <f>G25+1</f>
        <v>2020</v>
      </c>
    </row>
    <row r="26" ht="12.75" customHeight="1">
      <c r="A26" t="s" s="126">
        <v>420</v>
      </c>
      <c r="B26" s="616"/>
      <c r="C26" s="604"/>
      <c r="D26" s="604"/>
      <c r="E26" s="604"/>
      <c r="F26" s="604"/>
      <c r="G26" s="604"/>
      <c r="H26" s="604"/>
    </row>
    <row r="27" ht="12.75" customHeight="1">
      <c r="A27" t="s" s="126">
        <v>421</v>
      </c>
      <c r="B27" s="617"/>
      <c r="C27" s="256"/>
      <c r="D27" s="256"/>
      <c r="E27" s="256"/>
      <c r="F27" s="256"/>
      <c r="G27" s="256"/>
      <c r="H27" s="256"/>
    </row>
    <row r="28" ht="12.75" customHeight="1">
      <c r="A28" t="s" s="126">
        <v>422</v>
      </c>
      <c r="B28" s="617"/>
      <c r="C28" s="256"/>
      <c r="D28" s="256"/>
      <c r="E28" s="256"/>
      <c r="F28" s="256"/>
      <c r="G28" s="256"/>
      <c r="H28" s="256"/>
    </row>
    <row r="29" ht="12.75" customHeight="1">
      <c r="A29" t="s" s="126">
        <v>423</v>
      </c>
      <c r="B29" s="617"/>
      <c r="C29" s="256"/>
      <c r="D29" s="256"/>
      <c r="E29" s="256"/>
      <c r="F29" s="256"/>
      <c r="G29" s="256"/>
      <c r="H29" s="256"/>
    </row>
    <row r="30" ht="12.75" customHeight="1">
      <c r="A30" s="618"/>
      <c r="B30" s="617"/>
      <c r="C30" s="256"/>
      <c r="D30" s="256"/>
      <c r="E30" s="256"/>
      <c r="F30" s="256"/>
      <c r="G30" s="256"/>
      <c r="H30" s="256"/>
    </row>
    <row r="31" ht="12.75" customHeight="1">
      <c r="A31" s="618"/>
      <c r="B31" s="617"/>
      <c r="C31" s="256"/>
      <c r="D31" s="256"/>
      <c r="E31" s="256"/>
      <c r="F31" s="256"/>
      <c r="G31" s="256"/>
      <c r="H31" s="256"/>
    </row>
    <row r="32" ht="12.75" customHeight="1">
      <c r="A32" s="619"/>
      <c r="B32" s="617"/>
      <c r="C32" s="256"/>
      <c r="D32" s="256"/>
      <c r="E32" s="256"/>
      <c r="F32" s="256"/>
      <c r="G32" s="256"/>
      <c r="H32" s="256"/>
    </row>
    <row r="33" ht="12.75" customHeight="1">
      <c r="A33" t="s" s="614">
        <v>164</v>
      </c>
      <c r="B33" s="615"/>
      <c r="C33" s="620">
        <f>SUM(C26:C32)</f>
        <v>0</v>
      </c>
      <c r="D33" s="620">
        <f>SUM(D26:D32)</f>
        <v>0</v>
      </c>
      <c r="E33" s="620">
        <f>SUM(E26:E32)</f>
        <v>0</v>
      </c>
      <c r="F33" s="620">
        <f>SUM(F26:F32)</f>
        <v>0</v>
      </c>
      <c r="G33" s="620">
        <f>SUM(G26:G32)</f>
        <v>0</v>
      </c>
      <c r="H33" s="620">
        <f>SUM(H26:H32)</f>
        <v>0</v>
      </c>
    </row>
    <row r="34" ht="12.75" customHeight="1">
      <c r="A34" s="326"/>
      <c r="B34" s="621"/>
      <c r="C34" s="622"/>
      <c r="D34" s="622"/>
      <c r="E34" s="622"/>
      <c r="F34" s="622"/>
      <c r="G34" s="622"/>
      <c r="H34" s="623"/>
    </row>
    <row r="35" ht="12.75" customHeight="1">
      <c r="A35" t="s" s="601">
        <v>427</v>
      </c>
      <c r="B35" s="49"/>
      <c r="C35" s="49"/>
      <c r="D35" s="49"/>
      <c r="E35" s="49"/>
      <c r="F35" s="49"/>
      <c r="G35" s="436"/>
      <c r="H35" t="s" s="613">
        <v>425</v>
      </c>
    </row>
    <row r="36" ht="12.75" customHeight="1">
      <c r="A36" t="s" s="614">
        <v>428</v>
      </c>
      <c r="B36" s="615"/>
      <c r="C36" s="602">
        <f>C25</f>
        <v>2015</v>
      </c>
      <c r="D36" s="602">
        <f>D25</f>
        <v>2016</v>
      </c>
      <c r="E36" s="602">
        <f>E25</f>
        <v>2017</v>
      </c>
      <c r="F36" s="602">
        <f>F25</f>
        <v>2018</v>
      </c>
      <c r="G36" s="602">
        <f>G25</f>
        <v>2019</v>
      </c>
      <c r="H36" s="602">
        <f>H25</f>
        <v>2020</v>
      </c>
    </row>
    <row r="37" ht="12.75" customHeight="1">
      <c r="A37" s="618"/>
      <c r="B37" s="616"/>
      <c r="C37" s="604"/>
      <c r="D37" s="604"/>
      <c r="E37" s="604"/>
      <c r="F37" s="604"/>
      <c r="G37" s="604"/>
      <c r="H37" s="604"/>
    </row>
    <row r="38" ht="12.75" customHeight="1">
      <c r="A38" s="624"/>
      <c r="B38" s="616"/>
      <c r="C38" s="604"/>
      <c r="D38" s="604"/>
      <c r="E38" s="604"/>
      <c r="F38" s="604"/>
      <c r="G38" s="604"/>
      <c r="H38" s="604"/>
    </row>
    <row r="39" ht="12.75" customHeight="1">
      <c r="A39" s="624"/>
      <c r="B39" s="616"/>
      <c r="C39" s="604"/>
      <c r="D39" s="604"/>
      <c r="E39" s="604"/>
      <c r="F39" s="604"/>
      <c r="G39" s="604"/>
      <c r="H39" s="604"/>
    </row>
    <row r="40" ht="12.75" customHeight="1">
      <c r="A40" s="624"/>
      <c r="B40" s="616"/>
      <c r="C40" s="604"/>
      <c r="D40" s="604"/>
      <c r="E40" s="604"/>
      <c r="F40" s="604"/>
      <c r="G40" s="604"/>
      <c r="H40" s="604"/>
    </row>
    <row r="41" ht="12.75" customHeight="1">
      <c r="A41" s="624"/>
      <c r="B41" s="616"/>
      <c r="C41" s="604"/>
      <c r="D41" s="604"/>
      <c r="E41" s="604"/>
      <c r="F41" s="604"/>
      <c r="G41" s="604"/>
      <c r="H41" s="604"/>
    </row>
    <row r="42" ht="12.75" customHeight="1">
      <c r="A42" s="624"/>
      <c r="B42" s="616"/>
      <c r="C42" s="604"/>
      <c r="D42" s="604"/>
      <c r="E42" s="604"/>
      <c r="F42" s="604"/>
      <c r="G42" s="604"/>
      <c r="H42" s="604"/>
    </row>
    <row r="43" ht="12.75" customHeight="1">
      <c r="A43" s="624"/>
      <c r="B43" s="616"/>
      <c r="C43" s="604"/>
      <c r="D43" s="604"/>
      <c r="E43" s="604"/>
      <c r="F43" s="604"/>
      <c r="G43" s="604"/>
      <c r="H43" s="604"/>
    </row>
    <row r="44" ht="12.75" customHeight="1">
      <c r="A44" s="624"/>
      <c r="B44" s="617"/>
      <c r="C44" s="604"/>
      <c r="D44" s="604"/>
      <c r="E44" s="604"/>
      <c r="F44" s="604"/>
      <c r="G44" s="604"/>
      <c r="H44" s="604"/>
    </row>
    <row r="45" ht="12.75" customHeight="1">
      <c r="A45" s="624"/>
      <c r="B45" s="617"/>
      <c r="C45" s="604"/>
      <c r="D45" s="604"/>
      <c r="E45" s="604"/>
      <c r="F45" s="604"/>
      <c r="G45" s="604"/>
      <c r="H45" s="604"/>
    </row>
    <row r="46" ht="12.75" customHeight="1">
      <c r="A46" s="624"/>
      <c r="B46" s="617"/>
      <c r="C46" s="604"/>
      <c r="D46" s="604"/>
      <c r="E46" s="604"/>
      <c r="F46" s="604"/>
      <c r="G46" s="604"/>
      <c r="H46" s="604"/>
    </row>
    <row r="47" ht="12.75" customHeight="1">
      <c r="A47" s="618"/>
      <c r="B47" s="617"/>
      <c r="C47" s="604"/>
      <c r="D47" s="604"/>
      <c r="E47" s="604"/>
      <c r="F47" s="604"/>
      <c r="G47" s="604"/>
      <c r="H47" s="604"/>
    </row>
    <row r="48" ht="12.75" customHeight="1">
      <c r="A48" s="618"/>
      <c r="B48" s="617"/>
      <c r="C48" s="604"/>
      <c r="D48" s="604"/>
      <c r="E48" s="604"/>
      <c r="F48" s="604"/>
      <c r="G48" s="604"/>
      <c r="H48" s="604"/>
    </row>
    <row r="49" ht="12.75" customHeight="1">
      <c r="A49" s="618"/>
      <c r="B49" s="617"/>
      <c r="C49" s="604"/>
      <c r="D49" s="604"/>
      <c r="E49" s="604"/>
      <c r="F49" s="604"/>
      <c r="G49" s="604"/>
      <c r="H49" s="604"/>
    </row>
    <row r="50" ht="12.75" customHeight="1">
      <c r="A50" s="619"/>
      <c r="B50" s="617"/>
      <c r="C50" s="256"/>
      <c r="D50" s="256"/>
      <c r="E50" s="256"/>
      <c r="F50" s="256"/>
      <c r="G50" s="256"/>
      <c r="H50" s="256"/>
    </row>
    <row r="51" ht="12.75" customHeight="1">
      <c r="A51" s="124"/>
      <c r="B51" s="81"/>
      <c r="C51" s="81"/>
      <c r="D51" s="81"/>
      <c r="E51" s="81"/>
      <c r="F51" s="81"/>
      <c r="G51" s="81"/>
      <c r="H51" s="212"/>
    </row>
    <row r="52" ht="12.75" customHeight="1">
      <c r="A52" s="41"/>
      <c r="B52" s="7"/>
      <c r="C52" s="7"/>
      <c r="D52" s="7"/>
      <c r="E52" s="7"/>
      <c r="F52" s="7"/>
      <c r="G52" s="7"/>
      <c r="H52" s="329"/>
    </row>
    <row r="53" ht="12.75" customHeight="1">
      <c r="A53" t="s" s="601">
        <v>429</v>
      </c>
      <c r="B53" s="49"/>
      <c r="C53" s="49"/>
      <c r="D53" s="49"/>
      <c r="E53" s="49"/>
      <c r="F53" s="49"/>
      <c r="G53" s="436"/>
      <c r="H53" s="625"/>
    </row>
    <row r="54" ht="12.75" customHeight="1">
      <c r="A54" t="s" s="614">
        <v>430</v>
      </c>
      <c r="B54" s="615"/>
      <c r="C54" s="602">
        <f>C36</f>
        <v>2015</v>
      </c>
      <c r="D54" s="602">
        <f>D36</f>
        <v>2016</v>
      </c>
      <c r="E54" s="602">
        <f>E36</f>
        <v>2017</v>
      </c>
      <c r="F54" s="602">
        <f>F36</f>
        <v>2018</v>
      </c>
      <c r="G54" s="602">
        <f>G36</f>
        <v>2019</v>
      </c>
      <c r="H54" s="602">
        <f>H36</f>
        <v>2020</v>
      </c>
    </row>
    <row r="55" ht="12.75" customHeight="1">
      <c r="A55" s="618"/>
      <c r="B55" s="616"/>
      <c r="C55" s="604"/>
      <c r="D55" s="604"/>
      <c r="E55" s="604"/>
      <c r="F55" s="604"/>
      <c r="G55" s="604"/>
      <c r="H55" s="604"/>
    </row>
    <row r="56" ht="12.75" customHeight="1">
      <c r="A56" s="624"/>
      <c r="B56" s="616"/>
      <c r="C56" s="604"/>
      <c r="D56" s="604"/>
      <c r="E56" s="604"/>
      <c r="F56" s="604"/>
      <c r="G56" s="604"/>
      <c r="H56" s="604"/>
    </row>
    <row r="57" ht="12.75" customHeight="1">
      <c r="A57" s="624"/>
      <c r="B57" s="616"/>
      <c r="C57" s="604"/>
      <c r="D57" s="604"/>
      <c r="E57" s="604"/>
      <c r="F57" s="604"/>
      <c r="G57" s="604"/>
      <c r="H57" s="604"/>
    </row>
    <row r="58" ht="12.75" customHeight="1">
      <c r="A58" s="624"/>
      <c r="B58" s="616"/>
      <c r="C58" s="604"/>
      <c r="D58" s="604"/>
      <c r="E58" s="604"/>
      <c r="F58" s="604"/>
      <c r="G58" s="604"/>
      <c r="H58" s="604"/>
    </row>
    <row r="59" ht="12.75" customHeight="1">
      <c r="A59" s="624"/>
      <c r="B59" s="616"/>
      <c r="C59" s="604"/>
      <c r="D59" s="604"/>
      <c r="E59" s="604"/>
      <c r="F59" s="604"/>
      <c r="G59" s="604"/>
      <c r="H59" s="604"/>
    </row>
    <row r="60" ht="12.75" customHeight="1">
      <c r="A60" s="624"/>
      <c r="B60" s="616"/>
      <c r="C60" s="604"/>
      <c r="D60" s="604"/>
      <c r="E60" s="604"/>
      <c r="F60" s="604"/>
      <c r="G60" s="604"/>
      <c r="H60" s="604"/>
    </row>
    <row r="61" ht="12.75" customHeight="1">
      <c r="A61" s="624"/>
      <c r="B61" s="616"/>
      <c r="C61" s="604"/>
      <c r="D61" s="604"/>
      <c r="E61" s="604"/>
      <c r="F61" s="604"/>
      <c r="G61" s="604"/>
      <c r="H61" s="604"/>
    </row>
    <row r="62" ht="12.75" customHeight="1">
      <c r="A62" s="624"/>
      <c r="B62" s="617"/>
      <c r="C62" s="256"/>
      <c r="D62" s="256"/>
      <c r="E62" s="256"/>
      <c r="F62" s="256"/>
      <c r="G62" s="256"/>
      <c r="H62" s="256"/>
    </row>
    <row r="63" ht="12.75" customHeight="1">
      <c r="A63" s="624"/>
      <c r="B63" s="617"/>
      <c r="C63" s="256"/>
      <c r="D63" s="256"/>
      <c r="E63" s="256"/>
      <c r="F63" s="256"/>
      <c r="G63" s="256"/>
      <c r="H63" s="256"/>
    </row>
    <row r="64" ht="12.75" customHeight="1">
      <c r="A64" s="624"/>
      <c r="B64" s="617"/>
      <c r="C64" s="256"/>
      <c r="D64" s="256"/>
      <c r="E64" s="256"/>
      <c r="F64" s="256"/>
      <c r="G64" s="256"/>
      <c r="H64" s="256"/>
    </row>
    <row r="65" ht="12.75" customHeight="1">
      <c r="A65" s="618"/>
      <c r="B65" s="617"/>
      <c r="C65" s="256"/>
      <c r="D65" s="256"/>
      <c r="E65" s="256"/>
      <c r="F65" s="256"/>
      <c r="G65" s="256"/>
      <c r="H65" s="256"/>
    </row>
    <row r="66" ht="12.75" customHeight="1">
      <c r="A66" s="618"/>
      <c r="B66" s="617"/>
      <c r="C66" s="256"/>
      <c r="D66" s="256"/>
      <c r="E66" s="256"/>
      <c r="F66" s="256"/>
      <c r="G66" s="256"/>
      <c r="H66" s="256"/>
    </row>
    <row r="67" ht="12.75" customHeight="1">
      <c r="A67" s="618"/>
      <c r="B67" s="617"/>
      <c r="C67" s="256"/>
      <c r="D67" s="256"/>
      <c r="E67" s="256"/>
      <c r="F67" s="256"/>
      <c r="G67" s="256"/>
      <c r="H67" s="256"/>
    </row>
    <row r="68" ht="12.75" customHeight="1">
      <c r="A68" s="619"/>
      <c r="B68" s="617"/>
      <c r="C68" s="256"/>
      <c r="D68" s="256"/>
      <c r="E68" s="256"/>
      <c r="F68" s="256"/>
      <c r="G68" s="256"/>
      <c r="H68" s="256"/>
    </row>
    <row r="69" ht="12.75" customHeight="1">
      <c r="A69" s="124"/>
      <c r="B69" s="81"/>
      <c r="C69" s="81"/>
      <c r="D69" s="81"/>
      <c r="E69" s="81"/>
      <c r="F69" s="81"/>
      <c r="G69" s="81"/>
      <c r="H69" s="212"/>
    </row>
    <row r="70" ht="12.75" customHeight="1">
      <c r="A70" s="41"/>
      <c r="B70" s="7"/>
      <c r="C70" s="7"/>
      <c r="D70" s="7"/>
      <c r="E70" s="7"/>
      <c r="F70" s="7"/>
      <c r="G70" s="7"/>
      <c r="H70" s="329"/>
    </row>
    <row r="71" ht="12.75" customHeight="1">
      <c r="A71" t="s" s="601">
        <v>431</v>
      </c>
      <c r="B71" s="49"/>
      <c r="C71" s="49"/>
      <c r="D71" s="49"/>
      <c r="E71" s="49"/>
      <c r="F71" s="49"/>
      <c r="G71" s="436"/>
      <c r="H71" s="625"/>
    </row>
    <row r="72" ht="12.75" customHeight="1">
      <c r="A72" t="s" s="614">
        <v>430</v>
      </c>
      <c r="B72" s="615"/>
      <c r="C72" s="602">
        <f>C25</f>
        <v>2015</v>
      </c>
      <c r="D72" s="602">
        <f>D25</f>
        <v>2016</v>
      </c>
      <c r="E72" s="602">
        <f>E25</f>
        <v>2017</v>
      </c>
      <c r="F72" s="602">
        <f>F25</f>
        <v>2018</v>
      </c>
      <c r="G72" s="602">
        <f>G25</f>
        <v>2019</v>
      </c>
      <c r="H72" s="602">
        <f>H25</f>
        <v>2020</v>
      </c>
    </row>
    <row r="73" ht="12.75" customHeight="1">
      <c r="A73" s="618"/>
      <c r="B73" s="616"/>
      <c r="C73" s="604">
        <f>C37*C55</f>
        <v>0</v>
      </c>
      <c r="D73" s="604">
        <f>D37*D55</f>
        <v>0</v>
      </c>
      <c r="E73" s="604">
        <f>E37*E55</f>
        <v>0</v>
      </c>
      <c r="F73" s="604">
        <f>F37*F55</f>
        <v>0</v>
      </c>
      <c r="G73" s="604">
        <f>G37*G55</f>
        <v>0</v>
      </c>
      <c r="H73" s="604">
        <f>H37*H55</f>
        <v>0</v>
      </c>
    </row>
    <row r="74" ht="12.75" customHeight="1">
      <c r="A74" s="624"/>
      <c r="B74" s="616"/>
      <c r="C74" s="604">
        <f>C38*C56</f>
        <v>0</v>
      </c>
      <c r="D74" s="604">
        <f>D38*D56</f>
        <v>0</v>
      </c>
      <c r="E74" s="604">
        <f>E38*E56</f>
        <v>0</v>
      </c>
      <c r="F74" s="604">
        <f>F38*F56</f>
        <v>0</v>
      </c>
      <c r="G74" s="604">
        <f>G38*G56</f>
        <v>0</v>
      </c>
      <c r="H74" s="604">
        <f>H38*H56</f>
        <v>0</v>
      </c>
    </row>
    <row r="75" ht="12.75" customHeight="1">
      <c r="A75" s="624"/>
      <c r="B75" s="616"/>
      <c r="C75" s="604">
        <f>C39*C57</f>
        <v>0</v>
      </c>
      <c r="D75" s="604">
        <f>D39*D57</f>
        <v>0</v>
      </c>
      <c r="E75" s="604">
        <f>E39*E57</f>
        <v>0</v>
      </c>
      <c r="F75" s="604">
        <f>F39*F57</f>
        <v>0</v>
      </c>
      <c r="G75" s="604">
        <f>G39*G57</f>
        <v>0</v>
      </c>
      <c r="H75" s="604">
        <f>H39*H57</f>
        <v>0</v>
      </c>
    </row>
    <row r="76" ht="12.75" customHeight="1">
      <c r="A76" s="624"/>
      <c r="B76" s="616"/>
      <c r="C76" s="604">
        <f>C40*C58</f>
        <v>0</v>
      </c>
      <c r="D76" s="604">
        <f>D40*D58</f>
        <v>0</v>
      </c>
      <c r="E76" s="604">
        <f>E40*E58</f>
        <v>0</v>
      </c>
      <c r="F76" s="604">
        <f>F40*F58</f>
        <v>0</v>
      </c>
      <c r="G76" s="604">
        <f>G40*G58</f>
        <v>0</v>
      </c>
      <c r="H76" s="604">
        <f>H40*H58</f>
        <v>0</v>
      </c>
    </row>
    <row r="77" ht="12.75" customHeight="1">
      <c r="A77" s="624"/>
      <c r="B77" s="616"/>
      <c r="C77" s="604">
        <f>C41*C59</f>
        <v>0</v>
      </c>
      <c r="D77" s="604">
        <f>D41*D59</f>
        <v>0</v>
      </c>
      <c r="E77" s="604">
        <f>E41*E59</f>
        <v>0</v>
      </c>
      <c r="F77" s="604">
        <f>F41*F59</f>
        <v>0</v>
      </c>
      <c r="G77" s="604">
        <f>G41*G59</f>
        <v>0</v>
      </c>
      <c r="H77" s="604">
        <f>H41*H59</f>
        <v>0</v>
      </c>
    </row>
    <row r="78" ht="12.75" customHeight="1">
      <c r="A78" s="624"/>
      <c r="B78" s="616"/>
      <c r="C78" s="604">
        <f>C42*C60</f>
        <v>0</v>
      </c>
      <c r="D78" s="604">
        <f>D42*D60</f>
        <v>0</v>
      </c>
      <c r="E78" s="604">
        <f>E42*E60</f>
        <v>0</v>
      </c>
      <c r="F78" s="604">
        <f>F42*F60</f>
        <v>0</v>
      </c>
      <c r="G78" s="604">
        <f>G42*G60</f>
        <v>0</v>
      </c>
      <c r="H78" s="604">
        <f>H42*H60</f>
        <v>0</v>
      </c>
    </row>
    <row r="79" ht="12.75" customHeight="1">
      <c r="A79" s="624"/>
      <c r="B79" s="616"/>
      <c r="C79" s="604">
        <f>C43*C61</f>
        <v>0</v>
      </c>
      <c r="D79" s="604">
        <f>D43*D61</f>
        <v>0</v>
      </c>
      <c r="E79" s="604">
        <f>E43*E61</f>
        <v>0</v>
      </c>
      <c r="F79" s="604">
        <f>F43*F61</f>
        <v>0</v>
      </c>
      <c r="G79" s="604">
        <f>G43*G61</f>
        <v>0</v>
      </c>
      <c r="H79" s="604">
        <f>H43*H61</f>
        <v>0</v>
      </c>
    </row>
    <row r="80" ht="12.75" customHeight="1">
      <c r="A80" s="624"/>
      <c r="B80" s="617"/>
      <c r="C80" s="604">
        <f>C44*C62</f>
        <v>0</v>
      </c>
      <c r="D80" s="604">
        <f>D44*D62</f>
        <v>0</v>
      </c>
      <c r="E80" s="604">
        <f>E44*E62</f>
        <v>0</v>
      </c>
      <c r="F80" s="604">
        <f>F44*F62</f>
        <v>0</v>
      </c>
      <c r="G80" s="604">
        <f>G44*G62</f>
        <v>0</v>
      </c>
      <c r="H80" s="604">
        <f>H44*H62</f>
        <v>0</v>
      </c>
    </row>
    <row r="81" ht="12.75" customHeight="1">
      <c r="A81" s="624"/>
      <c r="B81" s="617"/>
      <c r="C81" s="604">
        <f>C45*C63</f>
        <v>0</v>
      </c>
      <c r="D81" s="604">
        <f>D45*D63</f>
        <v>0</v>
      </c>
      <c r="E81" s="604">
        <f>E45*E63</f>
        <v>0</v>
      </c>
      <c r="F81" s="604">
        <f>F45*F63</f>
        <v>0</v>
      </c>
      <c r="G81" s="604">
        <f>G45*G63</f>
        <v>0</v>
      </c>
      <c r="H81" s="604">
        <f>H45*H63</f>
        <v>0</v>
      </c>
    </row>
    <row r="82" ht="12.75" customHeight="1">
      <c r="A82" s="624"/>
      <c r="B82" s="617"/>
      <c r="C82" s="604">
        <f>C46*C64</f>
        <v>0</v>
      </c>
      <c r="D82" s="604">
        <f>D46*D64</f>
        <v>0</v>
      </c>
      <c r="E82" s="604">
        <f>E46*E64</f>
        <v>0</v>
      </c>
      <c r="F82" s="604">
        <f>F46*F64</f>
        <v>0</v>
      </c>
      <c r="G82" s="604">
        <f>G46*G64</f>
        <v>0</v>
      </c>
      <c r="H82" s="604">
        <f>H46*H64</f>
        <v>0</v>
      </c>
    </row>
    <row r="83" ht="12.75" customHeight="1">
      <c r="A83" s="618"/>
      <c r="B83" s="617"/>
      <c r="C83" s="604">
        <f>C47*C65</f>
        <v>0</v>
      </c>
      <c r="D83" s="604">
        <f>D47*D65</f>
        <v>0</v>
      </c>
      <c r="E83" s="604">
        <f>E47*E65</f>
        <v>0</v>
      </c>
      <c r="F83" s="604">
        <f>F47*F65</f>
        <v>0</v>
      </c>
      <c r="G83" s="604">
        <f>G47*G65</f>
        <v>0</v>
      </c>
      <c r="H83" s="604">
        <f>H47*H65</f>
        <v>0</v>
      </c>
    </row>
    <row r="84" ht="12.75" customHeight="1">
      <c r="A84" s="618"/>
      <c r="B84" s="617"/>
      <c r="C84" s="604">
        <f>C48*C66</f>
        <v>0</v>
      </c>
      <c r="D84" s="604">
        <f>D48*D66</f>
        <v>0</v>
      </c>
      <c r="E84" s="604">
        <f>E48*E66</f>
        <v>0</v>
      </c>
      <c r="F84" s="604">
        <f>F48*F66</f>
        <v>0</v>
      </c>
      <c r="G84" s="604">
        <f>G48*G66</f>
        <v>0</v>
      </c>
      <c r="H84" s="604">
        <f>H48*H66</f>
        <v>0</v>
      </c>
    </row>
    <row r="85" ht="12.75" customHeight="1">
      <c r="A85" s="618"/>
      <c r="B85" s="617"/>
      <c r="C85" s="604">
        <f>C49*C67</f>
        <v>0</v>
      </c>
      <c r="D85" s="604">
        <f>D49*D67</f>
        <v>0</v>
      </c>
      <c r="E85" s="604">
        <f>E49*E67</f>
        <v>0</v>
      </c>
      <c r="F85" s="604">
        <f>F49*F67</f>
        <v>0</v>
      </c>
      <c r="G85" s="604">
        <f>G49*G67</f>
        <v>0</v>
      </c>
      <c r="H85" s="604">
        <f>H49*H67</f>
        <v>0</v>
      </c>
    </row>
    <row r="86" ht="12.75" customHeight="1">
      <c r="A86" s="619"/>
      <c r="B86" s="617"/>
      <c r="C86" s="604">
        <f>C50*C68</f>
        <v>0</v>
      </c>
      <c r="D86" s="604">
        <f>D50*D68</f>
        <v>0</v>
      </c>
      <c r="E86" s="604">
        <f>E50*E68</f>
        <v>0</v>
      </c>
      <c r="F86" s="604">
        <f>F50*F68</f>
        <v>0</v>
      </c>
      <c r="G86" s="604">
        <f>G50*G68</f>
        <v>0</v>
      </c>
      <c r="H86" s="604">
        <f>H50*H68</f>
        <v>0</v>
      </c>
    </row>
    <row r="87" ht="12.75" customHeight="1">
      <c r="A87" t="s" s="614">
        <v>164</v>
      </c>
      <c r="B87" s="615"/>
      <c r="C87" s="620">
        <f>SUM(C73:C86)</f>
        <v>0</v>
      </c>
      <c r="D87" s="620">
        <f>SUM(D73:D86)</f>
        <v>0</v>
      </c>
      <c r="E87" s="620">
        <f>SUM(E73:E86)</f>
        <v>0</v>
      </c>
      <c r="F87" s="620">
        <f>SUM(F73:F86)</f>
        <v>0</v>
      </c>
      <c r="G87" s="620">
        <f>SUM(G73:G86)</f>
        <v>0</v>
      </c>
      <c r="H87" s="620">
        <f>SUM(H73:H86)</f>
        <v>0</v>
      </c>
    </row>
    <row r="88" ht="12.75" customHeight="1">
      <c r="A88" s="124"/>
      <c r="B88" s="81"/>
      <c r="C88" s="81"/>
      <c r="D88" s="81"/>
      <c r="E88" s="81"/>
      <c r="F88" s="81"/>
      <c r="G88" s="81"/>
      <c r="H88" s="212"/>
    </row>
    <row r="89" ht="12.75" customHeight="1">
      <c r="A89" s="41"/>
      <c r="B89" s="7"/>
      <c r="C89" s="7"/>
      <c r="D89" s="7"/>
      <c r="E89" s="7"/>
      <c r="F89" s="7"/>
      <c r="G89" s="7"/>
      <c r="H89" s="329"/>
    </row>
    <row r="90" ht="12.75" customHeight="1">
      <c r="A90" t="s" s="327">
        <v>432</v>
      </c>
      <c r="B90" s="7"/>
      <c r="C90" s="7"/>
      <c r="D90" s="7"/>
      <c r="E90" s="7"/>
      <c r="F90" s="7"/>
      <c r="G90" s="7"/>
      <c r="H90" s="329"/>
    </row>
    <row r="91" ht="12.75" customHeight="1">
      <c r="A91" t="s" s="626">
        <v>433</v>
      </c>
      <c r="B91" s="491"/>
      <c r="C91" s="491"/>
      <c r="D91" s="491"/>
      <c r="E91" s="491"/>
      <c r="F91" s="491"/>
      <c r="G91" s="491"/>
      <c r="H91" s="492"/>
    </row>
  </sheetData>
  <mergeCells count="6">
    <mergeCell ref="A72:B72"/>
    <mergeCell ref="A87:B87"/>
    <mergeCell ref="A4:H4"/>
    <mergeCell ref="A33:B33"/>
    <mergeCell ref="A36:B36"/>
    <mergeCell ref="A54:B5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