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zador\Desktop\Apontamentos sobre  IRS\2016 IRS\"/>
    </mc:Choice>
  </mc:AlternateContent>
  <bookViews>
    <workbookView xWindow="120" yWindow="108" windowWidth="15192" windowHeight="7932"/>
  </bookViews>
  <sheets>
    <sheet name="Cálculo da sobretaxa 2016" sheetId="1" r:id="rId1"/>
  </sheets>
  <calcPr calcId="162913"/>
</workbook>
</file>

<file path=xl/calcChain.xml><?xml version="1.0" encoding="utf-8"?>
<calcChain xmlns="http://schemas.openxmlformats.org/spreadsheetml/2006/main">
  <c r="G11" i="1" l="1"/>
  <c r="F11" i="1"/>
  <c r="D11" i="1"/>
  <c r="D18" i="1" l="1"/>
  <c r="D19" i="1" s="1"/>
  <c r="D14" i="1"/>
  <c r="F14" i="1"/>
  <c r="F46" i="1" s="1"/>
  <c r="G18" i="1"/>
  <c r="F18" i="1" s="1"/>
  <c r="G14" i="1"/>
  <c r="D27" i="1"/>
  <c r="D26" i="1"/>
  <c r="F19" i="1" l="1"/>
  <c r="D20" i="1"/>
  <c r="D22" i="1" s="1"/>
  <c r="D23" i="1" s="1"/>
  <c r="F49" i="1"/>
  <c r="F27" i="1"/>
  <c r="F26" i="1"/>
  <c r="F20" i="1" s="1"/>
  <c r="P49" i="1"/>
  <c r="M61" i="1"/>
  <c r="M60" i="1"/>
  <c r="M59" i="1"/>
  <c r="M58" i="1"/>
  <c r="M57" i="1"/>
  <c r="M53" i="1"/>
  <c r="M52" i="1"/>
  <c r="M51" i="1"/>
  <c r="M50" i="1"/>
  <c r="M49" i="1"/>
  <c r="F7" i="1" l="1"/>
  <c r="F22" i="1"/>
  <c r="G7" i="1"/>
  <c r="F45" i="1" l="1"/>
  <c r="F47" i="1" l="1"/>
  <c r="E48" i="1"/>
  <c r="D48" i="1"/>
  <c r="F50" i="1" s="1"/>
  <c r="E28" i="1"/>
  <c r="F48" i="1" l="1"/>
  <c r="D38" i="1" s="1"/>
  <c r="H38" i="1" s="1"/>
  <c r="G41" i="1" l="1"/>
  <c r="H41" i="1" s="1"/>
  <c r="G39" i="1"/>
  <c r="H39" i="1" s="1"/>
  <c r="G40" i="1"/>
  <c r="H40" i="1" s="1"/>
  <c r="L43" i="1"/>
  <c r="C39" i="1"/>
  <c r="D7" i="1"/>
  <c r="M39" i="1" l="1"/>
  <c r="N38" i="1"/>
  <c r="N39" i="1"/>
  <c r="M38" i="1"/>
  <c r="M40" i="1"/>
  <c r="O38" i="1"/>
  <c r="O39" i="1"/>
  <c r="M42" i="1"/>
  <c r="M41" i="1"/>
  <c r="N41" i="1"/>
  <c r="O41" i="1"/>
  <c r="O42" i="1"/>
  <c r="N40" i="1"/>
  <c r="O40" i="1"/>
  <c r="N42" i="1"/>
  <c r="I36" i="1" l="1"/>
  <c r="G31" i="1" s="1"/>
  <c r="F23" i="1" s="1"/>
  <c r="F8" i="1" l="1"/>
  <c r="F25" i="1"/>
  <c r="B25" i="1" s="1"/>
  <c r="G8" i="1"/>
  <c r="F44" i="1"/>
  <c r="D8" i="1"/>
  <c r="D25" i="1" s="1"/>
  <c r="O43" i="1" l="1"/>
  <c r="N43" i="1"/>
  <c r="M43" i="1"/>
</calcChain>
</file>

<file path=xl/sharedStrings.xml><?xml version="1.0" encoding="utf-8"?>
<sst xmlns="http://schemas.openxmlformats.org/spreadsheetml/2006/main" count="88" uniqueCount="77">
  <si>
    <t xml:space="preserve">Salário mínimo nacional </t>
  </si>
  <si>
    <t xml:space="preserve">RMMG  x 14 </t>
  </si>
  <si>
    <t>Escalões</t>
  </si>
  <si>
    <t>Sobretaxa</t>
  </si>
  <si>
    <t>1º</t>
  </si>
  <si>
    <t>2º</t>
  </si>
  <si>
    <t>3º</t>
  </si>
  <si>
    <t>4º</t>
  </si>
  <si>
    <t>5º</t>
  </si>
  <si>
    <t>Acerto Final Anual</t>
  </si>
  <si>
    <t>Continente</t>
  </si>
  <si>
    <t>Madeira</t>
  </si>
  <si>
    <t>Açores</t>
  </si>
  <si>
    <t>PORDATA - Salário mínimo nacional em Portugal</t>
  </si>
  <si>
    <t>Resultado da Sobretaxa Mensal</t>
  </si>
  <si>
    <r>
      <t xml:space="preserve">Salário Mínimo Nacional Garantido </t>
    </r>
    <r>
      <rPr>
        <b/>
        <sz val="11"/>
        <color theme="1"/>
        <rFont val="Calibri"/>
        <family val="2"/>
      </rPr>
      <t>→</t>
    </r>
  </si>
  <si>
    <t>Número de meses</t>
  </si>
  <si>
    <t>Perdas a recuperar</t>
  </si>
  <si>
    <t>Abatimentos</t>
  </si>
  <si>
    <t xml:space="preserve">Quociente Rendimentos Anos Anteriores </t>
  </si>
  <si>
    <t>Acréscimo Vitalício (Tropa)</t>
  </si>
  <si>
    <t>Valores mensais</t>
  </si>
  <si>
    <t xml:space="preserve">Resultado Anual da Sobretaxa </t>
  </si>
  <si>
    <r>
      <t xml:space="preserve">Rendimento Coletável </t>
    </r>
    <r>
      <rPr>
        <b/>
        <sz val="11"/>
        <color theme="1"/>
        <rFont val="Calibri"/>
        <family val="2"/>
      </rPr>
      <t>→</t>
    </r>
  </si>
  <si>
    <t>Taxa</t>
  </si>
  <si>
    <t>Rendimento coletável</t>
  </si>
  <si>
    <t>Sobretaxa 
no limite</t>
  </si>
  <si>
    <t>Rendimento 
Liquido</t>
  </si>
  <si>
    <t>N.º de Filhos</t>
  </si>
  <si>
    <t>Valor dos filhos</t>
  </si>
  <si>
    <t>Dedução específica</t>
  </si>
  <si>
    <t>Rendimento Coletável</t>
  </si>
  <si>
    <t>Até 7.420</t>
  </si>
  <si>
    <t>Superior a 80.000</t>
  </si>
  <si>
    <t>Remuneração Coletável</t>
  </si>
  <si>
    <r>
      <t>Rendimento coletável liquido</t>
    </r>
    <r>
      <rPr>
        <b/>
        <sz val="9"/>
        <color theme="1"/>
        <rFont val="Calibri"/>
        <family val="2"/>
      </rPr>
      <t>→</t>
    </r>
  </si>
  <si>
    <t>Rendimento Total Anual</t>
  </si>
  <si>
    <t>Tributação Separada: Casados, Não Casados.</t>
  </si>
  <si>
    <t>Tributação conjunta: Casados.</t>
  </si>
  <si>
    <t>Mais de 7.420 até 20.000</t>
  </si>
  <si>
    <t>Mais de 20.000 até 40.000</t>
  </si>
  <si>
    <t>Mais de 40.000 até 80.000</t>
  </si>
  <si>
    <r>
      <t>Rendimento  coletável para o apuramento da sobretaxa</t>
    </r>
    <r>
      <rPr>
        <b/>
        <sz val="11"/>
        <rFont val="Calibri"/>
        <family val="2"/>
      </rPr>
      <t>→</t>
    </r>
  </si>
  <si>
    <r>
      <t xml:space="preserve">RMMG  530,00€  x 14 </t>
    </r>
    <r>
      <rPr>
        <b/>
        <sz val="11"/>
        <color theme="1"/>
        <rFont val="Calibri"/>
        <family val="2"/>
      </rPr>
      <t>→</t>
    </r>
  </si>
  <si>
    <r>
      <t xml:space="preserve">Número de filhos </t>
    </r>
    <r>
      <rPr>
        <b/>
        <sz val="11"/>
        <color theme="1"/>
        <rFont val="Calibri"/>
        <family val="2"/>
      </rPr>
      <t>→</t>
    </r>
  </si>
  <si>
    <t>Remuneração mensal bruta</t>
  </si>
  <si>
    <t>(euros)</t>
  </si>
  <si>
    <t>%</t>
  </si>
  <si>
    <t>Até 3054,00 . . . . . . . . . . . . . . . . . . . . . . . . . . . . . . . . . . 1,75</t>
  </si>
  <si>
    <t>Até 5786,00 . . . . . . . . . . . . . . . . . . . . . . . . . . . . . . . . . . 3</t>
  </si>
  <si>
    <t>Superior a 5786,00 . . . . . . . . . . . . . . . . . . . . . . . . . . . .</t>
  </si>
  <si>
    <t>b) Tabela II, relativa a sujeitos passivos casados, único titular:</t>
  </si>
  <si>
    <t>té 1205,00 . . . . . . . . . . . . . . . . . . . . . . . . . . . . . . . . . . 0</t>
  </si>
  <si>
    <t>Até 2888,00 . . . . . . . . . . . . . . . . . . . . . . . . . . . . . . . . . . 1</t>
  </si>
  <si>
    <t>Até 6280,00 . . . . . . . . . . . . . . . . . . . . . . . . . . . . . . . . . . 1,75</t>
  </si>
  <si>
    <t>Até 10 282,00 . . . . . . . . . . . . . . . . . . . . . . . . . . . . . . . . . 3</t>
  </si>
  <si>
    <t>Superior a 10 282,00 . . . . . . . . . . . . . . . . . . . . . . . . . . . 3,5</t>
  </si>
  <si>
    <t>Até 801,00 . . . . . . . . . . . . . . . . . . . . . . . . . . . . . . . . . . . 0</t>
  </si>
  <si>
    <t>Até 1683,00 . . . . . . . . . . . . . . . . . . . . . . . . . . . . . . . . . . 1</t>
  </si>
  <si>
    <t>a) Tabela I, relativa a sujeitos passivos não casados e a sujeitos passivos casados, dois titulares:</t>
  </si>
  <si>
    <t>Sujeito Pas. B</t>
  </si>
  <si>
    <t>Sujeito Pas. A</t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</si>
  <si>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Bruto Mensal do sujeito passivo A e B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</si>
  <si>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</si>
  <si>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subsistema saúde 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</si>
  <si>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Retenção na fonte </t>
    </r>
    <r>
      <rPr>
        <sz val="12"/>
        <color rgb="FF333333"/>
        <rFont val="Calibri"/>
        <family val="2"/>
      </rPr>
      <t>→</t>
    </r>
  </si>
  <si>
    <t>Células de preenchimento pelo utilizador</t>
  </si>
  <si>
    <r>
      <t xml:space="preserve">Retenção anual da sobretaxa </t>
    </r>
    <r>
      <rPr>
        <b/>
        <sz val="11"/>
        <color rgb="FF333333"/>
        <rFont val="Calibri"/>
        <family val="2"/>
      </rPr>
      <t>→</t>
    </r>
  </si>
  <si>
    <r>
      <t xml:space="preserve">Resultado Anual da Sobretaxa a pagar </t>
    </r>
    <r>
      <rPr>
        <b/>
        <sz val="11"/>
        <color rgb="FFFF0000"/>
        <rFont val="Calibri"/>
        <family val="2"/>
      </rPr>
      <t>→</t>
    </r>
  </si>
  <si>
    <r>
      <t xml:space="preserve">Rendimento total do agregado familiar </t>
    </r>
    <r>
      <rPr>
        <b/>
        <sz val="12"/>
        <color rgb="FF333333"/>
        <rFont val="Calibri"/>
        <family val="2"/>
      </rPr>
      <t>→</t>
    </r>
  </si>
  <si>
    <t>Rendimentos de categoria A e/ou pensões</t>
  </si>
  <si>
    <t>Pensões de sobrevivência da Segurança Social</t>
  </si>
  <si>
    <t xml:space="preserve">Rendimento Bruto Anual </t>
  </si>
  <si>
    <t>Deduções Específicas do sujeito passivo A e B</t>
  </si>
  <si>
    <t>Cálculo da sobretaxa mensal</t>
  </si>
  <si>
    <t>Cálculo da sobretaxa anual</t>
  </si>
  <si>
    <r>
      <t xml:space="preserve">Entrega da declaração de IRS em 2017 </t>
    </r>
    <r>
      <rPr>
        <b/>
        <sz val="11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</si>
</sst>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_-* #,##0.00\ [$€-816]_-;\-* #,##0.00\ [$€-816]_-;_-* &quot;-&quot;??\ [$€-816]_-;_-@_-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B050"/>
      <name val="Calibri"/>
      <family val="2"/>
      <scheme val="minor"/>
    </font>
    <font>
      <sz val="12"/>
      <color rgb="FF333333"/>
      <name val="Georgia"/>
      <family val="1"/>
    </font>
    <font>
      <b/>
      <sz val="12"/>
      <color rgb="FF333333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FF"/>
      <name val="Calibri"/>
      <family val="2"/>
      <scheme val="minor"/>
    </font>
    <font>
      <b/>
      <sz val="11"/>
      <color rgb="FF333333"/>
      <name val="Calibri"/>
      <family val="2"/>
    </font>
    <font>
      <b/>
      <sz val="10"/>
      <color theme="1"/>
      <name val="Georgia"/>
      <family val="1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10"/>
      <color rgb="FF0000FF"/>
      <name val="Calibri"/>
      <family val="2"/>
      <scheme val="minor"/>
    </font>
    <font>
      <b/>
      <sz val="11"/>
      <name val="Calibri"/>
      <family val="2"/>
    </font>
    <font>
      <sz val="12"/>
      <color rgb="FF333333"/>
      <name val="Calibri"/>
      <family val="2"/>
    </font>
    <font>
      <b/>
      <sz val="12"/>
      <color rgb="FF333333"/>
      <name val="Calibri"/>
      <family val="2"/>
    </font>
    <font>
      <sz val="11"/>
      <color theme="1"/>
      <name val="Times New Roman"/>
      <family val="1"/>
    </font>
    <font>
      <b/>
      <sz val="9"/>
      <color rgb="FF0000FF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rgb="FF002060"/>
      <name val="Georgia"/>
      <family val="1"/>
    </font>
    <font>
      <b/>
      <sz val="11"/>
      <color rgb="FFFF0000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Trellis">
        <fgColor theme="3" tint="0.59996337778862885"/>
        <bgColor theme="9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thick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4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8" fontId="0" fillId="0" borderId="0" xfId="0" applyNumberFormat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0" fillId="2" borderId="6" xfId="0" applyNumberFormat="1" applyFill="1" applyBorder="1"/>
    <xf numFmtId="10" fontId="9" fillId="0" borderId="7" xfId="0" applyNumberFormat="1" applyFont="1" applyBorder="1" applyAlignment="1">
      <alignment horizontal="center" vertical="center" wrapText="1"/>
    </xf>
    <xf numFmtId="9" fontId="9" fillId="0" borderId="7" xfId="0" applyNumberFormat="1" applyFont="1" applyBorder="1" applyAlignment="1">
      <alignment horizontal="center" vertical="center" wrapText="1"/>
    </xf>
    <xf numFmtId="0" fontId="2" fillId="0" borderId="0" xfId="0" applyFont="1"/>
    <xf numFmtId="164" fontId="0" fillId="0" borderId="6" xfId="0" applyNumberFormat="1" applyFont="1" applyBorder="1"/>
    <xf numFmtId="164" fontId="1" fillId="2" borderId="6" xfId="0" applyNumberFormat="1" applyFont="1" applyFill="1" applyBorder="1"/>
    <xf numFmtId="0" fontId="7" fillId="5" borderId="5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4" fontId="0" fillId="5" borderId="9" xfId="0" applyNumberFormat="1" applyFill="1" applyBorder="1"/>
    <xf numFmtId="164" fontId="3" fillId="5" borderId="9" xfId="0" applyNumberFormat="1" applyFont="1" applyFill="1" applyBorder="1"/>
    <xf numFmtId="0" fontId="0" fillId="5" borderId="9" xfId="0" applyFill="1" applyBorder="1"/>
    <xf numFmtId="10" fontId="0" fillId="4" borderId="1" xfId="0" applyNumberFormat="1" applyFill="1" applyBorder="1"/>
    <xf numFmtId="10" fontId="1" fillId="4" borderId="1" xfId="0" applyNumberFormat="1" applyFont="1" applyFill="1" applyBorder="1" applyAlignment="1">
      <alignment horizontal="center" vertical="center"/>
    </xf>
    <xf numFmtId="10" fontId="0" fillId="4" borderId="1" xfId="0" applyNumberFormat="1" applyFont="1" applyFill="1" applyBorder="1" applyAlignment="1">
      <alignment horizontal="center" vertical="center"/>
    </xf>
    <xf numFmtId="10" fontId="8" fillId="4" borderId="1" xfId="1" applyNumberFormat="1" applyFont="1" applyFill="1" applyBorder="1"/>
    <xf numFmtId="10" fontId="1" fillId="4" borderId="1" xfId="1" applyNumberFormat="1" applyFont="1" applyFill="1" applyBorder="1"/>
    <xf numFmtId="164" fontId="10" fillId="5" borderId="9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/>
    <xf numFmtId="164" fontId="0" fillId="5" borderId="14" xfId="0" applyNumberFormat="1" applyFill="1" applyBorder="1"/>
    <xf numFmtId="0" fontId="0" fillId="0" borderId="12" xfId="0" applyBorder="1"/>
    <xf numFmtId="0" fontId="0" fillId="0" borderId="4" xfId="0" applyBorder="1"/>
    <xf numFmtId="164" fontId="0" fillId="0" borderId="0" xfId="0" applyNumberFormat="1" applyAlignment="1">
      <alignment horizontal="center" vertical="center"/>
    </xf>
    <xf numFmtId="10" fontId="10" fillId="4" borderId="11" xfId="0" applyNumberFormat="1" applyFont="1" applyFill="1" applyBorder="1" applyAlignment="1">
      <alignment horizontal="center" vertical="center"/>
    </xf>
    <xf numFmtId="164" fontId="13" fillId="0" borderId="0" xfId="0" applyNumberFormat="1" applyFont="1"/>
    <xf numFmtId="0" fontId="0" fillId="5" borderId="1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8" xfId="0" applyFont="1" applyBorder="1" applyAlignment="1">
      <alignment horizontal="center" vertical="center"/>
    </xf>
    <xf numFmtId="0" fontId="0" fillId="0" borderId="0" xfId="0"/>
    <xf numFmtId="164" fontId="0" fillId="0" borderId="22" xfId="0" applyNumberFormat="1" applyBorder="1"/>
    <xf numFmtId="164" fontId="0" fillId="2" borderId="22" xfId="0" applyNumberFormat="1" applyFill="1" applyBorder="1"/>
    <xf numFmtId="164" fontId="0" fillId="0" borderId="24" xfId="0" applyNumberFormat="1" applyBorder="1"/>
    <xf numFmtId="164" fontId="1" fillId="2" borderId="22" xfId="0" applyNumberFormat="1" applyFont="1" applyFill="1" applyBorder="1"/>
    <xf numFmtId="164" fontId="10" fillId="2" borderId="22" xfId="0" applyNumberFormat="1" applyFont="1" applyFill="1" applyBorder="1" applyAlignment="1">
      <alignment horizontal="center" vertical="center"/>
    </xf>
    <xf numFmtId="164" fontId="0" fillId="0" borderId="24" xfId="0" applyNumberFormat="1" applyFont="1" applyBorder="1"/>
    <xf numFmtId="164" fontId="0" fillId="2" borderId="22" xfId="0" applyNumberFormat="1" applyFont="1" applyFill="1" applyBorder="1"/>
    <xf numFmtId="164" fontId="0" fillId="2" borderId="6" xfId="0" applyNumberFormat="1" applyFont="1" applyFill="1" applyBorder="1"/>
    <xf numFmtId="164" fontId="0" fillId="2" borderId="1" xfId="0" applyNumberFormat="1" applyFill="1" applyBorder="1"/>
    <xf numFmtId="0" fontId="0" fillId="2" borderId="1" xfId="0" applyFill="1" applyBorder="1"/>
    <xf numFmtId="0" fontId="0" fillId="0" borderId="0" xfId="0"/>
    <xf numFmtId="164" fontId="0" fillId="2" borderId="24" xfId="0" applyNumberFormat="1" applyFont="1" applyFill="1" applyBorder="1"/>
    <xf numFmtId="10" fontId="0" fillId="4" borderId="39" xfId="0" applyNumberFormat="1" applyFill="1" applyBorder="1" applyAlignment="1">
      <alignment horizontal="center" vertical="center"/>
    </xf>
    <xf numFmtId="10" fontId="0" fillId="4" borderId="2" xfId="0" applyNumberFormat="1" applyFill="1" applyBorder="1"/>
    <xf numFmtId="10" fontId="0" fillId="4" borderId="2" xfId="0" applyNumberFormat="1" applyFont="1" applyFill="1" applyBorder="1" applyAlignment="1">
      <alignment horizontal="center" vertical="center"/>
    </xf>
    <xf numFmtId="10" fontId="8" fillId="4" borderId="2" xfId="1" applyNumberFormat="1" applyFont="1" applyFill="1" applyBorder="1"/>
    <xf numFmtId="0" fontId="22" fillId="0" borderId="40" xfId="0" applyFont="1" applyBorder="1" applyAlignment="1">
      <alignment vertical="center"/>
    </xf>
    <xf numFmtId="0" fontId="22" fillId="0" borderId="42" xfId="0" applyFont="1" applyBorder="1" applyAlignment="1">
      <alignment vertical="center"/>
    </xf>
    <xf numFmtId="0" fontId="22" fillId="0" borderId="41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8" xfId="0" applyFont="1" applyBorder="1" applyAlignment="1">
      <alignment vertical="center"/>
    </xf>
    <xf numFmtId="0" fontId="22" fillId="0" borderId="49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164" fontId="0" fillId="2" borderId="50" xfId="0" applyNumberFormat="1" applyFill="1" applyBorder="1"/>
    <xf numFmtId="0" fontId="25" fillId="0" borderId="21" xfId="0" applyFont="1" applyBorder="1" applyAlignment="1">
      <alignment horizontal="center" vertical="center"/>
    </xf>
    <xf numFmtId="164" fontId="0" fillId="2" borderId="51" xfId="0" applyNumberFormat="1" applyFont="1" applyFill="1" applyBorder="1"/>
    <xf numFmtId="164" fontId="11" fillId="2" borderId="6" xfId="0" applyNumberFormat="1" applyFont="1" applyFill="1" applyBorder="1" applyAlignment="1">
      <alignment horizontal="center" vertical="center"/>
    </xf>
    <xf numFmtId="164" fontId="11" fillId="2" borderId="22" xfId="0" applyNumberFormat="1" applyFont="1" applyFill="1" applyBorder="1" applyAlignment="1">
      <alignment horizontal="center" vertical="center"/>
    </xf>
    <xf numFmtId="164" fontId="10" fillId="2" borderId="6" xfId="0" applyNumberFormat="1" applyFont="1" applyFill="1" applyBorder="1"/>
    <xf numFmtId="0" fontId="0" fillId="7" borderId="0" xfId="0" applyFill="1"/>
    <xf numFmtId="0" fontId="1" fillId="0" borderId="0" xfId="0" applyFont="1"/>
    <xf numFmtId="0" fontId="0" fillId="0" borderId="0" xfId="0" applyProtection="1">
      <protection locked="0"/>
    </xf>
    <xf numFmtId="164" fontId="0" fillId="7" borderId="22" xfId="0" applyNumberFormat="1" applyFill="1" applyBorder="1" applyProtection="1">
      <protection locked="0"/>
    </xf>
    <xf numFmtId="164" fontId="0" fillId="7" borderId="23" xfId="0" applyNumberFormat="1" applyFill="1" applyBorder="1" applyProtection="1">
      <protection locked="0"/>
    </xf>
    <xf numFmtId="0" fontId="0" fillId="7" borderId="22" xfId="0" applyNumberForma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>
      <alignment horizontal="center" vertical="center"/>
    </xf>
    <xf numFmtId="0" fontId="0" fillId="2" borderId="54" xfId="0" applyNumberFormat="1" applyFill="1" applyBorder="1" applyAlignment="1" applyProtection="1">
      <alignment horizontal="left" vertical="center"/>
      <protection locked="0"/>
    </xf>
    <xf numFmtId="0" fontId="0" fillId="2" borderId="55" xfId="0" applyNumberFormat="1" applyFill="1" applyBorder="1" applyAlignment="1" applyProtection="1">
      <alignment horizontal="center" vertical="center"/>
      <protection locked="0"/>
    </xf>
    <xf numFmtId="0" fontId="0" fillId="2" borderId="56" xfId="0" applyNumberFormat="1" applyFill="1" applyBorder="1" applyAlignment="1" applyProtection="1">
      <alignment horizontal="center" vertical="center"/>
      <protection locked="0"/>
    </xf>
    <xf numFmtId="164" fontId="13" fillId="2" borderId="57" xfId="0" applyNumberFormat="1" applyFont="1" applyFill="1" applyBorder="1"/>
    <xf numFmtId="0" fontId="0" fillId="0" borderId="0" xfId="0"/>
    <xf numFmtId="0" fontId="0" fillId="2" borderId="0" xfId="0" applyFill="1"/>
    <xf numFmtId="164" fontId="1" fillId="0" borderId="0" xfId="0" applyNumberFormat="1" applyFont="1"/>
    <xf numFmtId="10" fontId="1" fillId="4" borderId="58" xfId="0" applyNumberFormat="1" applyFont="1" applyFill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 wrapText="1"/>
    </xf>
    <xf numFmtId="164" fontId="18" fillId="0" borderId="11" xfId="0" applyNumberFormat="1" applyFont="1" applyBorder="1"/>
    <xf numFmtId="0" fontId="16" fillId="0" borderId="59" xfId="0" applyFont="1" applyFill="1" applyBorder="1" applyAlignment="1">
      <alignment horizontal="right" vertical="center" wrapText="1"/>
    </xf>
    <xf numFmtId="164" fontId="0" fillId="0" borderId="1" xfId="0" applyNumberFormat="1" applyBorder="1"/>
    <xf numFmtId="0" fontId="0" fillId="0" borderId="1" xfId="0" applyBorder="1"/>
    <xf numFmtId="10" fontId="0" fillId="0" borderId="1" xfId="0" applyNumberFormat="1" applyBorder="1" applyAlignment="1">
      <alignment horizontal="center" vertical="center"/>
    </xf>
    <xf numFmtId="0" fontId="28" fillId="3" borderId="61" xfId="0" applyNumberFormat="1" applyFont="1" applyFill="1" applyBorder="1" applyAlignment="1" applyProtection="1">
      <alignment horizontal="left" vertical="center"/>
      <protection locked="0"/>
    </xf>
    <xf numFmtId="0" fontId="28" fillId="3" borderId="61" xfId="0" applyNumberFormat="1" applyFont="1" applyFill="1" applyBorder="1" applyAlignment="1" applyProtection="1">
      <alignment horizontal="center" vertical="center"/>
      <protection locked="0"/>
    </xf>
    <xf numFmtId="0" fontId="0" fillId="0" borderId="61" xfId="0" applyBorder="1"/>
    <xf numFmtId="0" fontId="1" fillId="7" borderId="61" xfId="0" applyFont="1" applyFill="1" applyBorder="1" applyAlignment="1" applyProtection="1">
      <alignment horizontal="center" vertical="center"/>
      <protection locked="0"/>
    </xf>
    <xf numFmtId="164" fontId="0" fillId="0" borderId="60" xfId="0" applyNumberFormat="1" applyBorder="1" applyAlignment="1">
      <alignment horizontal="right" vertical="center"/>
    </xf>
    <xf numFmtId="164" fontId="0" fillId="0" borderId="58" xfId="0" applyNumberFormat="1" applyBorder="1" applyAlignment="1">
      <alignment horizontal="right" vertical="center"/>
    </xf>
    <xf numFmtId="0" fontId="0" fillId="0" borderId="60" xfId="0" applyBorder="1" applyAlignment="1">
      <alignment horizontal="right" vertical="center"/>
    </xf>
    <xf numFmtId="0" fontId="0" fillId="0" borderId="58" xfId="0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" fillId="0" borderId="18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0" fontId="1" fillId="0" borderId="34" xfId="0" applyFont="1" applyBorder="1" applyAlignment="1">
      <alignment horizontal="right" vertical="center"/>
    </xf>
    <xf numFmtId="0" fontId="1" fillId="0" borderId="19" xfId="0" applyFont="1" applyBorder="1" applyAlignment="1">
      <alignment horizontal="right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5" fillId="0" borderId="30" xfId="0" applyFont="1" applyBorder="1" applyAlignment="1">
      <alignment horizontal="right"/>
    </xf>
    <xf numFmtId="0" fontId="5" fillId="0" borderId="31" xfId="0" applyFont="1" applyBorder="1" applyAlignment="1">
      <alignment horizontal="right"/>
    </xf>
    <xf numFmtId="0" fontId="11" fillId="0" borderId="18" xfId="0" applyFont="1" applyBorder="1" applyAlignment="1">
      <alignment horizontal="right"/>
    </xf>
    <xf numFmtId="0" fontId="11" fillId="0" borderId="19" xfId="0" applyFont="1" applyBorder="1" applyAlignment="1">
      <alignment horizontal="right"/>
    </xf>
    <xf numFmtId="0" fontId="10" fillId="0" borderId="18" xfId="0" applyFont="1" applyBorder="1" applyAlignment="1">
      <alignment horizontal="right"/>
    </xf>
    <xf numFmtId="0" fontId="10" fillId="0" borderId="19" xfId="0" applyFont="1" applyBorder="1" applyAlignment="1">
      <alignment horizontal="right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4" fillId="0" borderId="18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4" fillId="0" borderId="38" xfId="0" applyFont="1" applyBorder="1" applyAlignment="1">
      <alignment horizontal="left"/>
    </xf>
    <xf numFmtId="0" fontId="6" fillId="0" borderId="16" xfId="0" applyFont="1" applyBorder="1" applyAlignment="1">
      <alignment horizontal="right" vertical="center" textRotation="89" wrapText="1"/>
    </xf>
    <xf numFmtId="0" fontId="6" fillId="0" borderId="15" xfId="0" applyFont="1" applyBorder="1" applyAlignment="1">
      <alignment horizontal="right" vertical="center" textRotation="89" wrapText="1"/>
    </xf>
    <xf numFmtId="0" fontId="6" fillId="0" borderId="17" xfId="0" applyFont="1" applyBorder="1" applyAlignment="1">
      <alignment horizontal="right" vertical="center" textRotation="89" wrapText="1"/>
    </xf>
    <xf numFmtId="0" fontId="6" fillId="0" borderId="25" xfId="0" applyFont="1" applyBorder="1" applyAlignment="1">
      <alignment horizontal="right" vertical="center" textRotation="89"/>
    </xf>
    <xf numFmtId="0" fontId="6" fillId="0" borderId="15" xfId="0" applyFont="1" applyBorder="1" applyAlignment="1">
      <alignment horizontal="right" vertical="center" textRotation="89"/>
    </xf>
    <xf numFmtId="0" fontId="26" fillId="6" borderId="26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left"/>
    </xf>
    <xf numFmtId="0" fontId="13" fillId="0" borderId="33" xfId="0" applyFont="1" applyBorder="1" applyAlignment="1">
      <alignment horizontal="left"/>
    </xf>
    <xf numFmtId="0" fontId="26" fillId="6" borderId="28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2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26" fmlaLink="$E$54" fmlaRange="$D$52:$D$53" sel="2" val="0"/>
</file>

<file path=xl/ctrlProps/ctrlProp2.xml><?xml version="1.0" encoding="utf-8"?>
<formControlPr xmlns="http://schemas.microsoft.com/office/spreadsheetml/2009/9/main" objectType="Drop" dropLines="4" dropStyle="combo" dx="26" fmlaLink="$E$59" fmlaRange="$D$56:$D$58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2415540</xdr:colOff>
          <xdr:row>27</xdr:row>
          <xdr:rowOff>38100</xdr:rowOff>
        </xdr:from>
        <xdr:to>
          <xdr:col>3</xdr:col>
          <xdr:colOff>731520</xdr:colOff>
          <xdr:row>27</xdr:row>
          <xdr:rowOff>274320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27</xdr:row>
          <xdr:rowOff>53340</xdr:rowOff>
        </xdr:from>
        <xdr:to>
          <xdr:col>6</xdr:col>
          <xdr:colOff>15240</xdr:colOff>
          <xdr:row>27</xdr:row>
          <xdr:rowOff>297180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pt/url?sa=t&amp;rct=j&amp;q=&amp;esrc=s&amp;source=web&amp;cd=1&amp;cad=rja&amp;uact=8&amp;ved=0ahUKEwiP1tOK5vLJAhUHOBoKHfOMBegQFgghMAA&amp;url=https%3A%2F%2Fwww.pordata.pt%2FPortugal%2FSal%25C3%25A1rio%2Bm%25C3%25ADnimo%2Bnacional-74&amp;usg=AFQjCNEbj-f4jFmk7J2eL-ZnCnOSehLaLw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P70"/>
  <sheetViews>
    <sheetView tabSelected="1" workbookViewId="0">
      <selection activeCell="I13" sqref="I13"/>
    </sheetView>
  </sheetViews>
  <sheetFormatPr defaultRowHeight="15" customHeight="1" x14ac:dyDescent="0.3"/>
  <cols>
    <col min="1" max="1" width="3.77734375" customWidth="1"/>
    <col min="2" max="2" width="52.5546875" customWidth="1"/>
    <col min="3" max="4" width="12.77734375" customWidth="1"/>
    <col min="5" max="5" width="2.77734375" customWidth="1"/>
    <col min="6" max="6" width="12.77734375" customWidth="1"/>
    <col min="7" max="7" width="18" bestFit="1" customWidth="1"/>
    <col min="8" max="8" width="13.33203125" customWidth="1"/>
    <col min="9" max="9" width="12" bestFit="1" customWidth="1"/>
    <col min="10" max="10" width="8.77734375" customWidth="1"/>
    <col min="11" max="11" width="34.88671875" customWidth="1"/>
    <col min="12" max="12" width="11.44140625" bestFit="1" customWidth="1"/>
    <col min="13" max="13" width="12.6640625" bestFit="1" customWidth="1"/>
    <col min="14" max="15" width="10.77734375" customWidth="1"/>
    <col min="16" max="16" width="15.5546875" customWidth="1"/>
  </cols>
  <sheetData>
    <row r="1" spans="1:15" ht="15" customHeight="1" thickTop="1" thickBot="1" x14ac:dyDescent="0.35">
      <c r="A1" s="127" t="s">
        <v>21</v>
      </c>
      <c r="B1" s="129" t="s">
        <v>74</v>
      </c>
      <c r="C1" s="130"/>
      <c r="D1" s="37">
        <v>2015</v>
      </c>
      <c r="E1" s="14"/>
      <c r="F1" s="139">
        <v>2016</v>
      </c>
      <c r="G1" s="140"/>
      <c r="I1" s="1"/>
      <c r="O1" s="33"/>
    </row>
    <row r="2" spans="1:15" ht="15" customHeight="1" thickTop="1" x14ac:dyDescent="0.3">
      <c r="A2" s="128"/>
      <c r="B2" s="104" t="s">
        <v>70</v>
      </c>
      <c r="C2" s="105"/>
      <c r="D2" s="68" t="s">
        <v>61</v>
      </c>
      <c r="E2" s="15"/>
      <c r="F2" s="68" t="s">
        <v>61</v>
      </c>
      <c r="G2" s="68" t="s">
        <v>60</v>
      </c>
      <c r="H2" s="73"/>
      <c r="I2" s="74" t="s">
        <v>66</v>
      </c>
      <c r="O2" s="33"/>
    </row>
    <row r="3" spans="1:15" ht="15" customHeight="1" x14ac:dyDescent="0.3">
      <c r="A3" s="128"/>
      <c r="B3" s="120" t="s">
        <v>62</v>
      </c>
      <c r="C3" s="121"/>
      <c r="D3" s="76">
        <v>0</v>
      </c>
      <c r="E3" s="16"/>
      <c r="F3" s="76">
        <v>0</v>
      </c>
      <c r="G3" s="76">
        <v>0</v>
      </c>
      <c r="H3" s="62"/>
    </row>
    <row r="4" spans="1:15" ht="15" customHeight="1" x14ac:dyDescent="0.3">
      <c r="A4" s="128"/>
      <c r="B4" s="120" t="s">
        <v>63</v>
      </c>
      <c r="C4" s="121"/>
      <c r="D4" s="76">
        <v>0</v>
      </c>
      <c r="E4" s="16"/>
      <c r="F4" s="76">
        <v>0</v>
      </c>
      <c r="G4" s="76">
        <v>0</v>
      </c>
      <c r="H4" s="2"/>
      <c r="I4" s="2"/>
      <c r="J4" s="2"/>
      <c r="K4" s="7"/>
    </row>
    <row r="5" spans="1:15" ht="15" customHeight="1" x14ac:dyDescent="0.3">
      <c r="A5" s="128"/>
      <c r="B5" s="120" t="s">
        <v>64</v>
      </c>
      <c r="C5" s="121"/>
      <c r="D5" s="76">
        <v>0</v>
      </c>
      <c r="E5" s="16"/>
      <c r="F5" s="76">
        <v>0</v>
      </c>
      <c r="G5" s="76">
        <v>0</v>
      </c>
      <c r="H5" s="1"/>
      <c r="I5" s="29"/>
      <c r="K5" s="7"/>
    </row>
    <row r="6" spans="1:15" ht="15" customHeight="1" x14ac:dyDescent="0.3">
      <c r="A6" s="128"/>
      <c r="B6" s="120" t="s">
        <v>65</v>
      </c>
      <c r="C6" s="121"/>
      <c r="D6" s="76">
        <v>0</v>
      </c>
      <c r="E6" s="16"/>
      <c r="F6" s="76">
        <v>0</v>
      </c>
      <c r="G6" s="76">
        <v>0</v>
      </c>
      <c r="I6" s="1"/>
      <c r="N6" s="1"/>
    </row>
    <row r="7" spans="1:15" ht="15" customHeight="1" x14ac:dyDescent="0.3">
      <c r="A7" s="128"/>
      <c r="B7" s="120" t="s">
        <v>0</v>
      </c>
      <c r="C7" s="121"/>
      <c r="D7" s="8">
        <f>D26</f>
        <v>0</v>
      </c>
      <c r="E7" s="16"/>
      <c r="F7" s="8">
        <f>F26</f>
        <v>0</v>
      </c>
      <c r="G7" s="40">
        <f>F26</f>
        <v>0</v>
      </c>
      <c r="I7" s="1"/>
    </row>
    <row r="8" spans="1:15" ht="15" customHeight="1" thickBot="1" x14ac:dyDescent="0.35">
      <c r="A8" s="128"/>
      <c r="B8" s="131" t="s">
        <v>14</v>
      </c>
      <c r="C8" s="132"/>
      <c r="D8" s="25">
        <f>+IF(INT((D3-D4-D5-D6-D7)*3.5%)&lt;0,0,INT((D3-D5-D4-D6-D7)*3.5%))</f>
        <v>0</v>
      </c>
      <c r="E8" s="17"/>
      <c r="F8" s="25">
        <f>+IF(INT((F3-F4-F5-F6-F7)*G31)&lt;0,0,INT((F3-F4-F5-F6-F7)*G31))</f>
        <v>0</v>
      </c>
      <c r="G8" s="83">
        <f>+IF(INT((G3-G4-G5-G6-G7)*G31)&lt;0,0,INT((G3-G4-G5-G6-G7)*G31))</f>
        <v>0</v>
      </c>
      <c r="I8" s="1"/>
    </row>
    <row r="9" spans="1:15" ht="15" customHeight="1" thickTop="1" thickBot="1" x14ac:dyDescent="0.35">
      <c r="A9" s="124" t="s">
        <v>9</v>
      </c>
      <c r="B9" s="133" t="s">
        <v>75</v>
      </c>
      <c r="C9" s="134"/>
      <c r="D9" s="44"/>
      <c r="E9" s="26"/>
      <c r="F9" s="41"/>
      <c r="G9" s="41"/>
      <c r="H9" s="11"/>
    </row>
    <row r="10" spans="1:15" ht="15" customHeight="1" thickTop="1" thickBot="1" x14ac:dyDescent="0.35">
      <c r="A10" s="125"/>
      <c r="B10" s="104" t="s">
        <v>70</v>
      </c>
      <c r="C10" s="105"/>
      <c r="D10" s="12"/>
      <c r="E10" s="16"/>
      <c r="F10" s="39"/>
      <c r="G10" s="39"/>
      <c r="H10" s="11"/>
      <c r="I10" s="84"/>
    </row>
    <row r="11" spans="1:15" ht="15" customHeight="1" thickTop="1" x14ac:dyDescent="0.3">
      <c r="A11" s="125"/>
      <c r="B11" s="135" t="s">
        <v>72</v>
      </c>
      <c r="C11" s="136"/>
      <c r="D11" s="8">
        <f>(D3*14)+D12+D13</f>
        <v>0</v>
      </c>
      <c r="E11" s="16"/>
      <c r="F11" s="40">
        <f>(F3*14)+F12+F13</f>
        <v>0</v>
      </c>
      <c r="G11" s="40">
        <f>(G3*14)+G12+G13</f>
        <v>0</v>
      </c>
      <c r="H11" s="3"/>
    </row>
    <row r="12" spans="1:15" ht="15" customHeight="1" x14ac:dyDescent="0.3">
      <c r="A12" s="125"/>
      <c r="B12" s="120" t="s">
        <v>71</v>
      </c>
      <c r="C12" s="121"/>
      <c r="D12" s="76">
        <v>0</v>
      </c>
      <c r="E12" s="16"/>
      <c r="F12" s="76">
        <v>0</v>
      </c>
      <c r="G12" s="76">
        <v>0</v>
      </c>
      <c r="H12" s="3"/>
    </row>
    <row r="13" spans="1:15" ht="15" customHeight="1" x14ac:dyDescent="0.3">
      <c r="A13" s="125"/>
      <c r="B13" s="120" t="s">
        <v>20</v>
      </c>
      <c r="C13" s="121"/>
      <c r="D13" s="76">
        <v>0</v>
      </c>
      <c r="E13" s="16"/>
      <c r="F13" s="76">
        <v>0</v>
      </c>
      <c r="G13" s="76">
        <v>0</v>
      </c>
      <c r="H13" s="3"/>
    </row>
    <row r="14" spans="1:15" ht="15" customHeight="1" x14ac:dyDescent="0.3">
      <c r="A14" s="125"/>
      <c r="B14" s="120" t="s">
        <v>73</v>
      </c>
      <c r="C14" s="121"/>
      <c r="D14" s="8">
        <f>IF(D11&lt;4104,D11,IF(D11*0.11&lt;4104,4104,+D11*0.11))</f>
        <v>0</v>
      </c>
      <c r="E14" s="16"/>
      <c r="F14" s="40">
        <f>IF(F11&lt;4104,F11,IF(F11*0.11&lt;4104,4104,+F11*0.11))</f>
        <v>0</v>
      </c>
      <c r="G14" s="40">
        <f>IF(G11&lt;4104,G11,IF(G11*0.11&lt;4104,4104,+G11*0.11))</f>
        <v>0</v>
      </c>
      <c r="I14" s="1"/>
      <c r="J14" s="75"/>
    </row>
    <row r="15" spans="1:15" ht="15" customHeight="1" x14ac:dyDescent="0.3">
      <c r="A15" s="125"/>
      <c r="B15" s="120" t="s">
        <v>17</v>
      </c>
      <c r="C15" s="121"/>
      <c r="D15" s="76">
        <v>0</v>
      </c>
      <c r="E15" s="16"/>
      <c r="F15" s="76">
        <v>0</v>
      </c>
      <c r="G15" s="76">
        <v>0</v>
      </c>
      <c r="K15" s="75"/>
    </row>
    <row r="16" spans="1:15" ht="15" customHeight="1" x14ac:dyDescent="0.3">
      <c r="A16" s="125"/>
      <c r="B16" s="120" t="s">
        <v>18</v>
      </c>
      <c r="C16" s="121"/>
      <c r="D16" s="76">
        <v>0</v>
      </c>
      <c r="E16" s="16"/>
      <c r="F16" s="76">
        <v>0</v>
      </c>
      <c r="G16" s="76">
        <v>0</v>
      </c>
      <c r="H16" s="6"/>
    </row>
    <row r="17" spans="1:14" ht="15" customHeight="1" thickBot="1" x14ac:dyDescent="0.35">
      <c r="A17" s="125"/>
      <c r="B17" s="122" t="s">
        <v>19</v>
      </c>
      <c r="C17" s="123"/>
      <c r="D17" s="77">
        <v>0</v>
      </c>
      <c r="E17" s="16"/>
      <c r="F17" s="77">
        <v>0</v>
      </c>
      <c r="G17" s="77">
        <v>0</v>
      </c>
      <c r="H17" s="2"/>
      <c r="I17" s="2"/>
      <c r="J17" s="2"/>
      <c r="K17" s="7"/>
    </row>
    <row r="18" spans="1:14" s="36" customFormat="1" ht="15" customHeight="1" thickTop="1" thickBot="1" x14ac:dyDescent="0.35">
      <c r="A18" s="125"/>
      <c r="B18" s="112" t="s">
        <v>69</v>
      </c>
      <c r="C18" s="113"/>
      <c r="D18" s="50">
        <f>D11</f>
        <v>0</v>
      </c>
      <c r="E18" s="26"/>
      <c r="F18" s="50">
        <f>F11+G18</f>
        <v>0</v>
      </c>
      <c r="G18" s="69">
        <f>G11</f>
        <v>0</v>
      </c>
      <c r="H18" s="2"/>
      <c r="I18" s="2"/>
      <c r="J18" s="2"/>
      <c r="K18" s="7"/>
    </row>
    <row r="19" spans="1:14" ht="15" customHeight="1" thickTop="1" x14ac:dyDescent="0.3">
      <c r="A19" s="125"/>
      <c r="B19" s="106" t="s">
        <v>23</v>
      </c>
      <c r="C19" s="107"/>
      <c r="D19" s="46">
        <f>+(D18)+D14-D15-D16-D17</f>
        <v>0</v>
      </c>
      <c r="E19" s="16"/>
      <c r="F19" s="45">
        <f>(F18)-F14-G14-F15-F16-F17-G15-G16-G17</f>
        <v>0</v>
      </c>
      <c r="G19" s="36"/>
      <c r="H19" s="1"/>
      <c r="I19" s="29"/>
      <c r="K19" s="7"/>
    </row>
    <row r="20" spans="1:14" ht="15" customHeight="1" x14ac:dyDescent="0.3">
      <c r="A20" s="125"/>
      <c r="B20" s="106" t="s">
        <v>43</v>
      </c>
      <c r="C20" s="107"/>
      <c r="D20" s="8">
        <f>(D26*D27)*E54</f>
        <v>0</v>
      </c>
      <c r="E20" s="16"/>
      <c r="F20" s="40">
        <f>(F26*F27)*E54</f>
        <v>0</v>
      </c>
      <c r="G20" s="36"/>
      <c r="H20" s="1"/>
      <c r="I20" s="1"/>
      <c r="N20" s="1"/>
    </row>
    <row r="21" spans="1:14" s="36" customFormat="1" ht="15" customHeight="1" x14ac:dyDescent="0.3">
      <c r="A21" s="125"/>
      <c r="B21" s="106" t="s">
        <v>44</v>
      </c>
      <c r="C21" s="107"/>
      <c r="D21" s="78">
        <v>0</v>
      </c>
      <c r="E21" s="16"/>
      <c r="F21" s="78">
        <v>0</v>
      </c>
      <c r="G21" s="1"/>
      <c r="I21" s="1"/>
      <c r="N21" s="1"/>
    </row>
    <row r="22" spans="1:14" ht="15" customHeight="1" x14ac:dyDescent="0.3">
      <c r="A22" s="125"/>
      <c r="B22" s="114" t="s">
        <v>42</v>
      </c>
      <c r="C22" s="115"/>
      <c r="D22" s="13">
        <f>D19-D20</f>
        <v>0</v>
      </c>
      <c r="E22" s="16"/>
      <c r="F22" s="42">
        <f>F19-F20</f>
        <v>0</v>
      </c>
      <c r="G22" s="36"/>
      <c r="I22" s="1"/>
      <c r="K22" s="11"/>
    </row>
    <row r="23" spans="1:14" ht="15" customHeight="1" x14ac:dyDescent="0.3">
      <c r="A23" s="125"/>
      <c r="B23" s="116" t="s">
        <v>68</v>
      </c>
      <c r="C23" s="117"/>
      <c r="D23" s="72">
        <f>+(D22*3.5%)-D21</f>
        <v>0</v>
      </c>
      <c r="E23" s="17"/>
      <c r="F23" s="43">
        <f>(F22*G31)-F50</f>
        <v>0</v>
      </c>
      <c r="G23" s="36"/>
      <c r="H23" s="31"/>
      <c r="I23" s="1"/>
    </row>
    <row r="24" spans="1:14" ht="15" customHeight="1" x14ac:dyDescent="0.3">
      <c r="A24" s="125"/>
      <c r="B24" s="108" t="s">
        <v>67</v>
      </c>
      <c r="C24" s="109"/>
      <c r="D24" s="76">
        <v>0</v>
      </c>
      <c r="E24" s="16"/>
      <c r="F24" s="76">
        <v>0</v>
      </c>
      <c r="G24" s="36"/>
    </row>
    <row r="25" spans="1:14" ht="15" customHeight="1" thickBot="1" x14ac:dyDescent="0.35">
      <c r="A25" s="126"/>
      <c r="B25" s="118" t="str">
        <f>IF(F25&gt;1,"Diferênca a Pagar→",IF(F25&lt;0,"Diferença a Receber→",IF(F25=0,"Diferênça →",)))</f>
        <v>Diferênça →</v>
      </c>
      <c r="C25" s="119"/>
      <c r="D25" s="70">
        <f>D23-D24-D21</f>
        <v>0</v>
      </c>
      <c r="E25" s="18"/>
      <c r="F25" s="71">
        <f>F23-F24-F21</f>
        <v>0</v>
      </c>
      <c r="G25" s="36"/>
    </row>
    <row r="26" spans="1:14" ht="15" customHeight="1" x14ac:dyDescent="0.3">
      <c r="A26" s="27"/>
      <c r="B26" s="108" t="s">
        <v>15</v>
      </c>
      <c r="C26" s="109"/>
      <c r="D26" s="40">
        <f>IF(D3&gt;1,505,)</f>
        <v>0</v>
      </c>
      <c r="E26" s="24"/>
      <c r="F26" s="40">
        <f>IF(F3&gt;1,530,)</f>
        <v>0</v>
      </c>
      <c r="G26" s="36"/>
    </row>
    <row r="27" spans="1:14" ht="15" customHeight="1" thickBot="1" x14ac:dyDescent="0.35">
      <c r="A27" s="28"/>
      <c r="B27" s="110" t="s">
        <v>16</v>
      </c>
      <c r="C27" s="111"/>
      <c r="D27" s="67">
        <f>IF(D3&gt;1,14,)</f>
        <v>0</v>
      </c>
      <c r="E27" s="32"/>
      <c r="F27" s="67">
        <f>IF(F3&gt;1,14,)</f>
        <v>0</v>
      </c>
      <c r="G27" s="36"/>
    </row>
    <row r="28" spans="1:14" ht="25.2" customHeight="1" thickTop="1" thickBot="1" x14ac:dyDescent="0.35">
      <c r="B28" s="80" t="s">
        <v>76</v>
      </c>
      <c r="C28" s="81"/>
      <c r="D28" s="82"/>
      <c r="E28" s="79">
        <f>E54</f>
        <v>2</v>
      </c>
      <c r="F28" s="85"/>
      <c r="G28" s="84"/>
      <c r="H28" s="84"/>
      <c r="I28" s="84"/>
      <c r="J28" s="84"/>
    </row>
    <row r="29" spans="1:14" ht="15" customHeight="1" thickTop="1" x14ac:dyDescent="0.3">
      <c r="F29" s="11"/>
    </row>
    <row r="30" spans="1:14" ht="15" customHeight="1" thickBot="1" x14ac:dyDescent="0.35">
      <c r="E30" s="84"/>
      <c r="G30" s="6" t="s">
        <v>24</v>
      </c>
    </row>
    <row r="31" spans="1:14" ht="15" customHeight="1" thickTop="1" thickBot="1" x14ac:dyDescent="0.35">
      <c r="E31" s="84"/>
      <c r="G31" s="30">
        <f>I36</f>
        <v>0</v>
      </c>
    </row>
    <row r="32" spans="1:14" ht="15" customHeight="1" thickTop="1" x14ac:dyDescent="0.3">
      <c r="B32" s="49"/>
      <c r="C32" s="49"/>
      <c r="D32" s="49"/>
      <c r="E32" s="49"/>
      <c r="F32" s="49"/>
      <c r="G32" s="49"/>
    </row>
    <row r="33" spans="2:15" ht="15" hidden="1" customHeight="1" x14ac:dyDescent="0.3">
      <c r="B33" s="49"/>
      <c r="C33" s="49"/>
      <c r="D33" s="49"/>
      <c r="E33" s="49"/>
      <c r="F33" s="49"/>
      <c r="G33" s="49"/>
    </row>
    <row r="34" spans="2:15" ht="15" hidden="1" customHeight="1" x14ac:dyDescent="0.3">
      <c r="B34" s="49"/>
      <c r="C34" s="49"/>
      <c r="D34" s="49"/>
      <c r="E34" s="49"/>
      <c r="F34" s="49"/>
      <c r="G34" s="49"/>
    </row>
    <row r="35" spans="2:15" ht="15" hidden="1" customHeight="1" thickBot="1" x14ac:dyDescent="0.35">
      <c r="B35" s="49"/>
      <c r="C35" s="49"/>
      <c r="D35" s="49"/>
      <c r="E35" s="49"/>
      <c r="F35" s="49"/>
      <c r="G35" s="49"/>
    </row>
    <row r="36" spans="2:15" ht="15" hidden="1" customHeight="1" thickTop="1" thickBot="1" x14ac:dyDescent="0.35">
      <c r="B36" s="49"/>
      <c r="C36" s="102" t="s">
        <v>25</v>
      </c>
      <c r="D36" s="102"/>
      <c r="E36" s="102"/>
      <c r="F36" s="102" t="s">
        <v>24</v>
      </c>
      <c r="G36" s="103" t="s">
        <v>26</v>
      </c>
      <c r="H36" s="143" t="s">
        <v>27</v>
      </c>
      <c r="I36" s="51">
        <f>IF(M38=14.5%,0%,IF(M39=28.5%,1%,IF(M40=37%,1.75%,IF(M41=45%,3%,IF(M42=48%,3.5%,IF(N38=13.41%,0%,IF(N39=28.5%,1%,IF(N40=37%,1.75%,IF(N41=45%,3%,IF(N418=48%,3.5%,IF(O38=10.15%,0%,IF(O39=21.38%,1%,IF(O40=29.6%,1.75%,IF(O41=36%,3%,IF(O42=38.4%,3.5%)))))))))))))))</f>
        <v>0</v>
      </c>
      <c r="J36" s="141" t="s">
        <v>2</v>
      </c>
      <c r="K36" s="141" t="s">
        <v>34</v>
      </c>
      <c r="L36" s="141" t="s">
        <v>3</v>
      </c>
      <c r="M36" s="137" t="s">
        <v>10</v>
      </c>
      <c r="N36" s="137" t="s">
        <v>11</v>
      </c>
      <c r="O36" s="137" t="s">
        <v>12</v>
      </c>
    </row>
    <row r="37" spans="2:15" ht="15" hidden="1" customHeight="1" thickBot="1" x14ac:dyDescent="0.35">
      <c r="B37" s="49"/>
      <c r="C37" s="102"/>
      <c r="D37" s="102"/>
      <c r="E37" s="102"/>
      <c r="F37" s="102"/>
      <c r="G37" s="102"/>
      <c r="H37" s="144"/>
      <c r="J37" s="142"/>
      <c r="K37" s="142"/>
      <c r="L37" s="142"/>
      <c r="M37" s="138"/>
      <c r="N37" s="138"/>
      <c r="O37" s="138"/>
    </row>
    <row r="38" spans="2:15" ht="15" hidden="1" customHeight="1" thickBot="1" x14ac:dyDescent="0.35">
      <c r="B38" s="49"/>
      <c r="C38" s="91">
        <v>0</v>
      </c>
      <c r="D38" s="98">
        <f>F48</f>
        <v>0</v>
      </c>
      <c r="E38" s="99"/>
      <c r="F38" s="93">
        <v>0</v>
      </c>
      <c r="G38" s="91">
        <v>0</v>
      </c>
      <c r="H38" s="47">
        <f>D38-G38</f>
        <v>0</v>
      </c>
      <c r="I38" s="35"/>
      <c r="J38" s="4" t="s">
        <v>4</v>
      </c>
      <c r="K38" s="5" t="s">
        <v>32</v>
      </c>
      <c r="L38" s="9">
        <v>0</v>
      </c>
      <c r="M38" s="52">
        <f>IF(E59=1,IF(L43&lt;=7420,14.5%))</f>
        <v>0.14499999999999999</v>
      </c>
      <c r="N38" s="53" t="b">
        <f>IF(E59=2,IF(L43&lt;=H38,13.41%))</f>
        <v>0</v>
      </c>
      <c r="O38" s="54" t="b">
        <f>IF(E59=3,IF(L43&lt;=H38,10.15%))</f>
        <v>0</v>
      </c>
    </row>
    <row r="39" spans="2:15" ht="15" hidden="1" customHeight="1" thickBot="1" x14ac:dyDescent="0.35">
      <c r="B39" s="49"/>
      <c r="C39" s="91">
        <f>+D38+0.01</f>
        <v>0.01</v>
      </c>
      <c r="D39" s="98">
        <v>20000</v>
      </c>
      <c r="E39" s="99"/>
      <c r="F39" s="93">
        <v>0.01</v>
      </c>
      <c r="G39" s="91">
        <f>+(D39-(D38*E28))*F39-F50*F49</f>
        <v>200</v>
      </c>
      <c r="H39" s="47">
        <f>D39-G39</f>
        <v>19800</v>
      </c>
      <c r="I39" s="35"/>
      <c r="J39" s="4" t="s">
        <v>5</v>
      </c>
      <c r="K39" s="5" t="s">
        <v>39</v>
      </c>
      <c r="L39" s="9">
        <v>0.01</v>
      </c>
      <c r="M39" s="19">
        <f>IF(E59=1,IF(L43&lt;=H39,28.5%))</f>
        <v>0.28499999999999998</v>
      </c>
      <c r="N39" s="22" t="b">
        <f>IF(E59=2,IF(L43&lt;=H39,28.5%))</f>
        <v>0</v>
      </c>
      <c r="O39" s="22" t="b">
        <f>IF(E59=3,IF(L43&lt;=H39,21.38%))</f>
        <v>0</v>
      </c>
    </row>
    <row r="40" spans="2:15" ht="15" hidden="1" customHeight="1" thickBot="1" x14ac:dyDescent="0.35">
      <c r="B40" s="49"/>
      <c r="C40" s="91">
        <v>20000.009999999998</v>
      </c>
      <c r="D40" s="98">
        <v>40000</v>
      </c>
      <c r="E40" s="99"/>
      <c r="F40" s="93">
        <v>1.7500000000000002E-2</v>
      </c>
      <c r="G40" s="91">
        <f>+(D40-(D38*E28))*F40-F50*F49</f>
        <v>700.00000000000011</v>
      </c>
      <c r="H40" s="47">
        <f>D40-G40</f>
        <v>39300</v>
      </c>
      <c r="I40" s="35"/>
      <c r="J40" s="4" t="s">
        <v>6</v>
      </c>
      <c r="K40" s="5" t="s">
        <v>40</v>
      </c>
      <c r="L40" s="9">
        <v>1.7500000000000002E-2</v>
      </c>
      <c r="M40" s="19">
        <f>IF(E59=1,IF(L43&lt;=H40,37%))</f>
        <v>0.37</v>
      </c>
      <c r="N40" s="21" t="b">
        <f>IF(E59=2,IF(L43&lt;=H40,37%))</f>
        <v>0</v>
      </c>
      <c r="O40" s="22" t="b">
        <f>IF(E59=3,IF(L43&lt;=H40,29.6%))</f>
        <v>0</v>
      </c>
    </row>
    <row r="41" spans="2:15" ht="15" hidden="1" customHeight="1" thickBot="1" x14ac:dyDescent="0.35">
      <c r="B41" s="49"/>
      <c r="C41" s="91">
        <v>40000.01</v>
      </c>
      <c r="D41" s="98">
        <v>80000</v>
      </c>
      <c r="E41" s="99"/>
      <c r="F41" s="93">
        <v>0.03</v>
      </c>
      <c r="G41" s="91">
        <f>+(D41-(D38*E28))*F41-F50*F49</f>
        <v>2400</v>
      </c>
      <c r="H41" s="47">
        <f>D41-G41</f>
        <v>77600</v>
      </c>
      <c r="I41" s="35"/>
      <c r="J41" s="4" t="s">
        <v>7</v>
      </c>
      <c r="K41" s="5" t="s">
        <v>41</v>
      </c>
      <c r="L41" s="10">
        <v>0.03</v>
      </c>
      <c r="M41" s="19">
        <f>IF(E59=1,IF(L43&lt;=H41,45%))</f>
        <v>0.45</v>
      </c>
      <c r="N41" s="22" t="b">
        <f>IF(E59=2,IF(L43&lt;=H41,45%))</f>
        <v>0</v>
      </c>
      <c r="O41" s="22" t="b">
        <f>IF(E59=3,IF(L43&lt;=H41,36%))</f>
        <v>0</v>
      </c>
    </row>
    <row r="42" spans="2:15" ht="15" hidden="1" customHeight="1" thickBot="1" x14ac:dyDescent="0.35">
      <c r="B42" s="49"/>
      <c r="C42" s="91">
        <v>80000.009999999995</v>
      </c>
      <c r="D42" s="100">
        <v>9.9999999999999906E+70</v>
      </c>
      <c r="E42" s="101"/>
      <c r="F42" s="93">
        <v>3.5000000000000003E-2</v>
      </c>
      <c r="G42" s="92"/>
      <c r="H42" s="48"/>
      <c r="I42" s="38"/>
      <c r="J42" s="4" t="s">
        <v>8</v>
      </c>
      <c r="K42" s="5" t="s">
        <v>33</v>
      </c>
      <c r="L42" s="88">
        <v>3.5000000000000003E-2</v>
      </c>
      <c r="M42" s="19" t="b">
        <f>IF(E59=1,IF(L43&gt;H41,48%))</f>
        <v>0</v>
      </c>
      <c r="N42" s="21" t="b">
        <f>IF(E59=2,IF(L43&gt;H41,48%))</f>
        <v>0</v>
      </c>
      <c r="O42" s="22" t="b">
        <f>IF(E59=3,IF(L43&gt;H41,38.4%))</f>
        <v>0</v>
      </c>
    </row>
    <row r="43" spans="2:15" ht="22.2" hidden="1" customHeight="1" thickTop="1" thickBot="1" x14ac:dyDescent="0.35">
      <c r="B43" s="49"/>
      <c r="C43" s="49"/>
      <c r="D43" s="49"/>
      <c r="E43" s="49"/>
      <c r="F43" s="49"/>
      <c r="G43" s="49"/>
      <c r="H43" s="84"/>
      <c r="I43" s="38"/>
      <c r="K43" s="90" t="s">
        <v>35</v>
      </c>
      <c r="L43" s="89">
        <f>(F47)/E54</f>
        <v>0</v>
      </c>
      <c r="M43" s="87">
        <f>MIN(M38:M42)</f>
        <v>0.14499999999999999</v>
      </c>
      <c r="N43" s="23">
        <f>MIN(N38:N42)</f>
        <v>0</v>
      </c>
      <c r="O43" s="20">
        <f>MIN(O38:O42)</f>
        <v>0</v>
      </c>
    </row>
    <row r="44" spans="2:15" ht="15" hidden="1" customHeight="1" x14ac:dyDescent="0.3">
      <c r="B44" s="49"/>
      <c r="C44" s="74" t="s">
        <v>22</v>
      </c>
      <c r="D44" s="74"/>
      <c r="E44" s="74"/>
      <c r="F44" s="86">
        <f>IF(IF(F45-((F47-(F48*E28))*G31-F50*F49)&lt;VLOOKUP(IF(G31-0.01&lt;0,0,G31-0.01),F38:H42,3,1),VLOOKUP(IF(G31-0.01&lt;0,0,G31-0.01),F38:H42,2,1),(F47-(F48*E28))*G31-F50*F49)&lt;0,0,IF(F45-((F47-(F48*E28))*G31-F50*F49)&lt;VLOOKUP(IF(G31-0.01&lt;0,0,G31-0.01),F38:H42,3,1),VLOOKUP(IF(G31-0.01&lt;0,0,G31-0.01),F38:H42,2,1),(F47-(F48*E28))*G31-F50*F49))</f>
        <v>0</v>
      </c>
      <c r="G44" s="49"/>
      <c r="H44" s="38"/>
      <c r="I44" s="38"/>
    </row>
    <row r="45" spans="2:15" ht="15" hidden="1" customHeight="1" x14ac:dyDescent="0.3">
      <c r="B45" s="49"/>
      <c r="C45" s="74" t="s">
        <v>36</v>
      </c>
      <c r="D45" s="74"/>
      <c r="E45" s="74"/>
      <c r="F45" s="86">
        <f>F18</f>
        <v>0</v>
      </c>
      <c r="G45" s="49"/>
    </row>
    <row r="46" spans="2:15" ht="15" hidden="1" customHeight="1" thickBot="1" x14ac:dyDescent="0.35">
      <c r="B46" s="49"/>
      <c r="C46" s="74" t="s">
        <v>30</v>
      </c>
      <c r="D46" s="74"/>
      <c r="E46" s="74"/>
      <c r="F46" s="86">
        <f>(F14)</f>
        <v>0</v>
      </c>
      <c r="G46" s="49"/>
      <c r="K46" s="61" t="s">
        <v>59</v>
      </c>
    </row>
    <row r="47" spans="2:15" ht="15" hidden="1" customHeight="1" thickTop="1" x14ac:dyDescent="0.3">
      <c r="B47" s="49"/>
      <c r="C47" s="74" t="s">
        <v>31</v>
      </c>
      <c r="D47" s="74"/>
      <c r="E47" s="74"/>
      <c r="F47" s="86">
        <f>(F45-F46)</f>
        <v>0</v>
      </c>
      <c r="G47" s="49"/>
      <c r="H47" s="1"/>
      <c r="K47" s="63" t="s">
        <v>45</v>
      </c>
      <c r="L47" s="64" t="s">
        <v>24</v>
      </c>
    </row>
    <row r="48" spans="2:15" ht="15" hidden="1" customHeight="1" x14ac:dyDescent="0.3">
      <c r="B48" s="49"/>
      <c r="C48" s="74" t="s">
        <v>1</v>
      </c>
      <c r="D48" s="86">
        <f>IF(F45&gt;1,530,)</f>
        <v>0</v>
      </c>
      <c r="E48" s="74">
        <f>IF(F45&gt;1,14,)</f>
        <v>0</v>
      </c>
      <c r="F48" s="86">
        <f>D48*E48</f>
        <v>0</v>
      </c>
      <c r="G48" s="49"/>
      <c r="K48" s="65" t="s">
        <v>46</v>
      </c>
      <c r="L48" s="66" t="s">
        <v>47</v>
      </c>
    </row>
    <row r="49" spans="2:16" ht="15" hidden="1" customHeight="1" x14ac:dyDescent="0.3">
      <c r="B49" s="49"/>
      <c r="C49" s="74" t="s">
        <v>28</v>
      </c>
      <c r="D49" s="74"/>
      <c r="E49" s="74"/>
      <c r="F49" s="74">
        <f>F21</f>
        <v>0</v>
      </c>
      <c r="G49" s="49"/>
      <c r="K49" s="55" t="s">
        <v>57</v>
      </c>
      <c r="L49" s="57">
        <v>0</v>
      </c>
      <c r="M49" s="1">
        <f>801*14</f>
        <v>11214</v>
      </c>
      <c r="P49" s="1">
        <f>801*2</f>
        <v>1602</v>
      </c>
    </row>
    <row r="50" spans="2:16" ht="15" hidden="1" customHeight="1" x14ac:dyDescent="0.3">
      <c r="B50" s="49"/>
      <c r="C50" s="74" t="s">
        <v>29</v>
      </c>
      <c r="D50" s="74"/>
      <c r="E50" s="74"/>
      <c r="F50" s="86" t="b">
        <f>IF(F49&gt;=1,ROUNDUP(D48*0.025,2))</f>
        <v>0</v>
      </c>
      <c r="G50" s="49"/>
      <c r="K50" s="55" t="s">
        <v>58</v>
      </c>
      <c r="L50" s="57">
        <v>1</v>
      </c>
      <c r="M50" s="1">
        <f>1683*14</f>
        <v>23562</v>
      </c>
    </row>
    <row r="51" spans="2:16" s="34" customFormat="1" ht="15" hidden="1" customHeight="1" x14ac:dyDescent="0.3">
      <c r="B51" s="49"/>
      <c r="C51" s="49"/>
      <c r="D51" s="49"/>
      <c r="E51" s="49"/>
      <c r="F51" s="84"/>
      <c r="G51" s="49"/>
      <c r="K51" s="55" t="s">
        <v>48</v>
      </c>
      <c r="L51" s="57">
        <v>1.75</v>
      </c>
      <c r="M51" s="1">
        <f>3054*14</f>
        <v>42756</v>
      </c>
    </row>
    <row r="52" spans="2:16" s="34" customFormat="1" ht="15" hidden="1" customHeight="1" x14ac:dyDescent="0.3">
      <c r="B52" s="49" t="s">
        <v>13</v>
      </c>
      <c r="C52" s="49"/>
      <c r="D52" s="94" t="s">
        <v>37</v>
      </c>
      <c r="E52" s="95">
        <v>1</v>
      </c>
      <c r="F52" s="84"/>
      <c r="G52" s="49"/>
      <c r="J52" s="35"/>
      <c r="K52" s="55" t="s">
        <v>49</v>
      </c>
      <c r="L52" s="57">
        <v>3</v>
      </c>
      <c r="M52" s="1">
        <f>5786*14</f>
        <v>81004</v>
      </c>
    </row>
    <row r="53" spans="2:16" ht="15" hidden="1" customHeight="1" thickBot="1" x14ac:dyDescent="0.35">
      <c r="B53" s="49"/>
      <c r="C53" s="49"/>
      <c r="D53" s="94" t="s">
        <v>38</v>
      </c>
      <c r="E53" s="95">
        <v>2</v>
      </c>
      <c r="F53" s="84"/>
      <c r="G53" s="49"/>
      <c r="K53" s="56" t="s">
        <v>50</v>
      </c>
      <c r="L53" s="58">
        <v>3.5</v>
      </c>
      <c r="M53" s="1">
        <f>5786*14</f>
        <v>81004</v>
      </c>
      <c r="P53" s="61"/>
    </row>
    <row r="54" spans="2:16" ht="15" hidden="1" customHeight="1" thickTop="1" thickBot="1" x14ac:dyDescent="0.35">
      <c r="B54" s="49"/>
      <c r="C54" s="49"/>
      <c r="D54" s="95"/>
      <c r="E54" s="97">
        <v>2</v>
      </c>
      <c r="F54" s="84"/>
      <c r="G54" s="49"/>
      <c r="K54" s="61" t="s">
        <v>51</v>
      </c>
      <c r="L54" s="34"/>
      <c r="P54" s="61"/>
    </row>
    <row r="55" spans="2:16" ht="15" hidden="1" customHeight="1" thickTop="1" x14ac:dyDescent="0.3">
      <c r="B55" s="49"/>
      <c r="C55" s="49"/>
      <c r="D55" s="49"/>
      <c r="E55" s="49"/>
      <c r="F55" s="84"/>
      <c r="G55" s="49"/>
      <c r="K55" s="63" t="s">
        <v>45</v>
      </c>
      <c r="L55" s="64" t="s">
        <v>24</v>
      </c>
    </row>
    <row r="56" spans="2:16" ht="15" hidden="1" customHeight="1" x14ac:dyDescent="0.3">
      <c r="B56" s="49"/>
      <c r="C56" s="49"/>
      <c r="D56" s="94" t="s">
        <v>10</v>
      </c>
      <c r="E56" s="95">
        <v>1</v>
      </c>
      <c r="F56" s="49"/>
      <c r="G56" s="49"/>
      <c r="H56" s="35"/>
      <c r="I56" s="35"/>
      <c r="K56" s="65" t="s">
        <v>46</v>
      </c>
      <c r="L56" s="66" t="s">
        <v>47</v>
      </c>
    </row>
    <row r="57" spans="2:16" ht="15" hidden="1" customHeight="1" x14ac:dyDescent="0.3">
      <c r="B57" s="49"/>
      <c r="C57" s="49"/>
      <c r="D57" s="94" t="s">
        <v>11</v>
      </c>
      <c r="E57" s="95">
        <v>2</v>
      </c>
      <c r="F57" s="49"/>
      <c r="G57" s="49"/>
      <c r="K57" s="55" t="s">
        <v>52</v>
      </c>
      <c r="L57" s="57">
        <v>0</v>
      </c>
      <c r="M57" s="1">
        <f>1205*14</f>
        <v>16870</v>
      </c>
    </row>
    <row r="58" spans="2:16" ht="15" hidden="1" customHeight="1" x14ac:dyDescent="0.3">
      <c r="B58" s="49"/>
      <c r="C58" s="49"/>
      <c r="D58" s="94" t="s">
        <v>12</v>
      </c>
      <c r="E58" s="95">
        <v>3</v>
      </c>
      <c r="F58" s="49"/>
      <c r="G58" s="49"/>
      <c r="K58" s="55" t="s">
        <v>53</v>
      </c>
      <c r="L58" s="57">
        <v>1</v>
      </c>
      <c r="M58" s="1">
        <f>2888*14</f>
        <v>40432</v>
      </c>
    </row>
    <row r="59" spans="2:16" ht="15" hidden="1" customHeight="1" x14ac:dyDescent="0.3">
      <c r="B59" s="49"/>
      <c r="C59" s="49"/>
      <c r="D59" s="96"/>
      <c r="E59" s="97">
        <v>1</v>
      </c>
      <c r="F59" s="49"/>
      <c r="G59" s="49"/>
      <c r="K59" s="59" t="s">
        <v>54</v>
      </c>
      <c r="L59" s="60">
        <v>1.75</v>
      </c>
      <c r="M59" s="1">
        <f>6280*14</f>
        <v>87920</v>
      </c>
    </row>
    <row r="60" spans="2:16" ht="15" hidden="1" customHeight="1" x14ac:dyDescent="0.3">
      <c r="B60" s="49"/>
      <c r="C60" s="49"/>
      <c r="D60" s="49"/>
      <c r="E60" s="49"/>
      <c r="F60" s="49"/>
      <c r="G60" s="49"/>
      <c r="K60" s="55" t="s">
        <v>55</v>
      </c>
      <c r="L60" s="57">
        <v>3</v>
      </c>
      <c r="M60" s="1">
        <f>10282*14</f>
        <v>143948</v>
      </c>
    </row>
    <row r="61" spans="2:16" ht="15" hidden="1" customHeight="1" thickBot="1" x14ac:dyDescent="0.35">
      <c r="B61" s="49"/>
      <c r="C61" s="49"/>
      <c r="D61" s="49"/>
      <c r="E61" s="49"/>
      <c r="F61" s="49"/>
      <c r="G61" s="49"/>
      <c r="K61" s="56" t="s">
        <v>56</v>
      </c>
      <c r="L61" s="58">
        <v>3.5</v>
      </c>
      <c r="M61" s="1">
        <f>10282*14</f>
        <v>143948</v>
      </c>
    </row>
    <row r="62" spans="2:16" ht="15" hidden="1" customHeight="1" thickTop="1" x14ac:dyDescent="0.3">
      <c r="B62" s="49"/>
      <c r="C62" s="49"/>
      <c r="D62" s="49"/>
      <c r="E62" s="49"/>
      <c r="F62" s="49"/>
      <c r="G62" s="49"/>
    </row>
    <row r="63" spans="2:16" ht="15" hidden="1" customHeight="1" x14ac:dyDescent="0.3">
      <c r="B63" s="49"/>
      <c r="C63" s="49"/>
      <c r="D63" s="49"/>
      <c r="E63" s="49"/>
      <c r="F63" s="49"/>
      <c r="G63" s="49"/>
    </row>
    <row r="64" spans="2:16" ht="15" customHeight="1" x14ac:dyDescent="0.3">
      <c r="B64" s="49"/>
      <c r="C64" s="49"/>
      <c r="D64" s="49"/>
      <c r="E64" s="49"/>
      <c r="F64" s="49"/>
      <c r="G64" s="49"/>
    </row>
    <row r="65" spans="2:7" ht="15" customHeight="1" x14ac:dyDescent="0.3">
      <c r="B65" s="49"/>
      <c r="C65" s="49"/>
      <c r="D65" s="49"/>
      <c r="E65" s="49"/>
      <c r="F65" s="49"/>
      <c r="G65" s="49"/>
    </row>
    <row r="66" spans="2:7" ht="15" customHeight="1" x14ac:dyDescent="0.3">
      <c r="B66" s="49"/>
      <c r="C66" s="49"/>
      <c r="D66" s="49"/>
      <c r="E66" s="49"/>
      <c r="F66" s="49"/>
      <c r="G66" s="49"/>
    </row>
    <row r="67" spans="2:7" ht="15" customHeight="1" x14ac:dyDescent="0.3">
      <c r="B67" s="49"/>
      <c r="C67" s="49"/>
      <c r="D67" s="49"/>
      <c r="E67" s="49"/>
      <c r="F67" s="49"/>
      <c r="G67" s="49"/>
    </row>
    <row r="68" spans="2:7" ht="15" customHeight="1" x14ac:dyDescent="0.3">
      <c r="B68" s="49"/>
      <c r="C68" s="49"/>
      <c r="D68" s="49"/>
      <c r="E68" s="49"/>
      <c r="F68" s="49"/>
      <c r="G68" s="49"/>
    </row>
    <row r="69" spans="2:7" ht="15" customHeight="1" x14ac:dyDescent="0.3">
      <c r="B69" s="49"/>
      <c r="C69" s="49"/>
      <c r="D69" s="49"/>
      <c r="E69" s="49"/>
      <c r="F69" s="49"/>
      <c r="G69" s="49"/>
    </row>
    <row r="70" spans="2:7" ht="15" customHeight="1" x14ac:dyDescent="0.3">
      <c r="B70" s="49"/>
      <c r="C70" s="49"/>
      <c r="D70" s="49"/>
      <c r="E70" s="49"/>
      <c r="F70" s="49"/>
      <c r="G70" s="49"/>
    </row>
  </sheetData>
  <sheetProtection algorithmName="SHA-512" hashValue="MEis5N0pCjfntakD+TabbkFPufcnSzgn0a4aeQQSj5bEc2omIF4vMxI9IxPa+AakDEYKXZLt3DioxOih+Wi/Ww==" saltValue="S/23HHAiVTBfOs3j8NgHkA==" spinCount="100000" sheet="1" objects="1" scenarios="1"/>
  <mergeCells count="45">
    <mergeCell ref="N36:N37"/>
    <mergeCell ref="O36:O37"/>
    <mergeCell ref="F1:G1"/>
    <mergeCell ref="J36:J37"/>
    <mergeCell ref="K36:K37"/>
    <mergeCell ref="L36:L37"/>
    <mergeCell ref="M36:M37"/>
    <mergeCell ref="H36:H37"/>
    <mergeCell ref="A9:A25"/>
    <mergeCell ref="A1:A8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1:C11"/>
    <mergeCell ref="B12:C12"/>
    <mergeCell ref="B13:C13"/>
    <mergeCell ref="B14:C14"/>
    <mergeCell ref="B15:C15"/>
    <mergeCell ref="F36:F37"/>
    <mergeCell ref="G36:G37"/>
    <mergeCell ref="D38:E38"/>
    <mergeCell ref="B10:C10"/>
    <mergeCell ref="B19:C19"/>
    <mergeCell ref="B20:C20"/>
    <mergeCell ref="B26:C26"/>
    <mergeCell ref="B27:C27"/>
    <mergeCell ref="B18:C18"/>
    <mergeCell ref="B21:C21"/>
    <mergeCell ref="B22:C22"/>
    <mergeCell ref="B23:C23"/>
    <mergeCell ref="B24:C24"/>
    <mergeCell ref="B25:C25"/>
    <mergeCell ref="B16:C16"/>
    <mergeCell ref="B17:C17"/>
    <mergeCell ref="D39:E39"/>
    <mergeCell ref="D40:E40"/>
    <mergeCell ref="D41:E41"/>
    <mergeCell ref="D42:E42"/>
    <mergeCell ref="C36:E37"/>
  </mergeCells>
  <hyperlinks>
    <hyperlink ref="B52" r:id="rId1" display="https://www.google.pt/url?sa=t&amp;rct=j&amp;q=&amp;esrc=s&amp;source=web&amp;cd=1&amp;cad=rja&amp;uact=8&amp;ved=0ahUKEwiP1tOK5vLJAhUHOBoKHfOMBegQFgghMAA&amp;url=https%3A%2F%2Fwww.pordata.pt%2FPortugal%2FSal%25C3%25A1rio%2Bm%25C3%25ADnimo%2Bnacional-74&amp;usg=AFQjCNEbj-f4jFmk7J2eL-ZnCnOSehLaLw"/>
  </hyperlinks>
  <pageMargins left="0.7" right="0.7" top="0.75" bottom="0.75" header="0.3" footer="0.3"/>
  <pageSetup paperSize="9" orientation="portrait" horizontalDpi="1200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1</xdr:col>
                    <xdr:colOff>2415540</xdr:colOff>
                    <xdr:row>27</xdr:row>
                    <xdr:rowOff>38100</xdr:rowOff>
                  </from>
                  <to>
                    <xdr:col>3</xdr:col>
                    <xdr:colOff>731520</xdr:colOff>
                    <xdr:row>27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5</xdr:col>
                    <xdr:colOff>15240</xdr:colOff>
                    <xdr:row>27</xdr:row>
                    <xdr:rowOff>53340</xdr:rowOff>
                  </from>
                  <to>
                    <xdr:col>6</xdr:col>
                    <xdr:colOff>15240</xdr:colOff>
                    <xdr:row>27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E6E9456B-008E-41A6-8E20-78ED887EA86E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ACDE651F-EB96-46C3-87D1-BB9A5A8F8E07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Cálculo da sobretaxa 2016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Utilizador</cp:lastModifiedBy>
  <dcterms:created xsi:type="dcterms:W3CDTF">2013-12-31T15:46:17Z</dcterms:created>
  <dcterms:modified xsi:type="dcterms:W3CDTF">2016-01-14T23:45:00Z</dcterms:modified>
</cp:coreProperties>
</file>