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2016 IRS\"/>
    </mc:Choice>
  </mc:AlternateContent>
  <bookViews>
    <workbookView xWindow="120" yWindow="108" windowWidth="15192" windowHeight="7932"/>
  </bookViews>
  <sheets>
    <sheet name="Cálculo da sobretaxa  IRS 2016" sheetId="1" r:id="rId1"/>
  </sheets>
  <calcPr calcId="162913"/>
</workbook>
</file>

<file path=xl/calcChain.xml><?xml version="1.0" encoding="utf-8"?>
<calcChain xmlns="http://schemas.openxmlformats.org/spreadsheetml/2006/main">
  <c r="F11" i="1" l="1"/>
  <c r="G11" i="1"/>
  <c r="F18" i="1" l="1"/>
  <c r="D11" i="1"/>
  <c r="H48" i="1" l="1"/>
  <c r="F48" i="1"/>
  <c r="D25" i="1"/>
  <c r="D7" i="1" s="1"/>
  <c r="D8" i="1" s="1"/>
  <c r="H49" i="1" l="1"/>
  <c r="G14" i="1" l="1"/>
  <c r="F14" i="1"/>
  <c r="F19" i="1" l="1"/>
  <c r="F45" i="1"/>
  <c r="D14" i="1"/>
  <c r="D18" i="1"/>
  <c r="D26" i="1"/>
  <c r="D19" i="1" l="1"/>
  <c r="F26" i="1"/>
  <c r="F25" i="1"/>
  <c r="F20" i="1" s="1"/>
  <c r="M60" i="1"/>
  <c r="M59" i="1"/>
  <c r="M58" i="1"/>
  <c r="M57" i="1"/>
  <c r="M56" i="1"/>
  <c r="M52" i="1"/>
  <c r="M51" i="1"/>
  <c r="M50" i="1"/>
  <c r="M49" i="1"/>
  <c r="M48" i="1"/>
  <c r="F7" i="1" l="1"/>
  <c r="G7" i="1"/>
  <c r="F44" i="1" l="1"/>
  <c r="F46" i="1" l="1"/>
  <c r="D47" i="1"/>
  <c r="F49" i="1" s="1"/>
  <c r="G49" i="1" s="1"/>
  <c r="E47" i="1"/>
  <c r="E27" i="1"/>
  <c r="D20" i="1" s="1"/>
  <c r="H50" i="1" s="1"/>
  <c r="D22" i="1" s="1"/>
  <c r="D24" i="1" l="1"/>
  <c r="F47" i="1"/>
  <c r="D37" i="1" s="1"/>
  <c r="H37" i="1" s="1"/>
  <c r="L42" i="1" l="1"/>
  <c r="C38" i="1"/>
  <c r="N37" i="1" l="1"/>
  <c r="N38" i="1"/>
  <c r="M37" i="1"/>
  <c r="O37" i="1"/>
  <c r="O38" i="1"/>
  <c r="N40" i="1"/>
  <c r="O40" i="1"/>
  <c r="O41" i="1"/>
  <c r="N39" i="1"/>
  <c r="O39" i="1"/>
  <c r="N41" i="1"/>
  <c r="O42" i="1" l="1"/>
  <c r="N42" i="1"/>
  <c r="G40" i="1" l="1"/>
  <c r="H40" i="1" s="1"/>
  <c r="G39" i="1"/>
  <c r="H39" i="1" s="1"/>
  <c r="M39" i="1" s="1"/>
  <c r="G38" i="1"/>
  <c r="H38" i="1" s="1"/>
  <c r="M38" i="1" s="1"/>
  <c r="M40" i="1" l="1"/>
  <c r="M41" i="1"/>
  <c r="M42" i="1" l="1"/>
  <c r="I35" i="1"/>
  <c r="G30" i="1" s="1"/>
  <c r="F22" i="1" s="1"/>
  <c r="G8" i="1" l="1"/>
  <c r="F43" i="1"/>
  <c r="F24" i="1" s="1"/>
  <c r="B24" i="1" s="1"/>
  <c r="F8" i="1"/>
</calcChain>
</file>

<file path=xl/sharedStrings.xml><?xml version="1.0" encoding="utf-8"?>
<sst xmlns="http://schemas.openxmlformats.org/spreadsheetml/2006/main" count="87" uniqueCount="76">
  <si>
    <t xml:space="preserve">Salário mínimo nacional </t>
  </si>
  <si>
    <t xml:space="preserve">RMMG  x 14 </t>
  </si>
  <si>
    <t>Escalões</t>
  </si>
  <si>
    <t>Sobretaxa</t>
  </si>
  <si>
    <t>1º</t>
  </si>
  <si>
    <t>2º</t>
  </si>
  <si>
    <t>3º</t>
  </si>
  <si>
    <t>4º</t>
  </si>
  <si>
    <t>5º</t>
  </si>
  <si>
    <t>Acerto Final Anual</t>
  </si>
  <si>
    <t>Continente</t>
  </si>
  <si>
    <t>Madeira</t>
  </si>
  <si>
    <t>Açores</t>
  </si>
  <si>
    <t>PORDATA - Salário mínimo nacional em Portugal</t>
  </si>
  <si>
    <t>Resultado da Sobretaxa Mensal</t>
  </si>
  <si>
    <r>
      <t xml:space="preserve">Salário Mínimo Nacional Garantido </t>
    </r>
    <r>
      <rPr>
        <b/>
        <sz val="11"/>
        <color theme="1"/>
        <rFont val="Calibri"/>
        <family val="2"/>
      </rPr>
      <t>→</t>
    </r>
  </si>
  <si>
    <t>Número de meses</t>
  </si>
  <si>
    <t>Perdas a recuperar</t>
  </si>
  <si>
    <t>Abatimentos</t>
  </si>
  <si>
    <t xml:space="preserve">Quociente Rendimentos Anos Anteriores </t>
  </si>
  <si>
    <t>Acréscimo Vitalício (Tropa)</t>
  </si>
  <si>
    <t>Valores mensais</t>
  </si>
  <si>
    <t xml:space="preserve">Resultado Anual da Sobretaxa </t>
  </si>
  <si>
    <r>
      <t xml:space="preserve">Rendimento Coletável </t>
    </r>
    <r>
      <rPr>
        <b/>
        <sz val="11"/>
        <color theme="1"/>
        <rFont val="Calibri"/>
        <family val="2"/>
      </rPr>
      <t>→</t>
    </r>
  </si>
  <si>
    <t>Taxa</t>
  </si>
  <si>
    <t>Rendimento coletável</t>
  </si>
  <si>
    <t>Sobretaxa 
no limite</t>
  </si>
  <si>
    <t>Rendimento 
Liquido</t>
  </si>
  <si>
    <t>N.º de Filhos</t>
  </si>
  <si>
    <t>Valor dos filhos</t>
  </si>
  <si>
    <t>Dedução específica</t>
  </si>
  <si>
    <t>Rendimento Coletável</t>
  </si>
  <si>
    <t>Até 7.420</t>
  </si>
  <si>
    <t>Superior a 80.000</t>
  </si>
  <si>
    <t>Remuneração Coletável</t>
  </si>
  <si>
    <r>
      <t>Rendimento coletável liquido</t>
    </r>
    <r>
      <rPr>
        <b/>
        <sz val="9"/>
        <color theme="1"/>
        <rFont val="Calibri"/>
        <family val="2"/>
      </rPr>
      <t>→</t>
    </r>
  </si>
  <si>
    <t>Rendimento Total Anual</t>
  </si>
  <si>
    <t>Tributação Separada: Casados, Não Casados.</t>
  </si>
  <si>
    <t>Tributação conjunta: Casados.</t>
  </si>
  <si>
    <t>Mais de 7.420 até 20.000</t>
  </si>
  <si>
    <t>Mais de 20.000 até 40.000</t>
  </si>
  <si>
    <t>Mais de 40.000 até 80.000</t>
  </si>
  <si>
    <r>
      <t xml:space="preserve">RMMG  530,00€  x 14 </t>
    </r>
    <r>
      <rPr>
        <b/>
        <sz val="11"/>
        <color theme="1"/>
        <rFont val="Calibri"/>
        <family val="2"/>
      </rPr>
      <t>→</t>
    </r>
  </si>
  <si>
    <r>
      <t xml:space="preserve">Número de filhos </t>
    </r>
    <r>
      <rPr>
        <b/>
        <sz val="11"/>
        <color theme="1"/>
        <rFont val="Calibri"/>
        <family val="2"/>
      </rPr>
      <t>→</t>
    </r>
  </si>
  <si>
    <t>Remuneração mensal bruta</t>
  </si>
  <si>
    <t>(euros)</t>
  </si>
  <si>
    <t>%</t>
  </si>
  <si>
    <t>Até 3054,00 . . . . . . . . . . . . . . . . . . . . . . . . . . . . . . . . . . 1,75</t>
  </si>
  <si>
    <t>Até 5786,00 . . . . . . . . . . . . . . . . . . . . . . . . . . . . . . . . . . 3</t>
  </si>
  <si>
    <t>Superior a 5786,00 . . . . . . . . . . . . . . . . . . . . . . . . . . . .</t>
  </si>
  <si>
    <t>b) Tabela II, relativa a sujeitos passivos casados, único titular:</t>
  </si>
  <si>
    <t>té 1205,00 . . . . . . . . . . . . . . . . . . . . . . . . . . . . . . . . . . 0</t>
  </si>
  <si>
    <t>Até 2888,00 . . . . . . . . . . . . . . . . . . . . . . . . . . . . . . . . . . 1</t>
  </si>
  <si>
    <t>Até 6280,00 . . . . . . . . . . . . . . . . . . . . . . . . . . . . . . . . . . 1,75</t>
  </si>
  <si>
    <t>Até 10 282,00 . . . . . . . . . . . . . . . . . . . . . . . . . . . . . . . . . 3</t>
  </si>
  <si>
    <t>Superior a 10 282,00 . . . . . . . . . . . . . . . . . . . . . . . . . . . 3,5</t>
  </si>
  <si>
    <t>Até 801,00 . . . . . . . . . . . . . . . . . . . . . . . . . . . . . . . . . . . 0</t>
  </si>
  <si>
    <t>Até 1683,00 . . . . . . . . . . . . . . . . . . . . . . . . . . . . . . . . . . 1</t>
  </si>
  <si>
    <t>a) Tabela I, relativa a sujeitos passivos não casados e a sujeitos passivos casados, dois titulares:</t>
  </si>
  <si>
    <t>Sujeito Pas. B</t>
  </si>
  <si>
    <t>Sujeito Pas. A</t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</si>
  <si>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Bruto Mensal do sujeito passivo A e B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</si>
  <si>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</si>
  <si>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subsistema saúde 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</si>
  <si>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Retenção na fonte </t>
    </r>
    <r>
      <rPr>
        <sz val="12"/>
        <color rgb="FF333333"/>
        <rFont val="Calibri"/>
        <family val="2"/>
      </rPr>
      <t>→</t>
    </r>
  </si>
  <si>
    <t>Células de preenchimento pelo utilizador</t>
  </si>
  <si>
    <r>
      <t xml:space="preserve">Retenção anual da sobretaxa </t>
    </r>
    <r>
      <rPr>
        <b/>
        <sz val="11"/>
        <color rgb="FF333333"/>
        <rFont val="Calibri"/>
        <family val="2"/>
      </rPr>
      <t>→</t>
    </r>
  </si>
  <si>
    <r>
      <t xml:space="preserve">Resultado Anual da Sobretaxa a pagar </t>
    </r>
    <r>
      <rPr>
        <b/>
        <sz val="11"/>
        <color rgb="FFFF0000"/>
        <rFont val="Calibri"/>
        <family val="2"/>
      </rPr>
      <t>→</t>
    </r>
  </si>
  <si>
    <r>
      <t xml:space="preserve">Entrega da declaração de IRS em 2016 </t>
    </r>
    <r>
      <rPr>
        <b/>
        <sz val="11"/>
        <color theme="1"/>
        <rFont val="Calibri"/>
        <family val="2"/>
      </rPr>
      <t>→</t>
    </r>
  </si>
  <si>
    <r>
      <t xml:space="preserve">Rendimento total do agregado familiar </t>
    </r>
    <r>
      <rPr>
        <b/>
        <sz val="12"/>
        <color rgb="FF333333"/>
        <rFont val="Calibri"/>
        <family val="2"/>
      </rPr>
      <t>→</t>
    </r>
  </si>
  <si>
    <t>Rendimentos de categoria A e/ou pensões</t>
  </si>
  <si>
    <t>Pensões de sobrevivência da Segurança Social</t>
  </si>
  <si>
    <t xml:space="preserve">Rendimento Bruto Anual </t>
  </si>
  <si>
    <t>Deduções Específicas do sujeito passivo A e B</t>
  </si>
  <si>
    <t>Cálculo da sobretaxa mensal</t>
  </si>
  <si>
    <t>Cálculo da sobretaxa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</si>
</sst>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816]_-;\-* #,##0.00\ [$€-816]_-;_-* &quot;-&quot;??\ [$€-816]_-;_-@_-"/>
    <numFmt numFmtId="165" formatCode="_-* #,##0.0000\ [$€-816]_-;\-* #,##0.0000\ [$€-816]_-;_-* &quot;-&quot;????\ [$€-816]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sz val="12"/>
      <color rgb="FF333333"/>
      <name val="Georgia"/>
      <family val="1"/>
    </font>
    <font>
      <b/>
      <sz val="12"/>
      <color rgb="FF333333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0000FF"/>
      <name val="Calibri"/>
      <family val="2"/>
      <scheme val="minor"/>
    </font>
    <font>
      <b/>
      <sz val="11"/>
      <color rgb="FF333333"/>
      <name val="Calibri"/>
      <family val="2"/>
    </font>
    <font>
      <b/>
      <sz val="10"/>
      <color theme="1"/>
      <name val="Georgia"/>
      <family val="1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10"/>
      <color rgb="FF0000FF"/>
      <name val="Calibri"/>
      <family val="2"/>
      <scheme val="minor"/>
    </font>
    <font>
      <sz val="12"/>
      <color rgb="FF333333"/>
      <name val="Calibri"/>
      <family val="2"/>
    </font>
    <font>
      <b/>
      <sz val="12"/>
      <color rgb="FF333333"/>
      <name val="Calibri"/>
      <family val="2"/>
    </font>
    <font>
      <sz val="11"/>
      <color theme="1"/>
      <name val="Times New Roman"/>
      <family val="1"/>
    </font>
    <font>
      <b/>
      <sz val="9"/>
      <color rgb="FF0000FF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rgb="FF002060"/>
      <name val="Georgia"/>
      <family val="1"/>
    </font>
    <font>
      <b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>
        <fgColor theme="3" tint="0.59996337778862885"/>
        <bgColor theme="9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ck">
        <color auto="1"/>
      </top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4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0" fillId="2" borderId="7" xfId="0" applyNumberFormat="1" applyFill="1" applyBorder="1"/>
    <xf numFmtId="10" fontId="9" fillId="0" borderId="8" xfId="0" applyNumberFormat="1" applyFont="1" applyBorder="1" applyAlignment="1">
      <alignment horizontal="center" vertical="center" wrapText="1"/>
    </xf>
    <xf numFmtId="9" fontId="9" fillId="0" borderId="8" xfId="0" applyNumberFormat="1" applyFont="1" applyBorder="1" applyAlignment="1">
      <alignment horizontal="center" vertical="center" wrapText="1"/>
    </xf>
    <xf numFmtId="0" fontId="2" fillId="0" borderId="0" xfId="0" applyFont="1"/>
    <xf numFmtId="164" fontId="0" fillId="0" borderId="7" xfId="0" applyNumberFormat="1" applyFont="1" applyBorder="1"/>
    <xf numFmtId="0" fontId="7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164" fontId="0" fillId="4" borderId="10" xfId="0" applyNumberFormat="1" applyFill="1" applyBorder="1"/>
    <xf numFmtId="164" fontId="3" fillId="4" borderId="10" xfId="0" applyNumberFormat="1" applyFont="1" applyFill="1" applyBorder="1"/>
    <xf numFmtId="0" fontId="0" fillId="4" borderId="10" xfId="0" applyFill="1" applyBorder="1"/>
    <xf numFmtId="10" fontId="0" fillId="3" borderId="1" xfId="0" applyNumberFormat="1" applyFill="1" applyBorder="1"/>
    <xf numFmtId="10" fontId="1" fillId="3" borderId="1" xfId="0" applyNumberFormat="1" applyFont="1" applyFill="1" applyBorder="1" applyAlignment="1">
      <alignment horizontal="center" vertical="center"/>
    </xf>
    <xf numFmtId="10" fontId="0" fillId="3" borderId="1" xfId="0" applyNumberFormat="1" applyFont="1" applyFill="1" applyBorder="1" applyAlignment="1">
      <alignment horizontal="center" vertical="center"/>
    </xf>
    <xf numFmtId="10" fontId="8" fillId="3" borderId="1" xfId="1" applyNumberFormat="1" applyFont="1" applyFill="1" applyBorder="1"/>
    <xf numFmtId="10" fontId="1" fillId="3" borderId="1" xfId="1" applyNumberFormat="1" applyFont="1" applyFill="1" applyBorder="1"/>
    <xf numFmtId="164" fontId="10" fillId="4" borderId="10" xfId="0" applyNumberFormat="1" applyFont="1" applyFill="1" applyBorder="1" applyAlignment="1">
      <alignment horizontal="center" vertical="center"/>
    </xf>
    <xf numFmtId="164" fontId="13" fillId="2" borderId="14" xfId="0" applyNumberFormat="1" applyFont="1" applyFill="1" applyBorder="1"/>
    <xf numFmtId="164" fontId="0" fillId="4" borderId="15" xfId="0" applyNumberFormat="1" applyFill="1" applyBorder="1"/>
    <xf numFmtId="0" fontId="0" fillId="0" borderId="13" xfId="0" applyBorder="1"/>
    <xf numFmtId="0" fontId="0" fillId="0" borderId="5" xfId="0" applyBorder="1"/>
    <xf numFmtId="164" fontId="0" fillId="0" borderId="0" xfId="0" applyNumberFormat="1" applyAlignment="1">
      <alignment horizontal="center" vertical="center"/>
    </xf>
    <xf numFmtId="10" fontId="10" fillId="3" borderId="12" xfId="0" applyNumberFormat="1" applyFont="1" applyFill="1" applyBorder="1" applyAlignment="1">
      <alignment horizontal="center" vertical="center"/>
    </xf>
    <xf numFmtId="0" fontId="0" fillId="4" borderId="11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9" xfId="0" applyFont="1" applyBorder="1" applyAlignment="1">
      <alignment horizontal="center" vertical="center"/>
    </xf>
    <xf numFmtId="0" fontId="0" fillId="0" borderId="0" xfId="0"/>
    <xf numFmtId="164" fontId="0" fillId="0" borderId="23" xfId="0" applyNumberFormat="1" applyBorder="1"/>
    <xf numFmtId="164" fontId="0" fillId="2" borderId="23" xfId="0" applyNumberFormat="1" applyFill="1" applyBorder="1"/>
    <xf numFmtId="164" fontId="0" fillId="0" borderId="25" xfId="0" applyNumberFormat="1" applyBorder="1"/>
    <xf numFmtId="164" fontId="10" fillId="2" borderId="23" xfId="0" applyNumberFormat="1" applyFont="1" applyFill="1" applyBorder="1" applyAlignment="1">
      <alignment horizontal="center" vertical="center"/>
    </xf>
    <xf numFmtId="164" fontId="0" fillId="0" borderId="25" xfId="0" applyNumberFormat="1" applyFont="1" applyBorder="1"/>
    <xf numFmtId="164" fontId="0" fillId="2" borderId="23" xfId="0" applyNumberFormat="1" applyFont="1" applyFill="1" applyBorder="1"/>
    <xf numFmtId="164" fontId="0" fillId="2" borderId="7" xfId="0" applyNumberFormat="1" applyFont="1" applyFill="1" applyBorder="1"/>
    <xf numFmtId="0" fontId="0" fillId="0" borderId="0" xfId="0"/>
    <xf numFmtId="164" fontId="0" fillId="2" borderId="25" xfId="0" applyNumberFormat="1" applyFont="1" applyFill="1" applyBorder="1"/>
    <xf numFmtId="10" fontId="0" fillId="3" borderId="40" xfId="0" applyNumberFormat="1" applyFill="1" applyBorder="1" applyAlignment="1">
      <alignment horizontal="center" vertical="center"/>
    </xf>
    <xf numFmtId="10" fontId="0" fillId="3" borderId="3" xfId="0" applyNumberFormat="1" applyFill="1" applyBorder="1"/>
    <xf numFmtId="10" fontId="0" fillId="3" borderId="3" xfId="0" applyNumberFormat="1" applyFont="1" applyFill="1" applyBorder="1" applyAlignment="1">
      <alignment horizontal="center" vertical="center"/>
    </xf>
    <xf numFmtId="10" fontId="8" fillId="3" borderId="3" xfId="1" applyNumberFormat="1" applyFont="1" applyFill="1" applyBorder="1"/>
    <xf numFmtId="0" fontId="21" fillId="0" borderId="42" xfId="0" applyFont="1" applyBorder="1" applyAlignment="1">
      <alignment vertical="center"/>
    </xf>
    <xf numFmtId="0" fontId="21" fillId="0" borderId="44" xfId="0" applyFont="1" applyBorder="1" applyAlignment="1">
      <alignment vertical="center"/>
    </xf>
    <xf numFmtId="0" fontId="21" fillId="0" borderId="43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1" fillId="0" borderId="50" xfId="0" applyFont="1" applyBorder="1" applyAlignment="1">
      <alignment vertical="center"/>
    </xf>
    <xf numFmtId="0" fontId="21" fillId="0" borderId="51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4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164" fontId="0" fillId="2" borderId="52" xfId="0" applyNumberFormat="1" applyFill="1" applyBorder="1"/>
    <xf numFmtId="0" fontId="24" fillId="0" borderId="22" xfId="0" applyFont="1" applyBorder="1" applyAlignment="1">
      <alignment horizontal="center" vertical="center"/>
    </xf>
    <xf numFmtId="164" fontId="11" fillId="2" borderId="7" xfId="0" applyNumberFormat="1" applyFont="1" applyFill="1" applyBorder="1" applyAlignment="1">
      <alignment horizontal="center" vertical="center"/>
    </xf>
    <xf numFmtId="164" fontId="11" fillId="2" borderId="23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/>
    <xf numFmtId="0" fontId="1" fillId="0" borderId="0" xfId="0" applyFont="1"/>
    <xf numFmtId="0" fontId="0" fillId="0" borderId="0" xfId="0" applyProtection="1">
      <protection locked="0"/>
    </xf>
    <xf numFmtId="164" fontId="0" fillId="6" borderId="23" xfId="0" applyNumberFormat="1" applyFill="1" applyBorder="1" applyProtection="1">
      <protection locked="0"/>
    </xf>
    <xf numFmtId="164" fontId="0" fillId="6" borderId="24" xfId="0" applyNumberFormat="1" applyFill="1" applyBorder="1" applyProtection="1">
      <protection locked="0"/>
    </xf>
    <xf numFmtId="0" fontId="0" fillId="6" borderId="23" xfId="0" applyNumberFormat="1" applyFill="1" applyBorder="1" applyAlignment="1" applyProtection="1">
      <alignment horizontal="center" vertical="center"/>
      <protection locked="0"/>
    </xf>
    <xf numFmtId="0" fontId="0" fillId="0" borderId="0" xfId="0"/>
    <xf numFmtId="0" fontId="1" fillId="2" borderId="12" xfId="0" applyFont="1" applyFill="1" applyBorder="1" applyAlignment="1">
      <alignment horizontal="center" vertical="center"/>
    </xf>
    <xf numFmtId="0" fontId="0" fillId="2" borderId="55" xfId="0" applyNumberFormat="1" applyFill="1" applyBorder="1" applyAlignment="1" applyProtection="1">
      <alignment horizontal="left" vertical="center"/>
      <protection locked="0"/>
    </xf>
    <xf numFmtId="0" fontId="0" fillId="2" borderId="56" xfId="0" applyNumberFormat="1" applyFill="1" applyBorder="1" applyAlignment="1" applyProtection="1">
      <alignment horizontal="center" vertical="center"/>
      <protection locked="0"/>
    </xf>
    <xf numFmtId="0" fontId="0" fillId="2" borderId="57" xfId="0" applyNumberFormat="1" applyFill="1" applyBorder="1" applyAlignment="1" applyProtection="1">
      <alignment horizontal="center" vertical="center"/>
      <protection locked="0"/>
    </xf>
    <xf numFmtId="164" fontId="13" fillId="2" borderId="58" xfId="0" applyNumberFormat="1" applyFont="1" applyFill="1" applyBorder="1"/>
    <xf numFmtId="164" fontId="1" fillId="0" borderId="0" xfId="0" applyNumberFormat="1" applyFont="1"/>
    <xf numFmtId="0" fontId="1" fillId="6" borderId="12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2" borderId="0" xfId="0" applyFill="1"/>
    <xf numFmtId="10" fontId="0" fillId="0" borderId="0" xfId="0" applyNumberFormat="1"/>
    <xf numFmtId="164" fontId="0" fillId="2" borderId="2" xfId="0" applyNumberFormat="1" applyFill="1" applyBorder="1"/>
    <xf numFmtId="0" fontId="0" fillId="2" borderId="2" xfId="0" applyFill="1" applyBorder="1"/>
    <xf numFmtId="164" fontId="0" fillId="0" borderId="1" xfId="0" applyNumberFormat="1" applyBorder="1"/>
    <xf numFmtId="0" fontId="0" fillId="0" borderId="1" xfId="0" applyBorder="1"/>
    <xf numFmtId="10" fontId="1" fillId="3" borderId="2" xfId="0" applyNumberFormat="1" applyFont="1" applyFill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0" fontId="16" fillId="0" borderId="59" xfId="0" applyFont="1" applyFill="1" applyBorder="1" applyAlignment="1">
      <alignment horizontal="right" vertical="center" wrapText="1"/>
    </xf>
    <xf numFmtId="164" fontId="18" fillId="0" borderId="12" xfId="0" applyNumberFormat="1" applyFont="1" applyBorder="1" applyAlignment="1">
      <alignment horizontal="center" vertical="center"/>
    </xf>
    <xf numFmtId="164" fontId="10" fillId="0" borderId="0" xfId="0" applyNumberFormat="1" applyFont="1"/>
    <xf numFmtId="10" fontId="0" fillId="0" borderId="1" xfId="0" applyNumberForma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Border="1"/>
    <xf numFmtId="164" fontId="0" fillId="7" borderId="13" xfId="0" applyNumberFormat="1" applyFill="1" applyBorder="1" applyProtection="1">
      <protection locked="0"/>
    </xf>
    <xf numFmtId="0" fontId="0" fillId="0" borderId="60" xfId="0" applyBorder="1"/>
    <xf numFmtId="0" fontId="0" fillId="6" borderId="61" xfId="0" applyFill="1" applyBorder="1"/>
    <xf numFmtId="164" fontId="0" fillId="7" borderId="62" xfId="0" applyNumberFormat="1" applyFill="1" applyBorder="1" applyProtection="1">
      <protection locked="0"/>
    </xf>
    <xf numFmtId="164" fontId="0" fillId="7" borderId="61" xfId="0" applyNumberFormat="1" applyFill="1" applyBorder="1" applyProtection="1">
      <protection locked="0"/>
    </xf>
    <xf numFmtId="164" fontId="0" fillId="7" borderId="63" xfId="0" applyNumberFormat="1" applyFill="1" applyBorder="1" applyProtection="1">
      <protection locked="0"/>
    </xf>
    <xf numFmtId="164" fontId="0" fillId="7" borderId="64" xfId="0" applyNumberFormat="1" applyFill="1" applyBorder="1" applyProtection="1">
      <protection locked="0"/>
    </xf>
    <xf numFmtId="164" fontId="0" fillId="7" borderId="65" xfId="0" applyNumberFormat="1" applyFill="1" applyBorder="1" applyProtection="1">
      <protection locked="0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0" fontId="1" fillId="0" borderId="35" xfId="0" applyFont="1" applyBorder="1" applyAlignment="1">
      <alignment horizontal="right" vertical="center"/>
    </xf>
    <xf numFmtId="0" fontId="1" fillId="0" borderId="20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5" fillId="0" borderId="31" xfId="0" applyFont="1" applyBorder="1" applyAlignment="1">
      <alignment horizontal="right"/>
    </xf>
    <xf numFmtId="0" fontId="5" fillId="0" borderId="32" xfId="0" applyFont="1" applyBorder="1" applyAlignment="1">
      <alignment horizontal="right"/>
    </xf>
    <xf numFmtId="0" fontId="10" fillId="0" borderId="19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4" fillId="0" borderId="19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38" xfId="0" applyFont="1" applyBorder="1" applyAlignment="1">
      <alignment horizontal="left"/>
    </xf>
    <xf numFmtId="0" fontId="4" fillId="0" borderId="39" xfId="0" applyFont="1" applyBorder="1" applyAlignment="1">
      <alignment horizontal="left"/>
    </xf>
    <xf numFmtId="0" fontId="6" fillId="0" borderId="17" xfId="0" applyFont="1" applyBorder="1" applyAlignment="1">
      <alignment horizontal="right" vertical="center" textRotation="89" wrapText="1"/>
    </xf>
    <xf numFmtId="0" fontId="6" fillId="0" borderId="16" xfId="0" applyFont="1" applyBorder="1" applyAlignment="1">
      <alignment horizontal="right" vertical="center" textRotation="89" wrapText="1"/>
    </xf>
    <xf numFmtId="0" fontId="6" fillId="0" borderId="18" xfId="0" applyFont="1" applyBorder="1" applyAlignment="1">
      <alignment horizontal="right" vertical="center" textRotation="89" wrapText="1"/>
    </xf>
    <xf numFmtId="0" fontId="6" fillId="0" borderId="26" xfId="0" applyFont="1" applyBorder="1" applyAlignment="1">
      <alignment horizontal="right" vertical="center" textRotation="89"/>
    </xf>
    <xf numFmtId="0" fontId="6" fillId="0" borderId="16" xfId="0" applyFont="1" applyBorder="1" applyAlignment="1">
      <alignment horizontal="right" vertical="center" textRotation="89"/>
    </xf>
    <xf numFmtId="0" fontId="25" fillId="5" borderId="27" xfId="0" applyFont="1" applyFill="1" applyBorder="1" applyAlignment="1">
      <alignment horizontal="center" vertical="center"/>
    </xf>
    <xf numFmtId="0" fontId="25" fillId="5" borderId="28" xfId="0" applyFont="1" applyFill="1" applyBorder="1" applyAlignment="1">
      <alignment horizontal="center" vertical="center"/>
    </xf>
    <xf numFmtId="0" fontId="13" fillId="0" borderId="33" xfId="0" applyFont="1" applyBorder="1" applyAlignment="1">
      <alignment horizontal="left"/>
    </xf>
    <xf numFmtId="0" fontId="13" fillId="0" borderId="34" xfId="0" applyFont="1" applyBorder="1" applyAlignment="1">
      <alignment horizontal="left"/>
    </xf>
    <xf numFmtId="0" fontId="25" fillId="5" borderId="29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1" fillId="0" borderId="2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/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26" fmlaLink="$E$53" fmlaRange="$D$51:$D$52" sel="2" val="0"/>
</file>

<file path=xl/ctrlProps/ctrlProp2.xml><?xml version="1.0" encoding="utf-8"?>
<formControlPr xmlns="http://schemas.microsoft.com/office/spreadsheetml/2009/9/main" objectType="Drop" dropLines="4" dropStyle="combo" dx="26" fmlaLink="$E$58" fmlaRange="$D$55:$D$57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2415540</xdr:colOff>
          <xdr:row>26</xdr:row>
          <xdr:rowOff>38100</xdr:rowOff>
        </xdr:from>
        <xdr:to>
          <xdr:col>3</xdr:col>
          <xdr:colOff>731520</xdr:colOff>
          <xdr:row>26</xdr:row>
          <xdr:rowOff>274320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</xdr:colOff>
          <xdr:row>26</xdr:row>
          <xdr:rowOff>38100</xdr:rowOff>
        </xdr:from>
        <xdr:to>
          <xdr:col>6</xdr:col>
          <xdr:colOff>0</xdr:colOff>
          <xdr:row>26</xdr:row>
          <xdr:rowOff>289560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P69"/>
  <sheetViews>
    <sheetView tabSelected="1" zoomScaleNormal="100" workbookViewId="0">
      <selection activeCell="H23" sqref="H23"/>
    </sheetView>
  </sheetViews>
  <sheetFormatPr defaultRowHeight="15" customHeight="1" x14ac:dyDescent="0.3"/>
  <cols>
    <col min="1" max="1" width="3.77734375" customWidth="1"/>
    <col min="2" max="2" width="52.5546875" customWidth="1"/>
    <col min="3" max="4" width="12.77734375" customWidth="1"/>
    <col min="5" max="5" width="2.77734375" customWidth="1"/>
    <col min="6" max="7" width="12.77734375" customWidth="1"/>
    <col min="8" max="8" width="13.33203125" customWidth="1"/>
    <col min="9" max="9" width="12" bestFit="1" customWidth="1"/>
    <col min="10" max="10" width="12.6640625" bestFit="1" customWidth="1"/>
    <col min="11" max="11" width="34.88671875" customWidth="1"/>
    <col min="12" max="12" width="11.44140625" bestFit="1" customWidth="1"/>
    <col min="13" max="13" width="12.6640625" bestFit="1" customWidth="1"/>
    <col min="14" max="15" width="10.77734375" customWidth="1"/>
    <col min="16" max="16" width="15.5546875" customWidth="1"/>
  </cols>
  <sheetData>
    <row r="1" spans="1:15" ht="15" customHeight="1" thickTop="1" thickBot="1" x14ac:dyDescent="0.35">
      <c r="A1" s="124" t="s">
        <v>21</v>
      </c>
      <c r="B1" s="126" t="s">
        <v>74</v>
      </c>
      <c r="C1" s="127"/>
      <c r="D1" s="34">
        <v>2015</v>
      </c>
      <c r="E1" s="12"/>
      <c r="F1" s="137">
        <v>2016</v>
      </c>
      <c r="G1" s="138"/>
      <c r="H1" s="96"/>
      <c r="I1" s="1"/>
      <c r="O1" s="30"/>
    </row>
    <row r="2" spans="1:15" ht="15" customHeight="1" thickTop="1" x14ac:dyDescent="0.3">
      <c r="A2" s="125"/>
      <c r="B2" s="103" t="s">
        <v>70</v>
      </c>
      <c r="C2" s="104"/>
      <c r="D2" s="61" t="s">
        <v>60</v>
      </c>
      <c r="E2" s="13"/>
      <c r="F2" s="61" t="s">
        <v>60</v>
      </c>
      <c r="G2" s="61" t="s">
        <v>59</v>
      </c>
      <c r="H2" s="97"/>
      <c r="I2" s="65" t="s">
        <v>65</v>
      </c>
      <c r="O2" s="30"/>
    </row>
    <row r="3" spans="1:15" ht="15" customHeight="1" x14ac:dyDescent="0.3">
      <c r="A3" s="125"/>
      <c r="B3" s="117" t="s">
        <v>61</v>
      </c>
      <c r="C3" s="118"/>
      <c r="D3" s="67">
        <v>2000</v>
      </c>
      <c r="E3" s="14"/>
      <c r="F3" s="67">
        <v>6071.43</v>
      </c>
      <c r="G3" s="67">
        <v>1785.71</v>
      </c>
      <c r="H3" s="98"/>
    </row>
    <row r="4" spans="1:15" ht="15" customHeight="1" x14ac:dyDescent="0.3">
      <c r="A4" s="125"/>
      <c r="B4" s="117" t="s">
        <v>62</v>
      </c>
      <c r="C4" s="118"/>
      <c r="D4" s="67">
        <v>0</v>
      </c>
      <c r="E4" s="14"/>
      <c r="F4" s="67">
        <v>667.86</v>
      </c>
      <c r="G4" s="67">
        <v>196.43</v>
      </c>
      <c r="H4" s="98"/>
      <c r="I4" s="2"/>
      <c r="J4" s="92"/>
      <c r="K4" s="91"/>
    </row>
    <row r="5" spans="1:15" ht="15" customHeight="1" x14ac:dyDescent="0.3">
      <c r="A5" s="125"/>
      <c r="B5" s="117" t="s">
        <v>63</v>
      </c>
      <c r="C5" s="118"/>
      <c r="D5" s="67">
        <v>0</v>
      </c>
      <c r="E5" s="14"/>
      <c r="F5" s="67">
        <v>0</v>
      </c>
      <c r="G5" s="67">
        <v>0</v>
      </c>
      <c r="H5" s="98"/>
      <c r="I5" s="2"/>
      <c r="J5" s="93"/>
      <c r="K5" s="91"/>
    </row>
    <row r="6" spans="1:15" ht="15" customHeight="1" x14ac:dyDescent="0.3">
      <c r="A6" s="125"/>
      <c r="B6" s="117" t="s">
        <v>64</v>
      </c>
      <c r="C6" s="118"/>
      <c r="D6" s="67">
        <v>0</v>
      </c>
      <c r="E6" s="14"/>
      <c r="F6" s="67">
        <v>0</v>
      </c>
      <c r="G6" s="67">
        <v>0</v>
      </c>
      <c r="H6" s="98"/>
      <c r="I6" s="2"/>
      <c r="J6" s="93"/>
      <c r="K6" s="1"/>
      <c r="N6" s="1"/>
    </row>
    <row r="7" spans="1:15" ht="15" customHeight="1" x14ac:dyDescent="0.3">
      <c r="A7" s="125"/>
      <c r="B7" s="117" t="s">
        <v>0</v>
      </c>
      <c r="C7" s="118"/>
      <c r="D7" s="7">
        <f>D25</f>
        <v>505</v>
      </c>
      <c r="E7" s="14"/>
      <c r="F7" s="7">
        <f>F25</f>
        <v>530</v>
      </c>
      <c r="G7" s="37">
        <f>F25</f>
        <v>530</v>
      </c>
      <c r="H7" s="98"/>
      <c r="I7" s="2"/>
      <c r="J7" s="93"/>
      <c r="K7" s="1"/>
    </row>
    <row r="8" spans="1:15" ht="15" customHeight="1" thickBot="1" x14ac:dyDescent="0.35">
      <c r="A8" s="125"/>
      <c r="B8" s="128" t="s">
        <v>14</v>
      </c>
      <c r="C8" s="129"/>
      <c r="D8" s="23">
        <f>+IF(INT((D3-D4-D5-D6-D7)*3.5%)&lt;0,0,INT((D3-D5-D4-D6-D7)*3.5%))</f>
        <v>52</v>
      </c>
      <c r="E8" s="15"/>
      <c r="F8" s="23">
        <f>+IF(INT((F3-F4-F5-F6-F7)*G30)&lt;0,0,INT((F3-F4-F5-F6-F7)*G30))</f>
        <v>146</v>
      </c>
      <c r="G8" s="75">
        <f>+IF(INT((G3-G4-G5-G6-G7)*G30)&lt;0,0,INT((G3-G4-G5-G6-G7)*G30))</f>
        <v>31</v>
      </c>
      <c r="H8" s="98"/>
      <c r="I8" s="2"/>
      <c r="J8" s="93"/>
      <c r="K8" s="1"/>
    </row>
    <row r="9" spans="1:15" ht="15" customHeight="1" thickTop="1" thickBot="1" x14ac:dyDescent="0.35">
      <c r="A9" s="121" t="s">
        <v>9</v>
      </c>
      <c r="B9" s="130" t="s">
        <v>75</v>
      </c>
      <c r="C9" s="131"/>
      <c r="D9" s="40"/>
      <c r="E9" s="24"/>
      <c r="F9" s="38"/>
      <c r="G9" s="38"/>
      <c r="H9" s="98"/>
    </row>
    <row r="10" spans="1:15" ht="15" customHeight="1" thickTop="1" thickBot="1" x14ac:dyDescent="0.35">
      <c r="A10" s="122"/>
      <c r="B10" s="103" t="s">
        <v>70</v>
      </c>
      <c r="C10" s="104"/>
      <c r="D10" s="11"/>
      <c r="E10" s="14"/>
      <c r="F10" s="36"/>
      <c r="G10" s="36"/>
      <c r="H10" s="98"/>
    </row>
    <row r="11" spans="1:15" ht="15" customHeight="1" thickTop="1" x14ac:dyDescent="0.3">
      <c r="A11" s="122"/>
      <c r="B11" s="132" t="s">
        <v>72</v>
      </c>
      <c r="C11" s="133"/>
      <c r="D11" s="7">
        <f>(D3*14)+D12+D13</f>
        <v>28000</v>
      </c>
      <c r="E11" s="14"/>
      <c r="F11" s="37">
        <f>(F3*14)+F12+F13</f>
        <v>85000.02</v>
      </c>
      <c r="G11" s="37">
        <f>(G3*14)+G12+G13</f>
        <v>24999.940000000002</v>
      </c>
      <c r="H11" s="98"/>
    </row>
    <row r="12" spans="1:15" ht="15" customHeight="1" x14ac:dyDescent="0.3">
      <c r="A12" s="122"/>
      <c r="B12" s="117" t="s">
        <v>71</v>
      </c>
      <c r="C12" s="118"/>
      <c r="D12" s="67">
        <v>0</v>
      </c>
      <c r="E12" s="14"/>
      <c r="F12" s="67">
        <v>0</v>
      </c>
      <c r="G12" s="67">
        <v>0</v>
      </c>
      <c r="H12" s="98"/>
    </row>
    <row r="13" spans="1:15" ht="15" customHeight="1" x14ac:dyDescent="0.3">
      <c r="A13" s="122"/>
      <c r="B13" s="117" t="s">
        <v>20</v>
      </c>
      <c r="C13" s="118"/>
      <c r="D13" s="67">
        <v>0</v>
      </c>
      <c r="E13" s="14"/>
      <c r="F13" s="67">
        <v>0</v>
      </c>
      <c r="G13" s="67">
        <v>0</v>
      </c>
      <c r="H13" s="98"/>
    </row>
    <row r="14" spans="1:15" ht="15" customHeight="1" x14ac:dyDescent="0.3">
      <c r="A14" s="122"/>
      <c r="B14" s="117" t="s">
        <v>73</v>
      </c>
      <c r="C14" s="118"/>
      <c r="D14" s="7">
        <f>ABS(IF(D11&lt;4104,D11,IF(D11*0.11&lt;4104,4104,+D11*0.11)))</f>
        <v>4104</v>
      </c>
      <c r="E14" s="14"/>
      <c r="F14" s="37">
        <f>(IF(F11&lt;4104,F11,IF(F11*0.11&lt;4104,4104,+F11*0.11)))</f>
        <v>9350.0022000000008</v>
      </c>
      <c r="G14" s="37">
        <f>ABS(IF(G11&lt;4104,G11,IF(G11*0.11&lt;4104,4104,+G11*0.11)))</f>
        <v>4104</v>
      </c>
      <c r="H14" s="98"/>
      <c r="I14" s="1"/>
      <c r="J14" s="66"/>
    </row>
    <row r="15" spans="1:15" ht="15" customHeight="1" x14ac:dyDescent="0.3">
      <c r="A15" s="122"/>
      <c r="B15" s="117" t="s">
        <v>17</v>
      </c>
      <c r="C15" s="118"/>
      <c r="D15" s="67">
        <v>0</v>
      </c>
      <c r="E15" s="14"/>
      <c r="F15" s="67">
        <v>0</v>
      </c>
      <c r="G15" s="67">
        <v>0</v>
      </c>
      <c r="H15" s="98"/>
      <c r="K15" s="66"/>
    </row>
    <row r="16" spans="1:15" ht="15" customHeight="1" x14ac:dyDescent="0.3">
      <c r="A16" s="122"/>
      <c r="B16" s="117" t="s">
        <v>18</v>
      </c>
      <c r="C16" s="118"/>
      <c r="D16" s="67">
        <v>0</v>
      </c>
      <c r="E16" s="14"/>
      <c r="F16" s="67">
        <v>0</v>
      </c>
      <c r="G16" s="67">
        <v>0</v>
      </c>
      <c r="H16" s="98"/>
    </row>
    <row r="17" spans="1:14" ht="15" customHeight="1" thickBot="1" x14ac:dyDescent="0.35">
      <c r="A17" s="122"/>
      <c r="B17" s="119" t="s">
        <v>19</v>
      </c>
      <c r="C17" s="120"/>
      <c r="D17" s="68">
        <v>0</v>
      </c>
      <c r="E17" s="14"/>
      <c r="F17" s="68">
        <v>0</v>
      </c>
      <c r="G17" s="68">
        <v>0</v>
      </c>
      <c r="H17" s="98"/>
      <c r="I17" s="2"/>
      <c r="J17" s="2"/>
      <c r="K17" s="6"/>
    </row>
    <row r="18" spans="1:14" s="33" customFormat="1" ht="15" customHeight="1" thickTop="1" x14ac:dyDescent="0.3">
      <c r="A18" s="122"/>
      <c r="B18" s="111" t="s">
        <v>69</v>
      </c>
      <c r="C18" s="112"/>
      <c r="D18" s="44">
        <f>D11</f>
        <v>28000</v>
      </c>
      <c r="E18" s="24"/>
      <c r="F18" s="44">
        <f>F11+G11</f>
        <v>109999.96</v>
      </c>
      <c r="G18" s="102"/>
      <c r="H18" s="99"/>
      <c r="I18" s="2"/>
      <c r="J18" s="2"/>
      <c r="K18" s="6"/>
    </row>
    <row r="19" spans="1:14" ht="15" customHeight="1" x14ac:dyDescent="0.3">
      <c r="A19" s="122"/>
      <c r="B19" s="105" t="s">
        <v>23</v>
      </c>
      <c r="C19" s="106"/>
      <c r="D19" s="42">
        <f>+(D18)-D14-D15-D16-D17</f>
        <v>23896</v>
      </c>
      <c r="E19" s="14"/>
      <c r="F19" s="41">
        <f>+(F18)-F14-F15-F16-F17-G14-G15-G16-G17</f>
        <v>96545.957800000004</v>
      </c>
      <c r="G19" s="95"/>
      <c r="H19" s="99"/>
      <c r="I19" s="27"/>
      <c r="K19" s="6"/>
    </row>
    <row r="20" spans="1:14" ht="15" customHeight="1" x14ac:dyDescent="0.3">
      <c r="A20" s="122"/>
      <c r="B20" s="105" t="s">
        <v>42</v>
      </c>
      <c r="C20" s="106"/>
      <c r="D20" s="7">
        <f>(D25*D26)*E27</f>
        <v>14140</v>
      </c>
      <c r="E20" s="14"/>
      <c r="F20" s="37">
        <f>(F25*F26)*E53</f>
        <v>14840</v>
      </c>
      <c r="G20" s="95"/>
      <c r="H20" s="99"/>
      <c r="I20" s="1"/>
      <c r="N20" s="1"/>
    </row>
    <row r="21" spans="1:14" s="33" customFormat="1" ht="15" customHeight="1" x14ac:dyDescent="0.3">
      <c r="A21" s="122"/>
      <c r="B21" s="105" t="s">
        <v>43</v>
      </c>
      <c r="C21" s="106"/>
      <c r="D21" s="69">
        <v>0</v>
      </c>
      <c r="E21" s="14"/>
      <c r="F21" s="69">
        <v>0</v>
      </c>
      <c r="G21" s="95"/>
      <c r="H21" s="99"/>
      <c r="I21" s="1"/>
      <c r="N21" s="1"/>
    </row>
    <row r="22" spans="1:14" ht="15" customHeight="1" x14ac:dyDescent="0.3">
      <c r="A22" s="122"/>
      <c r="B22" s="113" t="s">
        <v>67</v>
      </c>
      <c r="C22" s="114"/>
      <c r="D22" s="64">
        <f>+IF(H50&lt;0,0,(H50-H49))</f>
        <v>341.46000000000004</v>
      </c>
      <c r="E22" s="15"/>
      <c r="F22" s="39">
        <f>(F19-F20)*G30-G49</f>
        <v>2451.1787340000001</v>
      </c>
      <c r="G22" s="95"/>
      <c r="H22" s="99"/>
      <c r="I22" s="1"/>
    </row>
    <row r="23" spans="1:14" ht="15" customHeight="1" x14ac:dyDescent="0.3">
      <c r="A23" s="122"/>
      <c r="B23" s="107" t="s">
        <v>66</v>
      </c>
      <c r="C23" s="108"/>
      <c r="D23" s="67">
        <v>0</v>
      </c>
      <c r="E23" s="14"/>
      <c r="F23" s="67">
        <v>0</v>
      </c>
      <c r="G23" s="95"/>
      <c r="H23" s="99"/>
    </row>
    <row r="24" spans="1:14" ht="15" customHeight="1" thickBot="1" x14ac:dyDescent="0.35">
      <c r="A24" s="123"/>
      <c r="B24" s="115" t="str">
        <f>IF(F24&gt;1,"Diferênca a Pagar→",IF(F24&lt;0,"Diferença a Receber→",IF(F24=0,"Diferênça →",)))</f>
        <v>Diferênca a Pagar→</v>
      </c>
      <c r="C24" s="116"/>
      <c r="D24" s="62">
        <f>D22-D23</f>
        <v>341.46000000000004</v>
      </c>
      <c r="E24" s="16"/>
      <c r="F24" s="63">
        <f>F22-F23</f>
        <v>2451.1787340000001</v>
      </c>
      <c r="G24" s="95"/>
      <c r="H24" s="99"/>
    </row>
    <row r="25" spans="1:14" ht="15" customHeight="1" x14ac:dyDescent="0.3">
      <c r="A25" s="25"/>
      <c r="B25" s="107" t="s">
        <v>15</v>
      </c>
      <c r="C25" s="108"/>
      <c r="D25" s="37">
        <f>IF(D3&gt;1,505,)</f>
        <v>505</v>
      </c>
      <c r="E25" s="22"/>
      <c r="F25" s="37">
        <f>IF(F3&gt;1,530,)</f>
        <v>530</v>
      </c>
      <c r="G25" s="95"/>
      <c r="H25" s="99"/>
    </row>
    <row r="26" spans="1:14" ht="15" customHeight="1" thickBot="1" x14ac:dyDescent="0.35">
      <c r="A26" s="26"/>
      <c r="B26" s="109" t="s">
        <v>16</v>
      </c>
      <c r="C26" s="110"/>
      <c r="D26" s="60">
        <f>IF(D3&gt;1,14,)</f>
        <v>14</v>
      </c>
      <c r="E26" s="29"/>
      <c r="F26" s="60">
        <f>IF(F3&gt;1,14,)</f>
        <v>14</v>
      </c>
      <c r="G26" s="95"/>
      <c r="H26" s="99"/>
    </row>
    <row r="27" spans="1:14" ht="25.2" customHeight="1" thickTop="1" thickBot="1" x14ac:dyDescent="0.35">
      <c r="B27" s="72" t="s">
        <v>68</v>
      </c>
      <c r="C27" s="73"/>
      <c r="D27" s="74"/>
      <c r="E27" s="71">
        <f>E53</f>
        <v>2</v>
      </c>
      <c r="F27" s="79"/>
      <c r="G27" s="101"/>
      <c r="H27" s="100"/>
      <c r="I27" s="70"/>
      <c r="J27" s="70"/>
    </row>
    <row r="28" spans="1:14" ht="15" customHeight="1" thickTop="1" x14ac:dyDescent="0.3">
      <c r="F28" s="10"/>
      <c r="H28" s="94"/>
    </row>
    <row r="29" spans="1:14" ht="15" customHeight="1" thickBot="1" x14ac:dyDescent="0.35">
      <c r="E29" s="70"/>
      <c r="G29" s="5" t="s">
        <v>24</v>
      </c>
    </row>
    <row r="30" spans="1:14" ht="15" customHeight="1" thickTop="1" thickBot="1" x14ac:dyDescent="0.35">
      <c r="E30" s="70"/>
      <c r="G30" s="28">
        <f>I35</f>
        <v>0.03</v>
      </c>
    </row>
    <row r="31" spans="1:14" ht="15" customHeight="1" thickTop="1" x14ac:dyDescent="0.3">
      <c r="B31" s="43"/>
      <c r="C31" s="43"/>
      <c r="D31" s="43"/>
      <c r="E31" s="70"/>
      <c r="F31" s="43"/>
      <c r="G31" s="43"/>
    </row>
    <row r="32" spans="1:14" ht="15" customHeight="1" x14ac:dyDescent="0.3">
      <c r="B32" s="43"/>
      <c r="C32" s="43"/>
      <c r="D32" s="43"/>
      <c r="E32" s="43"/>
      <c r="F32" s="43"/>
      <c r="G32" s="43"/>
    </row>
    <row r="33" spans="2:16" ht="15" customHeight="1" x14ac:dyDescent="0.3">
      <c r="B33" s="43"/>
      <c r="C33" s="43"/>
      <c r="D33" s="43"/>
      <c r="E33" s="43"/>
      <c r="F33" s="43"/>
      <c r="G33" s="43"/>
    </row>
    <row r="34" spans="2:16" ht="15" hidden="1" customHeight="1" thickBot="1" x14ac:dyDescent="0.35">
      <c r="B34" s="43"/>
      <c r="C34" s="43"/>
      <c r="D34" s="43"/>
      <c r="E34" s="43"/>
      <c r="F34" s="43"/>
      <c r="G34" s="43"/>
    </row>
    <row r="35" spans="2:16" ht="15" hidden="1" customHeight="1" thickTop="1" thickBot="1" x14ac:dyDescent="0.35">
      <c r="B35" s="43"/>
      <c r="C35" s="146" t="s">
        <v>25</v>
      </c>
      <c r="D35" s="146"/>
      <c r="E35" s="146"/>
      <c r="F35" s="146" t="s">
        <v>24</v>
      </c>
      <c r="G35" s="143" t="s">
        <v>26</v>
      </c>
      <c r="H35" s="141" t="s">
        <v>27</v>
      </c>
      <c r="I35" s="45">
        <f>IF(M37=14.5%,0%,IF(M38=28.5%,1%,IF(M39=37%,1.75%,IF(M40=45%,3%,IF(M41=48%,3.5%,IF(N37=13.41%,0%,IF(N38=28.5%,1%,IF(N39=37%,1.75%,IF(N40=45%,3%,IF(N417=48%,3.5%,IF(O37=10.15%,0%,IF(O38=21.38%,1%,IF(O39=29.6%,1.75%,IF(O40=36%,3%,IF(O41=38.4%,3.5%)))))))))))))))</f>
        <v>0.03</v>
      </c>
      <c r="J35" s="139" t="s">
        <v>2</v>
      </c>
      <c r="K35" s="139" t="s">
        <v>34</v>
      </c>
      <c r="L35" s="139" t="s">
        <v>3</v>
      </c>
      <c r="M35" s="134" t="s">
        <v>10</v>
      </c>
      <c r="N35" s="134" t="s">
        <v>11</v>
      </c>
      <c r="O35" s="134" t="s">
        <v>12</v>
      </c>
    </row>
    <row r="36" spans="2:16" ht="15" hidden="1" customHeight="1" thickBot="1" x14ac:dyDescent="0.35">
      <c r="B36" s="43"/>
      <c r="C36" s="146"/>
      <c r="D36" s="146"/>
      <c r="E36" s="146"/>
      <c r="F36" s="146"/>
      <c r="G36" s="144"/>
      <c r="H36" s="142"/>
      <c r="J36" s="140"/>
      <c r="K36" s="140"/>
      <c r="L36" s="140"/>
      <c r="M36" s="135"/>
      <c r="N36" s="135"/>
      <c r="O36" s="135"/>
    </row>
    <row r="37" spans="2:16" ht="15" hidden="1" customHeight="1" thickBot="1" x14ac:dyDescent="0.35">
      <c r="B37" s="43"/>
      <c r="C37" s="83">
        <v>0</v>
      </c>
      <c r="D37" s="147">
        <f>F47</f>
        <v>7420</v>
      </c>
      <c r="E37" s="147"/>
      <c r="F37" s="90">
        <v>0</v>
      </c>
      <c r="G37" s="83">
        <v>0</v>
      </c>
      <c r="H37" s="81">
        <f>D37-G37</f>
        <v>7420</v>
      </c>
      <c r="I37" s="32"/>
      <c r="J37" s="3" t="s">
        <v>4</v>
      </c>
      <c r="K37" s="4" t="s">
        <v>32</v>
      </c>
      <c r="L37" s="8">
        <v>0</v>
      </c>
      <c r="M37" s="46" t="b">
        <f>IF(E58=1,IF(L42&lt;=7420,14.5%))</f>
        <v>0</v>
      </c>
      <c r="N37" s="47" t="b">
        <f>IF(E58=2,IF(L42&lt;=H37,13.41%))</f>
        <v>0</v>
      </c>
      <c r="O37" s="48" t="b">
        <f>IF(E58=3,IF(L42&lt;=H37,10.15%))</f>
        <v>0</v>
      </c>
    </row>
    <row r="38" spans="2:16" ht="15" hidden="1" customHeight="1" thickBot="1" x14ac:dyDescent="0.35">
      <c r="B38" s="43"/>
      <c r="C38" s="83">
        <f>+D37+0.01</f>
        <v>7420.01</v>
      </c>
      <c r="D38" s="136">
        <v>20000</v>
      </c>
      <c r="E38" s="136"/>
      <c r="F38" s="90">
        <v>0.01</v>
      </c>
      <c r="G38" s="83">
        <f>+(D38-(D37*E27))*F38-F49*F48</f>
        <v>51.6</v>
      </c>
      <c r="H38" s="81">
        <f>D38-G38</f>
        <v>19948.400000000001</v>
      </c>
      <c r="I38" s="32"/>
      <c r="J38" s="3" t="s">
        <v>5</v>
      </c>
      <c r="K38" s="4" t="s">
        <v>39</v>
      </c>
      <c r="L38" s="8">
        <v>0.01</v>
      </c>
      <c r="M38" s="17" t="b">
        <f>IF(E58=1,IF(L42&lt;=H38,28.5%))</f>
        <v>0</v>
      </c>
      <c r="N38" s="20" t="b">
        <f>IF(E58=2,IF(L42&lt;=H38,28.5%))</f>
        <v>0</v>
      </c>
      <c r="O38" s="20" t="b">
        <f>IF(E58=3,IF(L42&lt;=H38,21.38%))</f>
        <v>0</v>
      </c>
    </row>
    <row r="39" spans="2:16" ht="15" hidden="1" customHeight="1" thickBot="1" x14ac:dyDescent="0.35">
      <c r="B39" s="43"/>
      <c r="C39" s="83">
        <v>20000.009999999998</v>
      </c>
      <c r="D39" s="136">
        <v>40000</v>
      </c>
      <c r="E39" s="136"/>
      <c r="F39" s="90">
        <v>1.7500000000000002E-2</v>
      </c>
      <c r="G39" s="83">
        <f>+(D39-(D37*E27))*F39-F49*F48</f>
        <v>440.30000000000007</v>
      </c>
      <c r="H39" s="81">
        <f>D39-G39</f>
        <v>39559.699999999997</v>
      </c>
      <c r="I39" s="32"/>
      <c r="J39" s="3" t="s">
        <v>6</v>
      </c>
      <c r="K39" s="4" t="s">
        <v>40</v>
      </c>
      <c r="L39" s="8">
        <v>1.7500000000000002E-2</v>
      </c>
      <c r="M39" s="17" t="b">
        <f>IF(E58=1,IF(L42&lt;=H39,37%))</f>
        <v>0</v>
      </c>
      <c r="N39" s="19" t="b">
        <f>IF(E58=2,IF(L42&lt;=H39,37%))</f>
        <v>0</v>
      </c>
      <c r="O39" s="20" t="b">
        <f>IF(E58=3,IF(L42&lt;=H39,29.6%))</f>
        <v>0</v>
      </c>
    </row>
    <row r="40" spans="2:16" ht="15" hidden="1" customHeight="1" thickBot="1" x14ac:dyDescent="0.35">
      <c r="B40" s="43"/>
      <c r="C40" s="83">
        <v>40000.01</v>
      </c>
      <c r="D40" s="136">
        <v>80000</v>
      </c>
      <c r="E40" s="136"/>
      <c r="F40" s="90">
        <v>0.03</v>
      </c>
      <c r="G40" s="83">
        <f>+(D40-(D37*E27))*F40-F49*F48</f>
        <v>1954.8</v>
      </c>
      <c r="H40" s="81">
        <f>D40-G40</f>
        <v>78045.2</v>
      </c>
      <c r="I40" s="32"/>
      <c r="J40" s="3" t="s">
        <v>7</v>
      </c>
      <c r="K40" s="4" t="s">
        <v>41</v>
      </c>
      <c r="L40" s="9">
        <v>0.03</v>
      </c>
      <c r="M40" s="17">
        <f>IF(E58=1,IF(L42&lt;=H40,45%))</f>
        <v>0.45</v>
      </c>
      <c r="N40" s="20" t="b">
        <f>IF(E58=2,IF(L42&lt;=H40,45%))</f>
        <v>0</v>
      </c>
      <c r="O40" s="20" t="b">
        <f>IF(E58=3,IF(L42&lt;=H40,36%))</f>
        <v>0</v>
      </c>
    </row>
    <row r="41" spans="2:16" ht="15" hidden="1" customHeight="1" thickBot="1" x14ac:dyDescent="0.35">
      <c r="B41" s="43"/>
      <c r="C41" s="83">
        <v>80000.009999999995</v>
      </c>
      <c r="D41" s="145">
        <v>9.9999999999999906E+70</v>
      </c>
      <c r="E41" s="145"/>
      <c r="F41" s="90">
        <v>3.5000000000000003E-2</v>
      </c>
      <c r="G41" s="84"/>
      <c r="H41" s="82"/>
      <c r="I41" s="35"/>
      <c r="J41" s="3" t="s">
        <v>8</v>
      </c>
      <c r="K41" s="4" t="s">
        <v>33</v>
      </c>
      <c r="L41" s="86">
        <v>3.5000000000000003E-2</v>
      </c>
      <c r="M41" s="17" t="b">
        <f>IF(E58=1,IF(L42&gt;H40,48%))</f>
        <v>0</v>
      </c>
      <c r="N41" s="19" t="b">
        <f>IF(E58=2,IF(L42&gt;H40,48%))</f>
        <v>0</v>
      </c>
      <c r="O41" s="20" t="b">
        <f>IF(E58=3,IF(L42&gt;H40,38.4%))</f>
        <v>0</v>
      </c>
    </row>
    <row r="42" spans="2:16" ht="15" hidden="1" customHeight="1" thickTop="1" thickBot="1" x14ac:dyDescent="0.35">
      <c r="B42" s="43"/>
      <c r="C42" s="70"/>
      <c r="D42" s="70"/>
      <c r="E42" s="70"/>
      <c r="F42" s="70"/>
      <c r="G42" s="70"/>
      <c r="H42" s="70"/>
      <c r="I42" s="35"/>
      <c r="K42" s="87" t="s">
        <v>35</v>
      </c>
      <c r="L42" s="88">
        <f>(F46)/E53</f>
        <v>50324.978900000002</v>
      </c>
      <c r="M42" s="85">
        <f>MIN(M37:M41)</f>
        <v>0.45</v>
      </c>
      <c r="N42" s="21">
        <f>MIN(N37:N41)</f>
        <v>0</v>
      </c>
      <c r="O42" s="18">
        <f>MIN(O37:O41)</f>
        <v>0</v>
      </c>
    </row>
    <row r="43" spans="2:16" ht="15" hidden="1" customHeight="1" x14ac:dyDescent="0.3">
      <c r="B43" s="43"/>
      <c r="C43" s="65" t="s">
        <v>22</v>
      </c>
      <c r="D43" s="65"/>
      <c r="E43" s="65"/>
      <c r="F43" s="89">
        <f>IF(IF(F44-((F46-(F47*E27))*G30-F49*F48)&lt;VLOOKUP(IF(G30-0.01&lt;0,0,G30-0.01),F37:H41,3,1),VLOOKUP(IF(G30-0.01&lt;0,0,G30-0.01),F37:H41,2,1),(F46-(F47*E27))*G30-F49*F48)&lt;0,0,IF(F44-((F46-(F47*E27))*G30-F49*F48)&lt;VLOOKUP(IF(G30-0.01&lt;0,0,G30-0.01),F37:H41,3,1),VLOOKUP(IF(G30-0.01&lt;0,0,G30-0.01),F37:H41,2,1),(F46-(F47*E27))*G30-F49*F48))</f>
        <v>2574.298734</v>
      </c>
      <c r="G43" s="43"/>
      <c r="H43" s="35"/>
      <c r="I43" s="35"/>
    </row>
    <row r="44" spans="2:16" ht="15" hidden="1" customHeight="1" x14ac:dyDescent="0.3">
      <c r="B44" s="43"/>
      <c r="C44" s="65" t="s">
        <v>36</v>
      </c>
      <c r="D44" s="65"/>
      <c r="E44" s="65"/>
      <c r="F44" s="76">
        <f>F18</f>
        <v>109999.96</v>
      </c>
      <c r="G44" s="43"/>
    </row>
    <row r="45" spans="2:16" ht="15" hidden="1" customHeight="1" thickBot="1" x14ac:dyDescent="0.35">
      <c r="B45" s="43"/>
      <c r="C45" s="65" t="s">
        <v>30</v>
      </c>
      <c r="D45" s="65"/>
      <c r="E45" s="65"/>
      <c r="F45" s="76">
        <f>(F14)</f>
        <v>9350.0022000000008</v>
      </c>
      <c r="G45" s="43"/>
      <c r="K45" s="55" t="s">
        <v>58</v>
      </c>
      <c r="P45" s="80"/>
    </row>
    <row r="46" spans="2:16" ht="15" hidden="1" customHeight="1" thickTop="1" x14ac:dyDescent="0.3">
      <c r="B46" s="43"/>
      <c r="C46" s="65" t="s">
        <v>31</v>
      </c>
      <c r="D46" s="65"/>
      <c r="E46" s="65"/>
      <c r="F46" s="76">
        <f>(F44-F45)</f>
        <v>100649.9578</v>
      </c>
      <c r="G46" s="43"/>
      <c r="K46" s="56" t="s">
        <v>44</v>
      </c>
      <c r="L46" s="57" t="s">
        <v>24</v>
      </c>
    </row>
    <row r="47" spans="2:16" ht="15" hidden="1" customHeight="1" x14ac:dyDescent="0.3">
      <c r="B47" s="43"/>
      <c r="C47" s="65" t="s">
        <v>1</v>
      </c>
      <c r="D47" s="76">
        <f>IF(F44&gt;1,530,)</f>
        <v>530</v>
      </c>
      <c r="E47" s="65">
        <f>IF(F44&gt;1,14,)</f>
        <v>14</v>
      </c>
      <c r="F47" s="76">
        <f>D47*E47</f>
        <v>7420</v>
      </c>
      <c r="G47" s="43"/>
      <c r="K47" s="58" t="s">
        <v>45</v>
      </c>
      <c r="L47" s="59" t="s">
        <v>46</v>
      </c>
    </row>
    <row r="48" spans="2:16" ht="15" hidden="1" customHeight="1" x14ac:dyDescent="0.3">
      <c r="B48" s="43"/>
      <c r="C48" s="65" t="s">
        <v>28</v>
      </c>
      <c r="D48" s="65"/>
      <c r="E48" s="65"/>
      <c r="F48" s="65">
        <f>F21</f>
        <v>0</v>
      </c>
      <c r="G48" s="43"/>
      <c r="H48" s="65">
        <f>D21</f>
        <v>0</v>
      </c>
      <c r="K48" s="49" t="s">
        <v>56</v>
      </c>
      <c r="L48" s="51">
        <v>0</v>
      </c>
      <c r="M48" s="1">
        <f>801*14</f>
        <v>11214</v>
      </c>
      <c r="P48" s="1"/>
    </row>
    <row r="49" spans="2:16" ht="15" hidden="1" customHeight="1" x14ac:dyDescent="0.3">
      <c r="B49" s="43"/>
      <c r="C49" s="65" t="s">
        <v>29</v>
      </c>
      <c r="D49" s="65"/>
      <c r="E49" s="65"/>
      <c r="F49" s="76">
        <f>ROUNDUP(D47*0.025,2)</f>
        <v>13.25</v>
      </c>
      <c r="G49" s="76">
        <f>F48*F49</f>
        <v>0</v>
      </c>
      <c r="H49" s="76">
        <f>ROUNDUP(D25*0.025,2)*H48</f>
        <v>0</v>
      </c>
      <c r="K49" s="49" t="s">
        <v>57</v>
      </c>
      <c r="L49" s="51">
        <v>1</v>
      </c>
      <c r="M49" s="1">
        <f>1683*14</f>
        <v>23562</v>
      </c>
    </row>
    <row r="50" spans="2:16" s="31" customFormat="1" ht="15" hidden="1" customHeight="1" x14ac:dyDescent="0.3">
      <c r="B50" s="43"/>
      <c r="C50" s="65"/>
      <c r="D50" s="70"/>
      <c r="E50" s="70"/>
      <c r="F50" s="65"/>
      <c r="G50" s="80">
        <v>3.5000000000000003E-2</v>
      </c>
      <c r="H50" s="1">
        <f>(D19-D20)*G50</f>
        <v>341.46000000000004</v>
      </c>
      <c r="K50" s="49" t="s">
        <v>47</v>
      </c>
      <c r="L50" s="51">
        <v>1.75</v>
      </c>
      <c r="M50" s="1">
        <f>3054*14</f>
        <v>42756</v>
      </c>
    </row>
    <row r="51" spans="2:16" s="31" customFormat="1" ht="15" hidden="1" customHeight="1" x14ac:dyDescent="0.3">
      <c r="B51" s="43" t="s">
        <v>13</v>
      </c>
      <c r="C51" s="43"/>
      <c r="D51" s="70" t="s">
        <v>37</v>
      </c>
      <c r="E51" s="70">
        <v>1</v>
      </c>
      <c r="F51" s="70"/>
      <c r="G51" s="43"/>
      <c r="J51" s="32"/>
      <c r="K51" s="49" t="s">
        <v>48</v>
      </c>
      <c r="L51" s="51">
        <v>3</v>
      </c>
      <c r="M51" s="1">
        <f>5786*14</f>
        <v>81004</v>
      </c>
    </row>
    <row r="52" spans="2:16" ht="15" hidden="1" customHeight="1" thickBot="1" x14ac:dyDescent="0.35">
      <c r="B52" s="43"/>
      <c r="C52" s="43"/>
      <c r="D52" s="70" t="s">
        <v>38</v>
      </c>
      <c r="E52" s="70">
        <v>2</v>
      </c>
      <c r="F52" s="70"/>
      <c r="G52" s="43"/>
      <c r="K52" s="50" t="s">
        <v>49</v>
      </c>
      <c r="L52" s="52">
        <v>3.5</v>
      </c>
      <c r="M52" s="1">
        <f>5786*14</f>
        <v>81004</v>
      </c>
      <c r="P52" s="55"/>
    </row>
    <row r="53" spans="2:16" ht="15" hidden="1" customHeight="1" thickTop="1" thickBot="1" x14ac:dyDescent="0.35">
      <c r="B53" s="43"/>
      <c r="C53" s="43"/>
      <c r="D53" s="70"/>
      <c r="E53" s="77">
        <v>2</v>
      </c>
      <c r="F53" s="70"/>
      <c r="G53" s="43"/>
      <c r="K53" s="55" t="s">
        <v>50</v>
      </c>
      <c r="L53" s="31"/>
      <c r="P53" s="55"/>
    </row>
    <row r="54" spans="2:16" ht="15" hidden="1" customHeight="1" thickTop="1" x14ac:dyDescent="0.3">
      <c r="B54" s="43"/>
      <c r="C54" s="43"/>
      <c r="D54" s="43"/>
      <c r="E54" s="43"/>
      <c r="F54" s="70"/>
      <c r="G54" s="43"/>
      <c r="K54" s="56" t="s">
        <v>44</v>
      </c>
      <c r="L54" s="57" t="s">
        <v>24</v>
      </c>
    </row>
    <row r="55" spans="2:16" ht="15" hidden="1" customHeight="1" x14ac:dyDescent="0.3">
      <c r="B55" s="43"/>
      <c r="C55" s="43"/>
      <c r="D55" s="43" t="s">
        <v>10</v>
      </c>
      <c r="E55" s="78">
        <v>1</v>
      </c>
      <c r="F55" s="43"/>
      <c r="G55" s="43"/>
      <c r="H55" s="32"/>
      <c r="I55" s="32"/>
      <c r="K55" s="58" t="s">
        <v>45</v>
      </c>
      <c r="L55" s="59" t="s">
        <v>46</v>
      </c>
    </row>
    <row r="56" spans="2:16" ht="15" hidden="1" customHeight="1" x14ac:dyDescent="0.3">
      <c r="B56" s="43"/>
      <c r="C56" s="43"/>
      <c r="D56" s="78" t="s">
        <v>11</v>
      </c>
      <c r="E56" s="78">
        <v>2</v>
      </c>
      <c r="F56" s="43"/>
      <c r="G56" s="43"/>
      <c r="K56" s="49" t="s">
        <v>51</v>
      </c>
      <c r="L56" s="51">
        <v>0</v>
      </c>
      <c r="M56" s="1">
        <f>1205*14</f>
        <v>16870</v>
      </c>
    </row>
    <row r="57" spans="2:16" ht="15" hidden="1" customHeight="1" thickBot="1" x14ac:dyDescent="0.35">
      <c r="B57" s="43"/>
      <c r="C57" s="43"/>
      <c r="D57" s="78" t="s">
        <v>12</v>
      </c>
      <c r="E57" s="78">
        <v>3</v>
      </c>
      <c r="F57" s="43"/>
      <c r="G57" s="43"/>
      <c r="K57" s="49" t="s">
        <v>52</v>
      </c>
      <c r="L57" s="51">
        <v>1</v>
      </c>
      <c r="M57" s="1">
        <f>2888*14</f>
        <v>40432</v>
      </c>
    </row>
    <row r="58" spans="2:16" ht="15" hidden="1" customHeight="1" thickTop="1" thickBot="1" x14ac:dyDescent="0.35">
      <c r="B58" s="43"/>
      <c r="C58" s="43"/>
      <c r="D58" s="43"/>
      <c r="E58" s="77">
        <v>1</v>
      </c>
      <c r="F58" s="43"/>
      <c r="G58" s="43"/>
      <c r="K58" s="53" t="s">
        <v>53</v>
      </c>
      <c r="L58" s="54">
        <v>1.75</v>
      </c>
      <c r="M58" s="1">
        <f>6280*14</f>
        <v>87920</v>
      </c>
    </row>
    <row r="59" spans="2:16" ht="15" hidden="1" customHeight="1" thickTop="1" x14ac:dyDescent="0.3">
      <c r="B59" s="43"/>
      <c r="C59" s="43"/>
      <c r="D59" s="43"/>
      <c r="E59" s="43"/>
      <c r="F59" s="43"/>
      <c r="G59" s="43"/>
      <c r="K59" s="49" t="s">
        <v>54</v>
      </c>
      <c r="L59" s="51">
        <v>3</v>
      </c>
      <c r="M59" s="1">
        <f>10282*14</f>
        <v>143948</v>
      </c>
    </row>
    <row r="60" spans="2:16" ht="15" hidden="1" customHeight="1" thickBot="1" x14ac:dyDescent="0.35">
      <c r="B60" s="43"/>
      <c r="C60" s="43"/>
      <c r="D60" s="43"/>
      <c r="E60" s="43"/>
      <c r="F60" s="43"/>
      <c r="G60" s="43"/>
      <c r="K60" s="50" t="s">
        <v>55</v>
      </c>
      <c r="L60" s="52">
        <v>3.5</v>
      </c>
      <c r="M60" s="1">
        <f>10282*14</f>
        <v>143948</v>
      </c>
    </row>
    <row r="61" spans="2:16" ht="15" hidden="1" customHeight="1" thickTop="1" x14ac:dyDescent="0.3">
      <c r="B61" s="43"/>
      <c r="C61" s="43"/>
      <c r="D61" s="43"/>
      <c r="E61" s="43"/>
      <c r="F61" s="43"/>
      <c r="G61" s="43"/>
    </row>
    <row r="62" spans="2:16" ht="15" hidden="1" customHeight="1" x14ac:dyDescent="0.3">
      <c r="B62" s="43"/>
      <c r="C62" s="43"/>
      <c r="D62" s="43"/>
      <c r="E62" s="43"/>
      <c r="F62" s="43"/>
      <c r="G62" s="43"/>
    </row>
    <row r="63" spans="2:16" ht="15" hidden="1" customHeight="1" x14ac:dyDescent="0.3">
      <c r="B63" s="43"/>
      <c r="C63" s="43"/>
      <c r="D63" s="43"/>
      <c r="E63" s="43"/>
      <c r="F63" s="43"/>
      <c r="G63" s="43"/>
    </row>
    <row r="64" spans="2:16" ht="15" hidden="1" customHeight="1" x14ac:dyDescent="0.3">
      <c r="B64" s="43"/>
      <c r="C64" s="43"/>
      <c r="D64" s="43"/>
      <c r="E64" s="43"/>
      <c r="F64" s="43"/>
      <c r="G64" s="43"/>
    </row>
    <row r="65" spans="2:7" ht="15" hidden="1" customHeight="1" x14ac:dyDescent="0.3">
      <c r="B65" s="43"/>
      <c r="C65" s="43"/>
      <c r="D65" s="43"/>
      <c r="E65" s="43"/>
      <c r="F65" s="43"/>
      <c r="G65" s="43"/>
    </row>
    <row r="66" spans="2:7" ht="15" hidden="1" customHeight="1" x14ac:dyDescent="0.3">
      <c r="B66" s="43"/>
      <c r="C66" s="43"/>
      <c r="D66" s="43"/>
      <c r="E66" s="43"/>
      <c r="F66" s="43"/>
      <c r="G66" s="43"/>
    </row>
    <row r="67" spans="2:7" ht="15" customHeight="1" x14ac:dyDescent="0.3">
      <c r="B67" s="43"/>
      <c r="C67" s="43"/>
      <c r="D67" s="43"/>
      <c r="E67" s="43"/>
      <c r="F67" s="43"/>
      <c r="G67" s="43"/>
    </row>
    <row r="68" spans="2:7" ht="15" customHeight="1" x14ac:dyDescent="0.3">
      <c r="B68" s="43"/>
      <c r="C68" s="43"/>
      <c r="D68" s="43"/>
      <c r="E68" s="43"/>
      <c r="F68" s="43"/>
      <c r="G68" s="43"/>
    </row>
    <row r="69" spans="2:7" ht="15" customHeight="1" x14ac:dyDescent="0.3">
      <c r="B69" s="43"/>
      <c r="C69" s="43"/>
      <c r="D69" s="43"/>
      <c r="E69" s="43"/>
      <c r="F69" s="43"/>
      <c r="G69" s="43"/>
    </row>
  </sheetData>
  <sheetProtection algorithmName="SHA-512" hashValue="TPSIXmdOBosBg7poOYuF51YfIHCOMvOvSZu4uHm2se6T43sSgkoSm0VIntixAsgMLEuShzFhEVtFAf+plvLK2A==" saltValue="qrrHJTWJt4A1WF4xoJ4CVg==" spinCount="100000" sheet="1" objects="1" scenarios="1" selectLockedCells="1"/>
  <mergeCells count="44">
    <mergeCell ref="D39:E39"/>
    <mergeCell ref="D40:E40"/>
    <mergeCell ref="D41:E41"/>
    <mergeCell ref="F35:F36"/>
    <mergeCell ref="C35:E36"/>
    <mergeCell ref="D37:E37"/>
    <mergeCell ref="N35:N36"/>
    <mergeCell ref="O35:O36"/>
    <mergeCell ref="D38:E38"/>
    <mergeCell ref="F1:G1"/>
    <mergeCell ref="J35:J36"/>
    <mergeCell ref="K35:K36"/>
    <mergeCell ref="L35:L36"/>
    <mergeCell ref="M35:M36"/>
    <mergeCell ref="H35:H36"/>
    <mergeCell ref="G35:G36"/>
    <mergeCell ref="A9:A24"/>
    <mergeCell ref="A1:A8"/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1:C11"/>
    <mergeCell ref="B12:C12"/>
    <mergeCell ref="B13:C13"/>
    <mergeCell ref="B14:C14"/>
    <mergeCell ref="B15:C15"/>
    <mergeCell ref="B10:C10"/>
    <mergeCell ref="B19:C19"/>
    <mergeCell ref="B20:C20"/>
    <mergeCell ref="B25:C25"/>
    <mergeCell ref="B26:C26"/>
    <mergeCell ref="B18:C18"/>
    <mergeCell ref="B21:C21"/>
    <mergeCell ref="B22:C22"/>
    <mergeCell ref="B23:C23"/>
    <mergeCell ref="B24:C24"/>
    <mergeCell ref="B16:C16"/>
    <mergeCell ref="B17:C17"/>
  </mergeCells>
  <hyperlinks>
    <hyperlink ref="B51" r:id="rId1" display="https://www.google.pt/url?sa=t&amp;rct=j&amp;q=&amp;esrc=s&amp;source=web&amp;cd=1&amp;cad=rja&amp;uact=8&amp;ved=0ahUKEwiP1tOK5vLJAhUHOBoKHfOMBegQFgghMAA&amp;url=https%3A%2F%2Fwww.pordata.pt%2FPortugal%2FSal%25C3%25A1rio%2Bm%25C3%25ADnimo%2Bnacional-74&amp;usg=AFQjCNEbj-f4jFmk7J2eL-ZnCnOSehLaLw"/>
  </hyperlinks>
  <pageMargins left="0.7" right="0.7" top="0.75" bottom="0.75" header="0.3" footer="0.3"/>
  <pageSetup paperSize="9" orientation="portrait" horizontalDpi="1200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1</xdr:col>
                    <xdr:colOff>2415540</xdr:colOff>
                    <xdr:row>26</xdr:row>
                    <xdr:rowOff>38100</xdr:rowOff>
                  </from>
                  <to>
                    <xdr:col>3</xdr:col>
                    <xdr:colOff>731520</xdr:colOff>
                    <xdr:row>26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5</xdr:col>
                    <xdr:colOff>45720</xdr:colOff>
                    <xdr:row>26</xdr:row>
                    <xdr:rowOff>38100</xdr:rowOff>
                  </from>
                  <to>
                    <xdr:col>6</xdr:col>
                    <xdr:colOff>0</xdr:colOff>
                    <xdr:row>26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CDE651F-EB96-46C3-87D1-BB9A5A8F8E07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E6E9456B-008E-41A6-8E20-78ED887EA86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Cálculo da sobretaxa  IRS 2016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Utilizador</cp:lastModifiedBy>
  <dcterms:created xsi:type="dcterms:W3CDTF">2013-12-31T15:46:17Z</dcterms:created>
  <dcterms:modified xsi:type="dcterms:W3CDTF">2016-02-02T17:02:10Z</dcterms:modified>
</cp:coreProperties>
</file>